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xr:revisionPtr revIDLastSave="0" documentId="8_{781AE696-51AA-496D-AA4D-A09BE3A69477}" xr6:coauthVersionLast="45" xr6:coauthVersionMax="45" xr10:uidLastSave="{00000000-0000-0000-0000-000000000000}"/>
  <bookViews>
    <workbookView xWindow="-28920" yWindow="-4680" windowWidth="29040" windowHeight="15840" tabRatio="699" activeTab="1" xr2:uid="{00000000-000D-0000-FFFF-FFFF00000000}"/>
  </bookViews>
  <sheets>
    <sheet name="2021 Exec Status" sheetId="7" r:id="rId1"/>
    <sheet name="Project List" sheetId="1" r:id="rId2"/>
    <sheet name="2020" sheetId="2" state="hidden" r:id="rId3"/>
    <sheet name="2021" sheetId="3" state="hidden" r:id="rId4"/>
    <sheet name="2022" sheetId="4" state="hidden" r:id="rId5"/>
    <sheet name="conductor_pz_summary_hftd_23_re" sheetId="5" r:id="rId6"/>
    <sheet name="Cancelled Projects" sheetId="9" r:id="rId7"/>
    <sheet name="De-energized Idle Lines" sheetId="8" state="hidden" r:id="rId8"/>
    <sheet name="Weekly Summary" sheetId="6"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Status'!$M$2:$O$135</definedName>
    <definedName name="_xlnm._FilterDatabase" localSheetId="5" hidden="1">conductor_pz_summary_hftd_23_re!$A$1:$S$3636</definedName>
    <definedName name="_xlnm._FilterDatabase" localSheetId="7" hidden="1">'De-energized Idle Lines'!$A$2:$S$59</definedName>
    <definedName name="_xlnm._FilterDatabase" localSheetId="1" hidden="1">'Project List'!$A$2:$BT$421</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#REF!</definedName>
    <definedName name="Print_input_summary">#REF!,#REF!,#REF!,#REF!</definedName>
    <definedName name="Print_RatPR2">[35]!Print_RatPR2</definedName>
    <definedName name="Print_report">#N/A</definedName>
    <definedName name="Print_ScenDate">'[5]Credit rating'!$B$2</definedName>
    <definedName name="_xlnm.Print_Titles">[4]REV_EST!$A:$B,[4]REV_EST!$1:$14</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3" i="1" l="1" a="1"/>
  <c r="E153" i="1" s="1"/>
  <c r="E152" i="1" a="1"/>
  <c r="E152" i="1" s="1"/>
  <c r="E151" i="1" a="1"/>
  <c r="E151" i="1" s="1"/>
  <c r="E150" i="1" a="1"/>
  <c r="E150" i="1" s="1"/>
  <c r="BD150" i="1"/>
  <c r="BD151" i="1"/>
  <c r="BD152" i="1"/>
  <c r="BD153" i="1"/>
  <c r="AY149" i="1"/>
  <c r="AZ149" i="1" s="1"/>
  <c r="AY150" i="1"/>
  <c r="AZ150" i="1" s="1"/>
  <c r="AY151" i="1"/>
  <c r="AZ151" i="1" s="1"/>
  <c r="AY152" i="1"/>
  <c r="AZ152" i="1" s="1"/>
  <c r="AY153" i="1"/>
  <c r="AZ153" i="1" s="1"/>
  <c r="S150" i="1"/>
  <c r="T150" i="1"/>
  <c r="U150" i="1"/>
  <c r="D150" i="1" s="1" a="1"/>
  <c r="D150" i="1" s="1"/>
  <c r="W150" i="1"/>
  <c r="X150" i="1"/>
  <c r="S151" i="1"/>
  <c r="T151" i="1"/>
  <c r="U151" i="1"/>
  <c r="D151" i="1" s="1" a="1"/>
  <c r="D151" i="1" s="1"/>
  <c r="W151" i="1"/>
  <c r="V151" i="1" s="1"/>
  <c r="X151" i="1"/>
  <c r="S152" i="1"/>
  <c r="T152" i="1"/>
  <c r="U152" i="1"/>
  <c r="D152" i="1" s="1" a="1"/>
  <c r="D152" i="1" s="1"/>
  <c r="W152" i="1"/>
  <c r="X152" i="1"/>
  <c r="S153" i="1"/>
  <c r="T153" i="1"/>
  <c r="U153" i="1"/>
  <c r="D153" i="1" s="1" a="1"/>
  <c r="D153" i="1" s="1"/>
  <c r="W153" i="1"/>
  <c r="V153" i="1" s="1"/>
  <c r="X153" i="1"/>
  <c r="M150" i="1"/>
  <c r="M151" i="1"/>
  <c r="M152" i="1"/>
  <c r="M153" i="1"/>
  <c r="H150" i="1"/>
  <c r="H151" i="1"/>
  <c r="H152" i="1"/>
  <c r="I152" i="1" s="1"/>
  <c r="H153" i="1"/>
  <c r="I151" i="1" l="1"/>
  <c r="I150" i="1"/>
  <c r="V150" i="1"/>
  <c r="Y150" i="1" s="1"/>
  <c r="V152" i="1"/>
  <c r="Y153" i="1"/>
  <c r="I153" i="1"/>
  <c r="Y152" i="1"/>
  <c r="Y151" i="1"/>
  <c r="AY20" i="9"/>
  <c r="AZ20" i="9" s="1"/>
  <c r="X20" i="9"/>
  <c r="W20" i="9"/>
  <c r="V20" i="9" s="1"/>
  <c r="Y20" i="9" s="1"/>
  <c r="U20" i="9"/>
  <c r="T20" i="9"/>
  <c r="S20" i="9"/>
  <c r="I20" i="9"/>
  <c r="AY19" i="9"/>
  <c r="AZ19" i="9" s="1"/>
  <c r="X19" i="9"/>
  <c r="W19" i="9"/>
  <c r="V19" i="9" s="1"/>
  <c r="Y19" i="9" s="1"/>
  <c r="U19" i="9"/>
  <c r="T19" i="9"/>
  <c r="S19" i="9"/>
  <c r="I19" i="9"/>
  <c r="BD18" i="9"/>
  <c r="AZ18" i="9"/>
  <c r="AY18" i="9"/>
  <c r="X18" i="9"/>
  <c r="W18" i="9"/>
  <c r="V18" i="9" s="1"/>
  <c r="U18" i="9"/>
  <c r="T18" i="9"/>
  <c r="S18" i="9"/>
  <c r="I18" i="9"/>
  <c r="AZ17" i="9"/>
  <c r="AY17" i="9"/>
  <c r="X17" i="9"/>
  <c r="W17" i="9"/>
  <c r="V17" i="9" s="1"/>
  <c r="U17" i="9"/>
  <c r="T17" i="9"/>
  <c r="S17" i="9"/>
  <c r="I17" i="9"/>
  <c r="AY16" i="9"/>
  <c r="AZ16" i="9" s="1"/>
  <c r="X16" i="9"/>
  <c r="W16" i="9"/>
  <c r="U16" i="9"/>
  <c r="T16" i="9"/>
  <c r="S16" i="9"/>
  <c r="I16" i="9"/>
  <c r="AY15" i="9"/>
  <c r="AZ15" i="9" s="1"/>
  <c r="X15" i="9"/>
  <c r="W15" i="9"/>
  <c r="U15" i="9"/>
  <c r="T15" i="9"/>
  <c r="S15" i="9"/>
  <c r="I15" i="9"/>
  <c r="AZ14" i="9"/>
  <c r="AY14" i="9"/>
  <c r="X14" i="9"/>
  <c r="W14" i="9"/>
  <c r="U14" i="9"/>
  <c r="T14" i="9"/>
  <c r="S14" i="9"/>
  <c r="I14" i="9"/>
  <c r="AZ13" i="9"/>
  <c r="AY13" i="9"/>
  <c r="X13" i="9"/>
  <c r="W13" i="9"/>
  <c r="U13" i="9"/>
  <c r="T13" i="9"/>
  <c r="S13" i="9"/>
  <c r="I13" i="9"/>
  <c r="AZ12" i="9"/>
  <c r="AY12" i="9"/>
  <c r="X12" i="9"/>
  <c r="W12" i="9"/>
  <c r="U12" i="9"/>
  <c r="T12" i="9"/>
  <c r="S12" i="9"/>
  <c r="I12" i="9"/>
  <c r="AY11" i="9"/>
  <c r="AZ11" i="9" s="1"/>
  <c r="X11" i="9"/>
  <c r="W11" i="9"/>
  <c r="U11" i="9"/>
  <c r="T11" i="9"/>
  <c r="S11" i="9"/>
  <c r="I11" i="9"/>
  <c r="AZ10" i="9"/>
  <c r="AY10" i="9"/>
  <c r="X10" i="9"/>
  <c r="W10" i="9"/>
  <c r="U10" i="9"/>
  <c r="T10" i="9"/>
  <c r="S10" i="9"/>
  <c r="I10" i="9"/>
  <c r="AZ9" i="9"/>
  <c r="AY9" i="9"/>
  <c r="X9" i="9"/>
  <c r="W9" i="9"/>
  <c r="U9" i="9"/>
  <c r="T9" i="9"/>
  <c r="S9" i="9"/>
  <c r="V9" i="9" s="1"/>
  <c r="M9" i="9"/>
  <c r="I9" i="9"/>
  <c r="BD8" i="9"/>
  <c r="AY8" i="9"/>
  <c r="AR8" i="9"/>
  <c r="X8" i="9"/>
  <c r="W8" i="9"/>
  <c r="U8" i="9"/>
  <c r="D8" i="9" s="1" a="1"/>
  <c r="D8" i="9" s="1"/>
  <c r="T8" i="9"/>
  <c r="S8" i="9"/>
  <c r="M8" i="9"/>
  <c r="I8" i="9"/>
  <c r="E8" i="9" a="1"/>
  <c r="E8" i="9"/>
  <c r="BD7" i="9"/>
  <c r="AY7" i="9"/>
  <c r="AZ7" i="9" s="1"/>
  <c r="AR7" i="9"/>
  <c r="AL7" i="9"/>
  <c r="X7" i="9"/>
  <c r="W7" i="9"/>
  <c r="U7" i="9"/>
  <c r="D7" i="9" s="1" a="1"/>
  <c r="D7" i="9" s="1"/>
  <c r="T7" i="9"/>
  <c r="S7" i="9"/>
  <c r="M7" i="9"/>
  <c r="I7" i="9"/>
  <c r="E7" i="9" a="1"/>
  <c r="E7" i="9"/>
  <c r="BD6" i="9"/>
  <c r="AZ6" i="9"/>
  <c r="AY6" i="9"/>
  <c r="AR6" i="9"/>
  <c r="AL6" i="9"/>
  <c r="X6" i="9"/>
  <c r="W6" i="9"/>
  <c r="V6" i="9" s="1"/>
  <c r="Y6" i="9" s="1"/>
  <c r="U6" i="9"/>
  <c r="D6" i="9" s="1" a="1"/>
  <c r="D6" i="9" s="1"/>
  <c r="T6" i="9"/>
  <c r="S6" i="9"/>
  <c r="M6" i="9"/>
  <c r="I6" i="9"/>
  <c r="E6" i="9" a="1"/>
  <c r="E6" i="9"/>
  <c r="BD5" i="9"/>
  <c r="AZ5" i="9"/>
  <c r="AY5" i="9"/>
  <c r="AL5" i="9"/>
  <c r="X5" i="9"/>
  <c r="W5" i="9"/>
  <c r="V5" i="9"/>
  <c r="U5" i="9"/>
  <c r="D5" i="9" s="1" a="1"/>
  <c r="D5" i="9" s="1"/>
  <c r="T5" i="9"/>
  <c r="S5" i="9"/>
  <c r="M5" i="9"/>
  <c r="I5" i="9" s="1"/>
  <c r="E5" i="9" a="1"/>
  <c r="E5" i="9"/>
  <c r="BD4" i="9"/>
  <c r="AY4" i="9"/>
  <c r="AZ4" i="9" s="1"/>
  <c r="AL4" i="9"/>
  <c r="X4" i="9"/>
  <c r="W4" i="9"/>
  <c r="U4" i="9"/>
  <c r="D4" i="9" s="1" a="1"/>
  <c r="D4" i="9" s="1"/>
  <c r="T4" i="9"/>
  <c r="S4" i="9"/>
  <c r="M4" i="9"/>
  <c r="I4" i="9"/>
  <c r="E4" i="9" a="1"/>
  <c r="E4" i="9"/>
  <c r="BD3" i="9"/>
  <c r="AZ3" i="9"/>
  <c r="AY3" i="9"/>
  <c r="AR3" i="9"/>
  <c r="X3" i="9"/>
  <c r="W3" i="9"/>
  <c r="V3" i="9" s="1"/>
  <c r="Y3" i="9" s="1"/>
  <c r="U3" i="9"/>
  <c r="T3" i="9"/>
  <c r="S3" i="9"/>
  <c r="M3" i="9"/>
  <c r="I3" i="9"/>
  <c r="E3" i="9" a="1"/>
  <c r="E3" i="9" s="1"/>
  <c r="D3" i="9" a="1"/>
  <c r="D3" i="9" s="1"/>
  <c r="BD2" i="9"/>
  <c r="AY2" i="9"/>
  <c r="AZ2" i="9" s="1"/>
  <c r="AR2" i="9"/>
  <c r="AL2" i="9"/>
  <c r="X2" i="9"/>
  <c r="W2" i="9"/>
  <c r="V2" i="9"/>
  <c r="U2" i="9"/>
  <c r="D2" i="9" s="1" a="1"/>
  <c r="D2" i="9" s="1"/>
  <c r="T2" i="9"/>
  <c r="S2" i="9"/>
  <c r="M2" i="9"/>
  <c r="I2" i="9" s="1"/>
  <c r="E2" i="9" a="1"/>
  <c r="E2" i="9" s="1"/>
  <c r="V8" i="9" l="1"/>
  <c r="Y8" i="9" s="1"/>
  <c r="V16" i="9"/>
  <c r="Y16" i="9" s="1"/>
  <c r="V12" i="9"/>
  <c r="Y12" i="9" s="1"/>
  <c r="V14" i="9"/>
  <c r="Y14" i="9" s="1"/>
  <c r="V15" i="9"/>
  <c r="Y15" i="9" s="1"/>
  <c r="V13" i="9"/>
  <c r="Y13" i="9" s="1"/>
  <c r="V10" i="9"/>
  <c r="Y10" i="9" s="1"/>
  <c r="V11" i="9"/>
  <c r="V4" i="9"/>
  <c r="V7" i="9"/>
  <c r="Y2" i="9"/>
  <c r="Y5" i="9"/>
  <c r="Y11" i="9"/>
  <c r="Y4" i="9"/>
  <c r="Y7" i="9"/>
  <c r="Y9" i="9"/>
  <c r="Y17" i="9"/>
  <c r="Y18" i="9"/>
  <c r="M87" i="1"/>
  <c r="M86" i="1"/>
  <c r="M85" i="1"/>
  <c r="M84" i="1"/>
  <c r="M83" i="1"/>
  <c r="M69" i="1"/>
  <c r="X87" i="1"/>
  <c r="W87" i="1"/>
  <c r="U87" i="1"/>
  <c r="D87" i="1" s="1" a="1"/>
  <c r="D87" i="1" s="1"/>
  <c r="T87" i="1"/>
  <c r="S87" i="1"/>
  <c r="X86" i="1"/>
  <c r="W86" i="1"/>
  <c r="U86" i="1"/>
  <c r="D86" i="1" s="1" a="1"/>
  <c r="D86" i="1" s="1"/>
  <c r="T86" i="1"/>
  <c r="S86" i="1"/>
  <c r="E87" i="1" a="1"/>
  <c r="E87" i="1" s="1"/>
  <c r="E86" i="1" a="1"/>
  <c r="E86" i="1" s="1"/>
  <c r="V87" i="1" l="1"/>
  <c r="Y87" i="1" s="1"/>
  <c r="V86" i="1"/>
  <c r="Y86" i="1" s="1"/>
  <c r="BN85" i="1"/>
  <c r="BK85" i="1"/>
  <c r="AY85" i="1"/>
  <c r="AZ85" i="1" s="1"/>
  <c r="BA85" i="1" s="1"/>
  <c r="AX85" i="1"/>
  <c r="AS85" i="1"/>
  <c r="X85" i="1"/>
  <c r="W85" i="1"/>
  <c r="U85" i="1"/>
  <c r="D85" i="1" s="1" a="1"/>
  <c r="D85" i="1" s="1"/>
  <c r="T85" i="1"/>
  <c r="S85" i="1"/>
  <c r="X84" i="1"/>
  <c r="W84" i="1"/>
  <c r="U84" i="1"/>
  <c r="D84" i="1" s="1" a="1"/>
  <c r="D84" i="1" s="1"/>
  <c r="T84" i="1"/>
  <c r="S84" i="1"/>
  <c r="E85" i="1" a="1"/>
  <c r="E85" i="1" s="1"/>
  <c r="E84" i="1" a="1"/>
  <c r="E84" i="1" s="1"/>
  <c r="BN64" i="1"/>
  <c r="BK64" i="1"/>
  <c r="AY64" i="1"/>
  <c r="AZ64" i="1" s="1"/>
  <c r="BA64" i="1" s="1"/>
  <c r="AR64" i="1"/>
  <c r="X64" i="1"/>
  <c r="W64" i="1"/>
  <c r="U64" i="1"/>
  <c r="D64" i="1" s="1" a="1"/>
  <c r="D64" i="1" s="1"/>
  <c r="T64" i="1"/>
  <c r="S64" i="1"/>
  <c r="M64" i="1"/>
  <c r="I64" i="1" s="1"/>
  <c r="I83" i="1"/>
  <c r="E64" i="1" a="1"/>
  <c r="E64" i="1" s="1"/>
  <c r="BN83" i="1"/>
  <c r="BK83" i="1"/>
  <c r="AY83" i="1"/>
  <c r="AZ83" i="1" s="1"/>
  <c r="BA83" i="1" s="1"/>
  <c r="AR83" i="1"/>
  <c r="S83" i="1"/>
  <c r="T83" i="1"/>
  <c r="U83" i="1"/>
  <c r="D83" i="1" s="1" a="1"/>
  <c r="D83" i="1" s="1"/>
  <c r="W83" i="1"/>
  <c r="X83" i="1"/>
  <c r="E83" i="1" a="1"/>
  <c r="E83" i="1" s="1"/>
  <c r="BN69" i="1"/>
  <c r="BK69" i="1"/>
  <c r="AY69" i="1"/>
  <c r="AZ69" i="1" s="1"/>
  <c r="BA69" i="1" s="1"/>
  <c r="AR69" i="1"/>
  <c r="X69" i="1"/>
  <c r="W69" i="1"/>
  <c r="U69" i="1"/>
  <c r="D69" i="1" s="1" a="1"/>
  <c r="D69" i="1" s="1"/>
  <c r="T69" i="1"/>
  <c r="S69" i="1"/>
  <c r="I69" i="1"/>
  <c r="E69" i="1" a="1"/>
  <c r="E69" i="1" s="1"/>
  <c r="V85" i="1" l="1"/>
  <c r="Y85" i="1" s="1"/>
  <c r="V69" i="1"/>
  <c r="Y69" i="1" s="1"/>
  <c r="V84" i="1"/>
  <c r="Y84" i="1" s="1"/>
  <c r="V64" i="1"/>
  <c r="Y64" i="1" s="1"/>
  <c r="V83" i="1"/>
  <c r="Y83" i="1" s="1"/>
  <c r="AY392" i="1"/>
  <c r="AZ392" i="1" s="1"/>
  <c r="AY393" i="1"/>
  <c r="AZ393" i="1" s="1"/>
  <c r="AY394" i="1"/>
  <c r="AZ394" i="1" s="1"/>
  <c r="AY395" i="1"/>
  <c r="AZ395" i="1" s="1"/>
  <c r="AY391" i="1"/>
  <c r="AZ391" i="1" s="1"/>
  <c r="AL395" i="1"/>
  <c r="AL394" i="1"/>
  <c r="AL393" i="1"/>
  <c r="AL392" i="1"/>
  <c r="AL391" i="1"/>
  <c r="AM260" i="1" l="1"/>
  <c r="AM259" i="1"/>
  <c r="AM258" i="1"/>
  <c r="AM257" i="1"/>
  <c r="AM256" i="1"/>
  <c r="AM255" i="1"/>
  <c r="AM254" i="1"/>
  <c r="AM253" i="1"/>
  <c r="AM252" i="1"/>
  <c r="AM251" i="1"/>
  <c r="AM250" i="1"/>
  <c r="AM249" i="1"/>
  <c r="AM248" i="1"/>
  <c r="AM247" i="1"/>
  <c r="S247" i="1"/>
  <c r="T247" i="1"/>
  <c r="U247" i="1"/>
  <c r="W247" i="1"/>
  <c r="X247" i="1"/>
  <c r="S248" i="1"/>
  <c r="T248" i="1"/>
  <c r="U248" i="1"/>
  <c r="W248" i="1"/>
  <c r="X248" i="1"/>
  <c r="S249" i="1"/>
  <c r="T249" i="1"/>
  <c r="U249" i="1"/>
  <c r="W249" i="1"/>
  <c r="X249" i="1"/>
  <c r="S250" i="1"/>
  <c r="T250" i="1"/>
  <c r="U250" i="1"/>
  <c r="W250" i="1"/>
  <c r="X250" i="1"/>
  <c r="S251" i="1"/>
  <c r="T251" i="1"/>
  <c r="U251" i="1"/>
  <c r="W251" i="1"/>
  <c r="X251" i="1"/>
  <c r="S252" i="1"/>
  <c r="T252" i="1"/>
  <c r="U252" i="1"/>
  <c r="W252" i="1"/>
  <c r="X252" i="1"/>
  <c r="S253" i="1"/>
  <c r="T253" i="1"/>
  <c r="U253" i="1"/>
  <c r="W253" i="1"/>
  <c r="X253" i="1"/>
  <c r="S254" i="1"/>
  <c r="T254" i="1"/>
  <c r="U254" i="1"/>
  <c r="W254" i="1"/>
  <c r="X254" i="1"/>
  <c r="S255" i="1"/>
  <c r="T255" i="1"/>
  <c r="U255" i="1"/>
  <c r="W255" i="1"/>
  <c r="X255" i="1"/>
  <c r="S256" i="1"/>
  <c r="T256" i="1"/>
  <c r="U256" i="1"/>
  <c r="W256" i="1"/>
  <c r="X256" i="1"/>
  <c r="S257" i="1"/>
  <c r="T257" i="1"/>
  <c r="U257" i="1"/>
  <c r="W257" i="1"/>
  <c r="X257" i="1"/>
  <c r="S258" i="1"/>
  <c r="T258" i="1"/>
  <c r="U258" i="1"/>
  <c r="W258" i="1"/>
  <c r="X258" i="1"/>
  <c r="S259" i="1"/>
  <c r="T259" i="1"/>
  <c r="U259" i="1"/>
  <c r="W259" i="1"/>
  <c r="X259" i="1"/>
  <c r="S260" i="1"/>
  <c r="T260" i="1"/>
  <c r="U260" i="1"/>
  <c r="W260" i="1"/>
  <c r="X260" i="1"/>
  <c r="S261" i="1"/>
  <c r="T261" i="1"/>
  <c r="U261" i="1"/>
  <c r="W261" i="1"/>
  <c r="X261" i="1"/>
  <c r="S262" i="1"/>
  <c r="T262" i="1"/>
  <c r="U262" i="1"/>
  <c r="W262" i="1"/>
  <c r="X262" i="1"/>
  <c r="S263" i="1"/>
  <c r="T263" i="1"/>
  <c r="U263" i="1"/>
  <c r="W263" i="1"/>
  <c r="X263" i="1"/>
  <c r="S264" i="1"/>
  <c r="T264" i="1"/>
  <c r="U264" i="1"/>
  <c r="W264" i="1"/>
  <c r="X264" i="1"/>
  <c r="H392" i="1"/>
  <c r="V249" i="1" l="1"/>
  <c r="Y249" i="1" s="1"/>
  <c r="V251" i="1"/>
  <c r="Y251" i="1" s="1"/>
  <c r="V260" i="1"/>
  <c r="Y260" i="1" s="1"/>
  <c r="V261" i="1"/>
  <c r="Y261" i="1" s="1"/>
  <c r="V263" i="1"/>
  <c r="Y263" i="1" s="1"/>
  <c r="V250" i="1"/>
  <c r="Y250" i="1" s="1"/>
  <c r="V259" i="1"/>
  <c r="Y259" i="1" s="1"/>
  <c r="V254" i="1"/>
  <c r="Y254" i="1" s="1"/>
  <c r="V253" i="1"/>
  <c r="Y253" i="1" s="1"/>
  <c r="V257" i="1"/>
  <c r="Y257" i="1" s="1"/>
  <c r="V256" i="1"/>
  <c r="Y256" i="1" s="1"/>
  <c r="V255" i="1"/>
  <c r="Y255" i="1" s="1"/>
  <c r="V252" i="1"/>
  <c r="Y252" i="1" s="1"/>
  <c r="V248" i="1"/>
  <c r="Y248" i="1" s="1"/>
  <c r="V247" i="1"/>
  <c r="Y247" i="1" s="1"/>
  <c r="V262" i="1"/>
  <c r="Y262" i="1" s="1"/>
  <c r="V264" i="1"/>
  <c r="Y264" i="1" s="1"/>
  <c r="V258" i="1"/>
  <c r="Y258" i="1" s="1"/>
  <c r="D263" i="1" a="1"/>
  <c r="D263" i="1" s="1"/>
  <c r="D264" i="1" a="1"/>
  <c r="D264" i="1" s="1"/>
  <c r="D247" i="1" a="1"/>
  <c r="D247" i="1" s="1"/>
  <c r="E247" i="1" a="1"/>
  <c r="E247" i="1" s="1"/>
  <c r="D248" i="1" a="1"/>
  <c r="D248" i="1" s="1"/>
  <c r="E248" i="1" a="1"/>
  <c r="E248" i="1" s="1"/>
  <c r="D249" i="1" a="1"/>
  <c r="D249" i="1" s="1"/>
  <c r="E249" i="1" a="1"/>
  <c r="E249" i="1" s="1"/>
  <c r="D250" i="1" a="1"/>
  <c r="D250" i="1" s="1"/>
  <c r="E250" i="1" a="1"/>
  <c r="E250" i="1" s="1"/>
  <c r="D251" i="1" a="1"/>
  <c r="D251" i="1" s="1"/>
  <c r="E251" i="1" a="1"/>
  <c r="E251" i="1" s="1"/>
  <c r="D252" i="1" a="1"/>
  <c r="D252" i="1" s="1"/>
  <c r="E252" i="1" a="1"/>
  <c r="E252" i="1" s="1"/>
  <c r="D253" i="1" a="1"/>
  <c r="D253" i="1" s="1"/>
  <c r="E253" i="1" a="1"/>
  <c r="E253" i="1" s="1"/>
  <c r="D254" i="1" a="1"/>
  <c r="D254" i="1" s="1"/>
  <c r="E254" i="1" a="1"/>
  <c r="E254" i="1" s="1"/>
  <c r="D255" i="1" a="1"/>
  <c r="D255" i="1" s="1"/>
  <c r="E255" i="1" a="1"/>
  <c r="E255" i="1" s="1"/>
  <c r="D256" i="1" a="1"/>
  <c r="D256" i="1" s="1"/>
  <c r="E256" i="1" a="1"/>
  <c r="E256" i="1" s="1"/>
  <c r="D257" i="1" a="1"/>
  <c r="D257" i="1" s="1"/>
  <c r="E257" i="1" a="1"/>
  <c r="E257" i="1" s="1"/>
  <c r="D258" i="1" a="1"/>
  <c r="D258" i="1" s="1"/>
  <c r="E258" i="1" a="1"/>
  <c r="E258" i="1" s="1"/>
  <c r="D259" i="1" a="1"/>
  <c r="D259" i="1" s="1"/>
  <c r="E259" i="1" a="1"/>
  <c r="E259" i="1" s="1"/>
  <c r="D260" i="1" a="1"/>
  <c r="D260" i="1" s="1"/>
  <c r="E260" i="1" a="1"/>
  <c r="E260" i="1" s="1"/>
  <c r="D261" i="1" a="1"/>
  <c r="D261" i="1" s="1"/>
  <c r="E261" i="1" a="1"/>
  <c r="E261" i="1" s="1"/>
  <c r="D262" i="1" a="1"/>
  <c r="D262" i="1" s="1"/>
  <c r="E262" i="1" a="1"/>
  <c r="E262" i="1" s="1"/>
  <c r="E263" i="1" a="1"/>
  <c r="E263" i="1" s="1"/>
  <c r="E264" i="1" a="1"/>
  <c r="E264" i="1" s="1"/>
  <c r="S275" i="1"/>
  <c r="T275" i="1"/>
  <c r="U275" i="1"/>
  <c r="D275" i="1" s="1" a="1"/>
  <c r="D275" i="1" s="1"/>
  <c r="W275" i="1"/>
  <c r="X275" i="1"/>
  <c r="S276" i="1"/>
  <c r="T276" i="1"/>
  <c r="U276" i="1"/>
  <c r="D276" i="1" s="1" a="1"/>
  <c r="D276" i="1" s="1"/>
  <c r="W276" i="1"/>
  <c r="X276" i="1"/>
  <c r="M276" i="1"/>
  <c r="M275" i="1"/>
  <c r="E275" i="1" a="1"/>
  <c r="E275" i="1" s="1"/>
  <c r="E276" i="1" a="1"/>
  <c r="E276" i="1" s="1"/>
  <c r="S278" i="1"/>
  <c r="T278" i="1"/>
  <c r="U278" i="1"/>
  <c r="D278" i="1" s="1" a="1"/>
  <c r="D278" i="1" s="1"/>
  <c r="W278" i="1"/>
  <c r="X278" i="1"/>
  <c r="S279" i="1"/>
  <c r="T279" i="1"/>
  <c r="U279" i="1"/>
  <c r="D279" i="1" s="1" a="1"/>
  <c r="D279" i="1" s="1"/>
  <c r="W279" i="1"/>
  <c r="X279" i="1"/>
  <c r="S280" i="1"/>
  <c r="T280" i="1"/>
  <c r="U280" i="1"/>
  <c r="D280" i="1" s="1" a="1"/>
  <c r="D280" i="1" s="1"/>
  <c r="W280" i="1"/>
  <c r="X280" i="1"/>
  <c r="M280" i="1"/>
  <c r="M279" i="1"/>
  <c r="M278" i="1"/>
  <c r="E278" i="1" a="1"/>
  <c r="E278" i="1" s="1"/>
  <c r="E279" i="1" a="1"/>
  <c r="E279" i="1" s="1"/>
  <c r="E280" i="1" a="1"/>
  <c r="E280" i="1" s="1"/>
  <c r="V276" i="1" l="1"/>
  <c r="Y276" i="1" s="1"/>
  <c r="V275" i="1"/>
  <c r="Y275" i="1" s="1"/>
  <c r="V279" i="1"/>
  <c r="Y279" i="1" s="1"/>
  <c r="V278" i="1"/>
  <c r="Y278" i="1" s="1"/>
  <c r="V280" i="1"/>
  <c r="Y280" i="1" s="1"/>
  <c r="H271" i="1"/>
  <c r="AJ341" i="1" l="1"/>
  <c r="X402" i="1" l="1"/>
  <c r="W402" i="1"/>
  <c r="U402" i="1"/>
  <c r="D402" i="1" s="1" a="1"/>
  <c r="D402" i="1" s="1"/>
  <c r="T402" i="1"/>
  <c r="S402" i="1"/>
  <c r="E402" i="1" a="1"/>
  <c r="E402" i="1" s="1"/>
  <c r="S288" i="1"/>
  <c r="T288" i="1"/>
  <c r="U288" i="1"/>
  <c r="D288" i="1" s="1" a="1"/>
  <c r="D288" i="1" s="1"/>
  <c r="W288" i="1"/>
  <c r="X288" i="1"/>
  <c r="S289" i="1"/>
  <c r="T289" i="1"/>
  <c r="U289" i="1"/>
  <c r="D289" i="1" s="1" a="1"/>
  <c r="D289" i="1" s="1"/>
  <c r="W289" i="1"/>
  <c r="X289" i="1"/>
  <c r="M289" i="1"/>
  <c r="M288" i="1"/>
  <c r="E288" i="1" a="1"/>
  <c r="E288" i="1" s="1"/>
  <c r="E289" i="1" a="1"/>
  <c r="E289" i="1" s="1"/>
  <c r="S384" i="1"/>
  <c r="T384" i="1"/>
  <c r="U384" i="1"/>
  <c r="D384" i="1" s="1" a="1"/>
  <c r="D384" i="1" s="1"/>
  <c r="W384" i="1"/>
  <c r="X384" i="1"/>
  <c r="S385" i="1"/>
  <c r="T385" i="1"/>
  <c r="U385" i="1"/>
  <c r="D385" i="1" s="1" a="1"/>
  <c r="D385" i="1" s="1"/>
  <c r="W385" i="1"/>
  <c r="X385" i="1"/>
  <c r="S386" i="1"/>
  <c r="T386" i="1"/>
  <c r="U386" i="1"/>
  <c r="D386" i="1" s="1" a="1"/>
  <c r="D386" i="1" s="1"/>
  <c r="W386" i="1"/>
  <c r="X386" i="1"/>
  <c r="S387" i="1"/>
  <c r="T387" i="1"/>
  <c r="U387" i="1"/>
  <c r="D387" i="1" s="1" a="1"/>
  <c r="D387" i="1" s="1"/>
  <c r="W387" i="1"/>
  <c r="X387" i="1"/>
  <c r="S378" i="1"/>
  <c r="T378" i="1"/>
  <c r="U378" i="1"/>
  <c r="D378" i="1" s="1" a="1"/>
  <c r="D378" i="1" s="1"/>
  <c r="W378" i="1"/>
  <c r="X378" i="1"/>
  <c r="S379" i="1"/>
  <c r="T379" i="1"/>
  <c r="U379" i="1"/>
  <c r="D379" i="1" s="1" a="1"/>
  <c r="D379" i="1" s="1"/>
  <c r="W379" i="1"/>
  <c r="X379" i="1"/>
  <c r="S380" i="1"/>
  <c r="T380" i="1"/>
  <c r="U380" i="1"/>
  <c r="D380" i="1" s="1" a="1"/>
  <c r="D380" i="1" s="1"/>
  <c r="W380" i="1"/>
  <c r="X380" i="1"/>
  <c r="S381" i="1"/>
  <c r="T381" i="1"/>
  <c r="U381" i="1"/>
  <c r="D381" i="1" s="1" a="1"/>
  <c r="D381" i="1" s="1"/>
  <c r="W381" i="1"/>
  <c r="X381" i="1"/>
  <c r="S382" i="1"/>
  <c r="T382" i="1"/>
  <c r="U382" i="1"/>
  <c r="D382" i="1" s="1" a="1"/>
  <c r="D382" i="1" s="1"/>
  <c r="W382" i="1"/>
  <c r="X382" i="1"/>
  <c r="M387" i="1"/>
  <c r="M386" i="1"/>
  <c r="M385" i="1"/>
  <c r="M384" i="1"/>
  <c r="M382" i="1"/>
  <c r="M381" i="1"/>
  <c r="M380" i="1"/>
  <c r="M379" i="1"/>
  <c r="M378" i="1"/>
  <c r="E384" i="1" a="1"/>
  <c r="E384" i="1" s="1"/>
  <c r="E385" i="1" a="1"/>
  <c r="E385" i="1" s="1"/>
  <c r="E386" i="1" a="1"/>
  <c r="E386" i="1" s="1"/>
  <c r="E387" i="1" a="1"/>
  <c r="E387" i="1" s="1"/>
  <c r="E378" i="1" a="1"/>
  <c r="E378" i="1" s="1"/>
  <c r="E379" i="1" a="1"/>
  <c r="E379" i="1" s="1"/>
  <c r="E380" i="1" a="1"/>
  <c r="E380" i="1" s="1"/>
  <c r="E381" i="1" a="1"/>
  <c r="E381" i="1" s="1"/>
  <c r="E382" i="1" a="1"/>
  <c r="E382" i="1" s="1"/>
  <c r="X376" i="1"/>
  <c r="W376" i="1"/>
  <c r="U376" i="1"/>
  <c r="D376" i="1" s="1" a="1"/>
  <c r="D376" i="1" s="1"/>
  <c r="T376" i="1"/>
  <c r="S376" i="1"/>
  <c r="M376" i="1"/>
  <c r="X375" i="1"/>
  <c r="W375" i="1"/>
  <c r="U375" i="1"/>
  <c r="D375" i="1" s="1" a="1"/>
  <c r="D375" i="1" s="1"/>
  <c r="T375" i="1"/>
  <c r="S375" i="1"/>
  <c r="M375" i="1"/>
  <c r="X374" i="1"/>
  <c r="W374" i="1"/>
  <c r="U374" i="1"/>
  <c r="D374" i="1" s="1" a="1"/>
  <c r="D374" i="1" s="1"/>
  <c r="T374" i="1"/>
  <c r="S374" i="1"/>
  <c r="M374" i="1"/>
  <c r="X373" i="1"/>
  <c r="W373" i="1"/>
  <c r="U373" i="1"/>
  <c r="D373" i="1" s="1" a="1"/>
  <c r="D373" i="1" s="1"/>
  <c r="T373" i="1"/>
  <c r="S373" i="1"/>
  <c r="M373" i="1"/>
  <c r="X372" i="1"/>
  <c r="W372" i="1"/>
  <c r="U372" i="1"/>
  <c r="D372" i="1" s="1" a="1"/>
  <c r="D372" i="1" s="1"/>
  <c r="T372" i="1"/>
  <c r="S372" i="1"/>
  <c r="M372" i="1"/>
  <c r="X371" i="1"/>
  <c r="W371" i="1"/>
  <c r="U371" i="1"/>
  <c r="D371" i="1" s="1" a="1"/>
  <c r="D371" i="1" s="1"/>
  <c r="T371" i="1"/>
  <c r="S371" i="1"/>
  <c r="M371" i="1"/>
  <c r="E371" i="1" a="1"/>
  <c r="E371" i="1" s="1"/>
  <c r="E372" i="1" a="1"/>
  <c r="E372" i="1" s="1"/>
  <c r="E373" i="1" a="1"/>
  <c r="E373" i="1" s="1"/>
  <c r="E374" i="1" a="1"/>
  <c r="E374" i="1" s="1"/>
  <c r="E375" i="1" a="1"/>
  <c r="E375" i="1" s="1"/>
  <c r="E376" i="1" a="1"/>
  <c r="E376" i="1" s="1"/>
  <c r="X369" i="1"/>
  <c r="W369" i="1"/>
  <c r="U369" i="1"/>
  <c r="D369" i="1" s="1" a="1"/>
  <c r="D369" i="1" s="1"/>
  <c r="T369" i="1"/>
  <c r="S369" i="1"/>
  <c r="M369" i="1"/>
  <c r="X368" i="1"/>
  <c r="W368" i="1"/>
  <c r="U368" i="1"/>
  <c r="D368" i="1" s="1" a="1"/>
  <c r="D368" i="1" s="1"/>
  <c r="T368" i="1"/>
  <c r="S368" i="1"/>
  <c r="M368" i="1"/>
  <c r="X367" i="1"/>
  <c r="W367" i="1"/>
  <c r="U367" i="1"/>
  <c r="D367" i="1" s="1" a="1"/>
  <c r="D367" i="1" s="1"/>
  <c r="T367" i="1"/>
  <c r="S367" i="1"/>
  <c r="M367" i="1"/>
  <c r="X366" i="1"/>
  <c r="W366" i="1"/>
  <c r="U366" i="1"/>
  <c r="D366" i="1" s="1" a="1"/>
  <c r="D366" i="1" s="1"/>
  <c r="T366" i="1"/>
  <c r="S366" i="1"/>
  <c r="M366" i="1"/>
  <c r="X365" i="1"/>
  <c r="W365" i="1"/>
  <c r="U365" i="1"/>
  <c r="D365" i="1" s="1" a="1"/>
  <c r="D365" i="1" s="1"/>
  <c r="T365" i="1"/>
  <c r="S365" i="1"/>
  <c r="M365" i="1"/>
  <c r="X364" i="1"/>
  <c r="W364" i="1"/>
  <c r="U364" i="1"/>
  <c r="D364" i="1" s="1" a="1"/>
  <c r="D364" i="1" s="1"/>
  <c r="T364" i="1"/>
  <c r="S364" i="1"/>
  <c r="M364" i="1"/>
  <c r="X363" i="1"/>
  <c r="W363" i="1"/>
  <c r="U363" i="1"/>
  <c r="D363" i="1" s="1" a="1"/>
  <c r="D363" i="1" s="1"/>
  <c r="T363" i="1"/>
  <c r="S363" i="1"/>
  <c r="M363" i="1"/>
  <c r="X362" i="1"/>
  <c r="W362" i="1"/>
  <c r="U362" i="1"/>
  <c r="D362" i="1" s="1" a="1"/>
  <c r="D362" i="1" s="1"/>
  <c r="T362" i="1"/>
  <c r="S362" i="1"/>
  <c r="M362" i="1"/>
  <c r="E362" i="1" a="1"/>
  <c r="E362" i="1" s="1"/>
  <c r="E363" i="1" a="1"/>
  <c r="E363" i="1" s="1"/>
  <c r="E364" i="1" a="1"/>
  <c r="E364" i="1" s="1"/>
  <c r="E365" i="1" a="1"/>
  <c r="E365" i="1" s="1"/>
  <c r="E366" i="1" a="1"/>
  <c r="E366" i="1" s="1"/>
  <c r="E367" i="1" a="1"/>
  <c r="E367" i="1" s="1"/>
  <c r="E368" i="1" a="1"/>
  <c r="E368" i="1" s="1"/>
  <c r="E369" i="1" a="1"/>
  <c r="E369" i="1" s="1"/>
  <c r="S354" i="1"/>
  <c r="T354" i="1"/>
  <c r="U354" i="1"/>
  <c r="D354" i="1" s="1" a="1"/>
  <c r="D354" i="1" s="1"/>
  <c r="W354" i="1"/>
  <c r="X354" i="1"/>
  <c r="S355" i="1"/>
  <c r="T355" i="1"/>
  <c r="U355" i="1"/>
  <c r="D355" i="1" s="1" a="1"/>
  <c r="D355" i="1" s="1"/>
  <c r="W355" i="1"/>
  <c r="X355" i="1"/>
  <c r="S356" i="1"/>
  <c r="T356" i="1"/>
  <c r="U356" i="1"/>
  <c r="D356" i="1" s="1" a="1"/>
  <c r="D356" i="1" s="1"/>
  <c r="W356" i="1"/>
  <c r="X356" i="1"/>
  <c r="S357" i="1"/>
  <c r="T357" i="1"/>
  <c r="U357" i="1"/>
  <c r="D357" i="1" s="1" a="1"/>
  <c r="D357" i="1" s="1"/>
  <c r="W357" i="1"/>
  <c r="X357" i="1"/>
  <c r="S358" i="1"/>
  <c r="T358" i="1"/>
  <c r="U358" i="1"/>
  <c r="D358" i="1" s="1" a="1"/>
  <c r="D358" i="1" s="1"/>
  <c r="W358" i="1"/>
  <c r="X358" i="1"/>
  <c r="S359" i="1"/>
  <c r="T359" i="1"/>
  <c r="U359" i="1"/>
  <c r="D359" i="1" s="1" a="1"/>
  <c r="D359" i="1" s="1"/>
  <c r="W359" i="1"/>
  <c r="X359" i="1"/>
  <c r="S360" i="1"/>
  <c r="T360" i="1"/>
  <c r="U360" i="1"/>
  <c r="D360" i="1" s="1" a="1"/>
  <c r="D360" i="1" s="1"/>
  <c r="W360" i="1"/>
  <c r="X360" i="1"/>
  <c r="S361" i="1"/>
  <c r="T361" i="1"/>
  <c r="U361" i="1"/>
  <c r="W361" i="1"/>
  <c r="X361" i="1"/>
  <c r="M360" i="1"/>
  <c r="M359" i="1"/>
  <c r="M358" i="1"/>
  <c r="M357" i="1"/>
  <c r="M356" i="1"/>
  <c r="M355" i="1"/>
  <c r="M354" i="1"/>
  <c r="E354" i="1" a="1"/>
  <c r="E354" i="1" s="1"/>
  <c r="E355" i="1" a="1"/>
  <c r="E355" i="1" s="1"/>
  <c r="E356" i="1" a="1"/>
  <c r="E356" i="1" s="1"/>
  <c r="E357" i="1" a="1"/>
  <c r="E357" i="1" s="1"/>
  <c r="E358" i="1" a="1"/>
  <c r="E358" i="1" s="1"/>
  <c r="E359" i="1" a="1"/>
  <c r="E359" i="1" s="1"/>
  <c r="E360" i="1" a="1"/>
  <c r="E360" i="1" s="1"/>
  <c r="S348" i="1"/>
  <c r="T348" i="1"/>
  <c r="U348" i="1"/>
  <c r="D348" i="1" s="1" a="1"/>
  <c r="D348" i="1" s="1"/>
  <c r="W348" i="1"/>
  <c r="X348" i="1"/>
  <c r="S349" i="1"/>
  <c r="T349" i="1"/>
  <c r="U349" i="1"/>
  <c r="D349" i="1" s="1" a="1"/>
  <c r="D349" i="1" s="1"/>
  <c r="W349" i="1"/>
  <c r="X349" i="1"/>
  <c r="S350" i="1"/>
  <c r="T350" i="1"/>
  <c r="U350" i="1"/>
  <c r="D350" i="1" s="1" a="1"/>
  <c r="D350" i="1" s="1"/>
  <c r="W350" i="1"/>
  <c r="X350" i="1"/>
  <c r="S351" i="1"/>
  <c r="T351" i="1"/>
  <c r="U351" i="1"/>
  <c r="D351" i="1" s="1" a="1"/>
  <c r="D351" i="1" s="1"/>
  <c r="W351" i="1"/>
  <c r="X351" i="1"/>
  <c r="S352" i="1"/>
  <c r="T352" i="1"/>
  <c r="U352" i="1"/>
  <c r="D352" i="1" s="1" a="1"/>
  <c r="D352" i="1" s="1"/>
  <c r="W352" i="1"/>
  <c r="X352" i="1"/>
  <c r="M352" i="1"/>
  <c r="M351" i="1"/>
  <c r="M350" i="1"/>
  <c r="M349" i="1"/>
  <c r="M348" i="1"/>
  <c r="E348" i="1" a="1"/>
  <c r="E348" i="1" s="1"/>
  <c r="E349" i="1" a="1"/>
  <c r="E349" i="1" s="1"/>
  <c r="E350" i="1" a="1"/>
  <c r="E350" i="1" s="1"/>
  <c r="E351" i="1" a="1"/>
  <c r="E351" i="1" s="1"/>
  <c r="E352" i="1" a="1"/>
  <c r="E352" i="1" s="1"/>
  <c r="V289" i="1" l="1"/>
  <c r="Y289" i="1" s="1"/>
  <c r="V380" i="1"/>
  <c r="Y380" i="1" s="1"/>
  <c r="V402" i="1"/>
  <c r="Y402" i="1" s="1"/>
  <c r="V288" i="1"/>
  <c r="Y288" i="1" s="1"/>
  <c r="V373" i="1"/>
  <c r="Y373" i="1" s="1"/>
  <c r="V381" i="1"/>
  <c r="Y381" i="1" s="1"/>
  <c r="V386" i="1"/>
  <c r="Y386" i="1" s="1"/>
  <c r="V358" i="1"/>
  <c r="Y358" i="1" s="1"/>
  <c r="V378" i="1"/>
  <c r="Y378" i="1" s="1"/>
  <c r="V385" i="1"/>
  <c r="Y385" i="1" s="1"/>
  <c r="V382" i="1"/>
  <c r="Y382" i="1" s="1"/>
  <c r="V384" i="1"/>
  <c r="Y384" i="1" s="1"/>
  <c r="V387" i="1"/>
  <c r="Y387" i="1" s="1"/>
  <c r="V362" i="1"/>
  <c r="Y362" i="1" s="1"/>
  <c r="V366" i="1"/>
  <c r="Y366" i="1" s="1"/>
  <c r="V379" i="1"/>
  <c r="Y379" i="1" s="1"/>
  <c r="V371" i="1"/>
  <c r="Y371" i="1" s="1"/>
  <c r="V375" i="1"/>
  <c r="Y375" i="1" s="1"/>
  <c r="V372" i="1"/>
  <c r="Y372" i="1" s="1"/>
  <c r="V376" i="1"/>
  <c r="Y376" i="1" s="1"/>
  <c r="V364" i="1"/>
  <c r="Y364" i="1" s="1"/>
  <c r="V368" i="1"/>
  <c r="Y368" i="1" s="1"/>
  <c r="V374" i="1"/>
  <c r="Y374" i="1" s="1"/>
  <c r="V352" i="1"/>
  <c r="Y352" i="1" s="1"/>
  <c r="V365" i="1"/>
  <c r="Y365" i="1" s="1"/>
  <c r="V369" i="1"/>
  <c r="Y369" i="1" s="1"/>
  <c r="V363" i="1"/>
  <c r="Y363" i="1" s="1"/>
  <c r="V367" i="1"/>
  <c r="Y367" i="1" s="1"/>
  <c r="V356" i="1"/>
  <c r="Y356" i="1" s="1"/>
  <c r="V361" i="1"/>
  <c r="V357" i="1"/>
  <c r="Y357" i="1" s="1"/>
  <c r="V359" i="1"/>
  <c r="Y359" i="1" s="1"/>
  <c r="V355" i="1"/>
  <c r="Y355" i="1" s="1"/>
  <c r="V354" i="1"/>
  <c r="Y354" i="1" s="1"/>
  <c r="V360" i="1"/>
  <c r="Y360" i="1" s="1"/>
  <c r="V350" i="1"/>
  <c r="Y350" i="1" s="1"/>
  <c r="V348" i="1"/>
  <c r="Y348" i="1" s="1"/>
  <c r="V349" i="1"/>
  <c r="Y349" i="1" s="1"/>
  <c r="V351" i="1"/>
  <c r="Y351" i="1" s="1"/>
  <c r="H401" i="1"/>
  <c r="H400" i="1"/>
  <c r="H399" i="1"/>
  <c r="H398" i="1"/>
  <c r="H383" i="1"/>
  <c r="H377" i="1"/>
  <c r="H370" i="1"/>
  <c r="H361" i="1"/>
  <c r="H353" i="1"/>
  <c r="H347" i="1"/>
  <c r="H344" i="1"/>
  <c r="H341" i="1"/>
  <c r="H340" i="1"/>
  <c r="H339" i="1"/>
  <c r="H338" i="1"/>
  <c r="H337" i="1"/>
  <c r="H336" i="1"/>
  <c r="H335" i="1"/>
  <c r="H322" i="1"/>
  <c r="H321" i="1"/>
  <c r="H320" i="1"/>
  <c r="H319" i="1"/>
  <c r="H318" i="1"/>
  <c r="H312" i="1"/>
  <c r="H311" i="1"/>
  <c r="H310" i="1"/>
  <c r="H309" i="1"/>
  <c r="H308" i="1"/>
  <c r="H307" i="1"/>
  <c r="H306" i="1"/>
  <c r="H305" i="1"/>
  <c r="H304" i="1"/>
  <c r="H303" i="1"/>
  <c r="H302" i="1"/>
  <c r="H301" i="1"/>
  <c r="H297" i="1"/>
  <c r="H291" i="1"/>
  <c r="H290" i="1"/>
  <c r="H287" i="1"/>
  <c r="H285" i="1"/>
  <c r="H284" i="1"/>
  <c r="H283" i="1"/>
  <c r="H282" i="1"/>
  <c r="H281" i="1"/>
  <c r="H277" i="1"/>
  <c r="H274" i="1"/>
  <c r="H273" i="1"/>
  <c r="H272" i="1"/>
  <c r="H270" i="1"/>
  <c r="H269" i="1"/>
  <c r="H229" i="1"/>
  <c r="H215" i="1"/>
  <c r="H214" i="1"/>
  <c r="H212" i="1"/>
  <c r="H211" i="1"/>
  <c r="H210" i="1"/>
  <c r="H209" i="1"/>
  <c r="H208" i="1"/>
  <c r="H207" i="1"/>
  <c r="H206" i="1"/>
  <c r="H205" i="1"/>
  <c r="H204" i="1"/>
  <c r="H203" i="1"/>
  <c r="H202" i="1"/>
  <c r="H201" i="1"/>
  <c r="H200" i="1"/>
  <c r="H199"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65" i="1"/>
  <c r="H164" i="1"/>
  <c r="H163" i="1"/>
  <c r="H162" i="1"/>
  <c r="H161" i="1"/>
  <c r="H160" i="1"/>
  <c r="H159" i="1"/>
  <c r="H158" i="1"/>
  <c r="H157" i="1"/>
  <c r="H156" i="1"/>
  <c r="H155" i="1"/>
  <c r="H154" i="1"/>
  <c r="H149" i="1"/>
  <c r="H148" i="1"/>
  <c r="H147" i="1"/>
  <c r="H146" i="1"/>
  <c r="H145" i="1"/>
  <c r="H144" i="1"/>
  <c r="H143" i="1"/>
  <c r="H142" i="1"/>
  <c r="H141" i="1"/>
  <c r="H140" i="1"/>
  <c r="H139" i="1"/>
  <c r="H138" i="1"/>
  <c r="H137" i="1"/>
  <c r="H136" i="1"/>
  <c r="H135" i="1"/>
  <c r="H134" i="1"/>
  <c r="H133" i="1"/>
  <c r="H132" i="1"/>
  <c r="H131" i="1"/>
  <c r="H130" i="1"/>
  <c r="H129" i="1"/>
  <c r="H128" i="1"/>
  <c r="H121" i="1"/>
  <c r="H120" i="1"/>
  <c r="H119" i="1"/>
  <c r="H118" i="1"/>
  <c r="H117" i="1"/>
  <c r="H116" i="1"/>
  <c r="H115" i="1"/>
  <c r="H56" i="1"/>
  <c r="H57" i="1"/>
  <c r="H58" i="1"/>
  <c r="H59" i="1"/>
  <c r="H60" i="1"/>
  <c r="H61" i="1"/>
  <c r="H62" i="1"/>
  <c r="H63" i="1"/>
  <c r="H65" i="1"/>
  <c r="H66" i="1"/>
  <c r="H67" i="1"/>
  <c r="H68" i="1"/>
  <c r="H70" i="1"/>
  <c r="H71" i="1"/>
  <c r="H72" i="1"/>
  <c r="H73" i="1"/>
  <c r="H74" i="1"/>
  <c r="H75" i="1"/>
  <c r="H76" i="1"/>
  <c r="H77" i="1"/>
  <c r="H78" i="1"/>
  <c r="H79" i="1"/>
  <c r="H80" i="1"/>
  <c r="H81" i="1"/>
  <c r="H82" i="1"/>
  <c r="H88" i="1"/>
  <c r="H90" i="1"/>
  <c r="H91" i="1"/>
  <c r="H92" i="1"/>
  <c r="H93" i="1"/>
  <c r="H94" i="1"/>
  <c r="H95" i="1"/>
  <c r="H96" i="1"/>
  <c r="H97" i="1"/>
  <c r="H98" i="1"/>
  <c r="H99" i="1"/>
  <c r="H100" i="1"/>
  <c r="H101" i="1"/>
  <c r="H102" i="1"/>
  <c r="H103" i="1"/>
  <c r="H104" i="1"/>
  <c r="H105" i="1"/>
  <c r="H106" i="1"/>
  <c r="H107" i="1"/>
  <c r="H108" i="1"/>
  <c r="H109" i="1"/>
  <c r="H110" i="1"/>
  <c r="H112" i="1"/>
  <c r="H113" i="1"/>
  <c r="M114" i="1"/>
  <c r="S114" i="1"/>
  <c r="T114" i="1"/>
  <c r="U114" i="1"/>
  <c r="W114" i="1"/>
  <c r="X114" i="1"/>
  <c r="Y361" i="1" l="1"/>
  <c r="V114" i="1"/>
  <c r="H286" i="1"/>
  <c r="BJ401" i="1" l="1"/>
  <c r="BN401" i="1" s="1"/>
  <c r="BD401" i="1"/>
  <c r="BD400" i="1"/>
  <c r="BD399" i="1"/>
  <c r="BD398" i="1"/>
  <c r="BD397" i="1"/>
  <c r="AS401" i="1"/>
  <c r="AT401" i="1" s="1"/>
  <c r="BK401" i="1" l="1"/>
  <c r="AJ401" i="1"/>
  <c r="S401" i="1"/>
  <c r="T401" i="1"/>
  <c r="U401" i="1"/>
  <c r="D401" i="1" s="1" a="1"/>
  <c r="D401" i="1" s="1"/>
  <c r="W401" i="1"/>
  <c r="X401" i="1"/>
  <c r="M401" i="1"/>
  <c r="I401" i="1" s="1"/>
  <c r="E401" i="1" a="1"/>
  <c r="E401" i="1" s="1"/>
  <c r="V401" i="1" l="1"/>
  <c r="Y401" i="1" s="1"/>
  <c r="AL127" i="1"/>
  <c r="H127" i="1" s="1"/>
  <c r="AL126" i="1"/>
  <c r="H126" i="1" s="1"/>
  <c r="AL125" i="1"/>
  <c r="H125" i="1" s="1"/>
  <c r="AL124" i="1"/>
  <c r="H124" i="1" s="1"/>
  <c r="AM123" i="1"/>
  <c r="H123" i="1" s="1"/>
  <c r="AM122" i="1"/>
  <c r="H122" i="1" s="1"/>
  <c r="AY103" i="1" l="1"/>
  <c r="AZ103" i="1" s="1"/>
  <c r="AY102" i="1"/>
  <c r="AZ102" i="1" s="1"/>
  <c r="AY101" i="1"/>
  <c r="AZ101" i="1" s="1"/>
  <c r="AY100" i="1"/>
  <c r="AZ100" i="1" s="1"/>
  <c r="AY99" i="1"/>
  <c r="AZ99" i="1" s="1"/>
  <c r="AL111" i="1"/>
  <c r="AM111" i="1"/>
  <c r="AX220" i="1"/>
  <c r="AY220" i="1" s="1"/>
  <c r="AZ220" i="1" s="1"/>
  <c r="AV219" i="1"/>
  <c r="AY219" i="1" s="1"/>
  <c r="AZ219" i="1" s="1"/>
  <c r="AX218" i="1"/>
  <c r="AW218" i="1"/>
  <c r="AY218" i="1" s="1"/>
  <c r="AZ218" i="1" s="1"/>
  <c r="AX217" i="1"/>
  <c r="AY217" i="1" s="1"/>
  <c r="AZ217" i="1" s="1"/>
  <c r="AW216" i="1"/>
  <c r="AY216" i="1" s="1"/>
  <c r="AZ216" i="1" s="1"/>
  <c r="AV215" i="1"/>
  <c r="AY215" i="1" s="1"/>
  <c r="AZ215" i="1" s="1"/>
  <c r="AY214" i="1"/>
  <c r="AZ214" i="1" s="1"/>
  <c r="AY213" i="1"/>
  <c r="AZ213" i="1" s="1"/>
  <c r="AY212" i="1"/>
  <c r="AZ212" i="1" s="1"/>
  <c r="AY211" i="1"/>
  <c r="AZ211" i="1" s="1"/>
  <c r="AY210" i="1"/>
  <c r="AZ210" i="1" s="1"/>
  <c r="AY209" i="1"/>
  <c r="AZ209" i="1" s="1"/>
  <c r="AY208" i="1"/>
  <c r="AZ208" i="1" s="1"/>
  <c r="AY207" i="1"/>
  <c r="AZ207" i="1" s="1"/>
  <c r="AY206" i="1"/>
  <c r="AZ206" i="1" s="1"/>
  <c r="AY205" i="1"/>
  <c r="AZ205" i="1" s="1"/>
  <c r="AY204" i="1"/>
  <c r="AZ204" i="1" s="1"/>
  <c r="H220" i="1"/>
  <c r="H219" i="1"/>
  <c r="H217" i="1"/>
  <c r="H216" i="1"/>
  <c r="H213" i="1"/>
  <c r="H218" i="1" l="1"/>
  <c r="H111" i="1"/>
  <c r="E400" i="1" a="1"/>
  <c r="E400" i="1" s="1"/>
  <c r="E399" i="1" a="1"/>
  <c r="E399" i="1" s="1"/>
  <c r="E398" i="1" a="1"/>
  <c r="E398" i="1" s="1"/>
  <c r="E397" i="1" a="1"/>
  <c r="E397" i="1" s="1"/>
  <c r="E396" i="1" a="1"/>
  <c r="E396" i="1" s="1"/>
  <c r="E395" i="1" a="1"/>
  <c r="E395" i="1" s="1"/>
  <c r="E393" i="1" a="1"/>
  <c r="E393" i="1" s="1"/>
  <c r="E392" i="1" a="1"/>
  <c r="E392" i="1" s="1"/>
  <c r="E391" i="1" a="1"/>
  <c r="E391" i="1" s="1"/>
  <c r="E390" i="1" a="1"/>
  <c r="E390" i="1" s="1"/>
  <c r="E389" i="1" a="1"/>
  <c r="E389" i="1" s="1"/>
  <c r="E388" i="1" a="1"/>
  <c r="E388" i="1" s="1"/>
  <c r="E383" i="1" a="1"/>
  <c r="E383" i="1" s="1"/>
  <c r="E377" i="1" a="1"/>
  <c r="E377" i="1" s="1"/>
  <c r="E370" i="1" a="1"/>
  <c r="E370" i="1" s="1"/>
  <c r="E361" i="1" a="1"/>
  <c r="E361" i="1" s="1"/>
  <c r="E353" i="1" a="1"/>
  <c r="E353" i="1" s="1"/>
  <c r="E347" i="1" a="1"/>
  <c r="E347" i="1" s="1"/>
  <c r="E346" i="1" a="1"/>
  <c r="E346" i="1" s="1"/>
  <c r="E345" i="1" a="1"/>
  <c r="E345" i="1" s="1"/>
  <c r="E344" i="1" a="1"/>
  <c r="E344" i="1" s="1"/>
  <c r="E343" i="1" a="1"/>
  <c r="E343" i="1" s="1"/>
  <c r="E342" i="1" a="1"/>
  <c r="E342" i="1" s="1"/>
  <c r="E341" i="1" a="1"/>
  <c r="E341" i="1" s="1"/>
  <c r="E340" i="1" a="1"/>
  <c r="E340" i="1" s="1"/>
  <c r="E339" i="1" a="1"/>
  <c r="E339" i="1" s="1"/>
  <c r="E338" i="1" a="1"/>
  <c r="E338" i="1" s="1"/>
  <c r="E337" i="1" a="1"/>
  <c r="E337" i="1" s="1"/>
  <c r="E336" i="1" a="1"/>
  <c r="E336" i="1" s="1"/>
  <c r="E335" i="1" a="1"/>
  <c r="E335" i="1" s="1"/>
  <c r="E334" i="1" a="1"/>
  <c r="E334" i="1" s="1"/>
  <c r="E333" i="1" a="1"/>
  <c r="E333" i="1" s="1"/>
  <c r="E332" i="1" a="1"/>
  <c r="E332" i="1" s="1"/>
  <c r="E329" i="1" a="1"/>
  <c r="E329" i="1" s="1"/>
  <c r="E328" i="1" a="1"/>
  <c r="E328" i="1" s="1"/>
  <c r="E327" i="1" a="1"/>
  <c r="E327" i="1" s="1"/>
  <c r="E325" i="1" a="1"/>
  <c r="E325" i="1" s="1"/>
  <c r="E323" i="1" a="1"/>
  <c r="E323" i="1" s="1"/>
  <c r="E322" i="1" a="1"/>
  <c r="E322" i="1" s="1"/>
  <c r="E321" i="1" a="1"/>
  <c r="E321" i="1" s="1"/>
  <c r="E320" i="1" a="1"/>
  <c r="E320" i="1" s="1"/>
  <c r="E319" i="1" a="1"/>
  <c r="E319" i="1" s="1"/>
  <c r="E318" i="1" a="1"/>
  <c r="E318" i="1" s="1"/>
  <c r="E317" i="1" a="1"/>
  <c r="E317" i="1" s="1"/>
  <c r="E316" i="1" a="1"/>
  <c r="E316" i="1" s="1"/>
  <c r="E315" i="1" a="1"/>
  <c r="E315" i="1" s="1"/>
  <c r="E313" i="1" a="1"/>
  <c r="E313" i="1" s="1"/>
  <c r="E312" i="1" a="1"/>
  <c r="E312" i="1" s="1"/>
  <c r="E311" i="1" a="1"/>
  <c r="E311" i="1" s="1"/>
  <c r="E310" i="1" a="1"/>
  <c r="E310" i="1" s="1"/>
  <c r="E309" i="1" a="1"/>
  <c r="E309" i="1" s="1"/>
  <c r="E308" i="1" a="1"/>
  <c r="E308" i="1" s="1"/>
  <c r="E307" i="1" a="1"/>
  <c r="E307" i="1" s="1"/>
  <c r="E306" i="1" a="1"/>
  <c r="E306" i="1" s="1"/>
  <c r="E305" i="1" a="1"/>
  <c r="E305" i="1" s="1"/>
  <c r="E304" i="1" a="1"/>
  <c r="E304" i="1" s="1"/>
  <c r="E303" i="1" a="1"/>
  <c r="E303" i="1" s="1"/>
  <c r="E302" i="1" a="1"/>
  <c r="E302" i="1" s="1"/>
  <c r="E301" i="1" a="1"/>
  <c r="E301" i="1" s="1"/>
  <c r="E300" i="1" a="1"/>
  <c r="E300" i="1" s="1"/>
  <c r="E298" i="1" a="1"/>
  <c r="E298" i="1" s="1"/>
  <c r="E297" i="1" a="1"/>
  <c r="E297" i="1" s="1"/>
  <c r="E296" i="1" a="1"/>
  <c r="E296" i="1" s="1"/>
  <c r="E295" i="1" a="1"/>
  <c r="E295" i="1" s="1"/>
  <c r="E294" i="1" a="1"/>
  <c r="E294" i="1" s="1"/>
  <c r="E293" i="1" a="1"/>
  <c r="E293" i="1" s="1"/>
  <c r="E291" i="1" a="1"/>
  <c r="E291" i="1" s="1"/>
  <c r="E290" i="1" a="1"/>
  <c r="E290" i="1" s="1"/>
  <c r="E287" i="1" a="1"/>
  <c r="E287" i="1" s="1"/>
  <c r="E286" i="1" a="1"/>
  <c r="E286" i="1" s="1"/>
  <c r="E285" i="1" a="1"/>
  <c r="E285" i="1" s="1"/>
  <c r="E284" i="1" a="1"/>
  <c r="E284" i="1" s="1"/>
  <c r="E283" i="1" a="1"/>
  <c r="E283" i="1" s="1"/>
  <c r="E282" i="1" a="1"/>
  <c r="E282" i="1" s="1"/>
  <c r="E281" i="1" a="1"/>
  <c r="E281" i="1" s="1"/>
  <c r="E277" i="1" a="1"/>
  <c r="E277" i="1" s="1"/>
  <c r="E274" i="1" a="1"/>
  <c r="E274" i="1" s="1"/>
  <c r="E273" i="1" a="1"/>
  <c r="E273" i="1" s="1"/>
  <c r="E272" i="1" a="1"/>
  <c r="E272" i="1" s="1"/>
  <c r="E271" i="1" a="1"/>
  <c r="E271" i="1" s="1"/>
  <c r="E270" i="1" a="1"/>
  <c r="E270" i="1" s="1"/>
  <c r="E269" i="1" a="1"/>
  <c r="E269" i="1" s="1"/>
  <c r="E268" i="1" a="1"/>
  <c r="E268" i="1" s="1"/>
  <c r="E267" i="1" a="1"/>
  <c r="E267" i="1" s="1"/>
  <c r="E266" i="1" a="1"/>
  <c r="E266" i="1" s="1"/>
  <c r="E246" i="1" a="1"/>
  <c r="E246" i="1" s="1"/>
  <c r="E265" i="1" a="1"/>
  <c r="E265" i="1" s="1"/>
  <c r="E245" i="1" a="1"/>
  <c r="E245" i="1" s="1"/>
  <c r="E244" i="1" a="1"/>
  <c r="E244" i="1" s="1"/>
  <c r="E243" i="1" a="1"/>
  <c r="E243" i="1" s="1"/>
  <c r="E242" i="1" a="1"/>
  <c r="E242" i="1" s="1"/>
  <c r="E241" i="1" a="1"/>
  <c r="E241" i="1" s="1"/>
  <c r="E240" i="1" a="1"/>
  <c r="E240" i="1" s="1"/>
  <c r="E239" i="1" a="1"/>
  <c r="E239" i="1" s="1"/>
  <c r="E238" i="1" a="1"/>
  <c r="E238" i="1" s="1"/>
  <c r="E235" i="1" a="1"/>
  <c r="E235" i="1" s="1"/>
  <c r="E233" i="1" a="1"/>
  <c r="E233" i="1" s="1"/>
  <c r="E232" i="1" a="1"/>
  <c r="E232" i="1" s="1"/>
  <c r="E229" i="1" a="1"/>
  <c r="E229" i="1" s="1"/>
  <c r="E227" i="1" a="1"/>
  <c r="E227" i="1" s="1"/>
  <c r="E225" i="1" a="1"/>
  <c r="E225" i="1" s="1"/>
  <c r="E223" i="1" a="1"/>
  <c r="E223" i="1" s="1"/>
  <c r="E221" i="1" a="1"/>
  <c r="E221" i="1" s="1"/>
  <c r="E220" i="1" a="1"/>
  <c r="E220" i="1" s="1"/>
  <c r="E219" i="1" a="1"/>
  <c r="E219" i="1" s="1"/>
  <c r="E218" i="1" a="1"/>
  <c r="E218" i="1" s="1"/>
  <c r="E217" i="1" a="1"/>
  <c r="E217" i="1" s="1"/>
  <c r="E216" i="1" a="1"/>
  <c r="E216" i="1" s="1"/>
  <c r="E215" i="1" a="1"/>
  <c r="E215" i="1" s="1"/>
  <c r="E214" i="1" a="1"/>
  <c r="E214" i="1" s="1"/>
  <c r="E213" i="1" a="1"/>
  <c r="E213" i="1" s="1"/>
  <c r="E212" i="1" a="1"/>
  <c r="E212" i="1" s="1"/>
  <c r="E211" i="1" a="1"/>
  <c r="E211" i="1" s="1"/>
  <c r="E210" i="1" a="1"/>
  <c r="E210" i="1" s="1"/>
  <c r="E209" i="1" a="1"/>
  <c r="E209" i="1" s="1"/>
  <c r="E208" i="1" a="1"/>
  <c r="E208" i="1" s="1"/>
  <c r="E207" i="1" a="1"/>
  <c r="E207" i="1" s="1"/>
  <c r="E206" i="1" a="1"/>
  <c r="E206" i="1" s="1"/>
  <c r="E205" i="1" a="1"/>
  <c r="E205" i="1" s="1"/>
  <c r="E204" i="1" a="1"/>
  <c r="E204" i="1" s="1"/>
  <c r="E203" i="1" a="1"/>
  <c r="E203" i="1" s="1"/>
  <c r="E202" i="1" a="1"/>
  <c r="E202" i="1" s="1"/>
  <c r="E201" i="1" a="1"/>
  <c r="E201" i="1" s="1"/>
  <c r="E200" i="1" a="1"/>
  <c r="E200" i="1" s="1"/>
  <c r="E199" i="1" a="1"/>
  <c r="E199" i="1" s="1"/>
  <c r="E197" i="1" a="1"/>
  <c r="E197" i="1" s="1"/>
  <c r="E196" i="1" a="1"/>
  <c r="E196" i="1" s="1"/>
  <c r="E195" i="1" a="1"/>
  <c r="E195" i="1" s="1"/>
  <c r="E194" i="1" a="1"/>
  <c r="E194" i="1" s="1"/>
  <c r="E193" i="1" a="1"/>
  <c r="E193" i="1" s="1"/>
  <c r="E192" i="1" a="1"/>
  <c r="E192" i="1" s="1"/>
  <c r="E191" i="1" a="1"/>
  <c r="E191" i="1" s="1"/>
  <c r="E190" i="1" a="1"/>
  <c r="E190" i="1" s="1"/>
  <c r="E189" i="1" a="1"/>
  <c r="E189" i="1" s="1"/>
  <c r="E188" i="1" a="1"/>
  <c r="E188" i="1" s="1"/>
  <c r="E187" i="1" a="1"/>
  <c r="E187" i="1" s="1"/>
  <c r="E186" i="1" a="1"/>
  <c r="E186" i="1" s="1"/>
  <c r="E185" i="1" a="1"/>
  <c r="E185" i="1" s="1"/>
  <c r="E184" i="1" a="1"/>
  <c r="E184" i="1" s="1"/>
  <c r="E183" i="1" a="1"/>
  <c r="E183" i="1" s="1"/>
  <c r="E182" i="1" a="1"/>
  <c r="E182" i="1" s="1"/>
  <c r="E181" i="1" a="1"/>
  <c r="E181" i="1" s="1"/>
  <c r="E180" i="1" a="1"/>
  <c r="E180" i="1" s="1"/>
  <c r="E179" i="1" a="1"/>
  <c r="E179" i="1" s="1"/>
  <c r="E178" i="1" a="1"/>
  <c r="E178" i="1" s="1"/>
  <c r="E177" i="1" a="1"/>
  <c r="E177" i="1" s="1"/>
  <c r="E176" i="1" a="1"/>
  <c r="E176" i="1" s="1"/>
  <c r="E175" i="1" a="1"/>
  <c r="E175" i="1" s="1"/>
  <c r="E174" i="1" a="1"/>
  <c r="E174" i="1" s="1"/>
  <c r="E173" i="1" a="1"/>
  <c r="E173" i="1" s="1"/>
  <c r="E172" i="1" a="1"/>
  <c r="E172" i="1" s="1"/>
  <c r="E171" i="1" a="1"/>
  <c r="E171" i="1" s="1"/>
  <c r="E170" i="1" a="1"/>
  <c r="E170" i="1" s="1"/>
  <c r="E167" i="1" a="1"/>
  <c r="E167" i="1" s="1"/>
  <c r="E165" i="1" a="1"/>
  <c r="E165" i="1" s="1"/>
  <c r="E164" i="1" a="1"/>
  <c r="E164" i="1" s="1"/>
  <c r="E163" i="1" a="1"/>
  <c r="E163" i="1" s="1"/>
  <c r="E162" i="1" a="1"/>
  <c r="E162" i="1" s="1"/>
  <c r="E161" i="1" a="1"/>
  <c r="E161" i="1" s="1"/>
  <c r="E160" i="1" a="1"/>
  <c r="E160" i="1" s="1"/>
  <c r="E159" i="1" a="1"/>
  <c r="E159" i="1" s="1"/>
  <c r="E158" i="1" a="1"/>
  <c r="E158" i="1" s="1"/>
  <c r="E157" i="1" a="1"/>
  <c r="E157" i="1" s="1"/>
  <c r="E156" i="1" a="1"/>
  <c r="E156" i="1" s="1"/>
  <c r="E155" i="1" a="1"/>
  <c r="E155" i="1" s="1"/>
  <c r="E154" i="1" a="1"/>
  <c r="E154" i="1" s="1"/>
  <c r="E149" i="1" a="1"/>
  <c r="E149" i="1" s="1"/>
  <c r="E148" i="1" a="1"/>
  <c r="E148" i="1" s="1"/>
  <c r="E147" i="1" a="1"/>
  <c r="E147" i="1" s="1"/>
  <c r="E146" i="1" a="1"/>
  <c r="E146" i="1" s="1"/>
  <c r="E145" i="1" a="1"/>
  <c r="E145" i="1" s="1"/>
  <c r="E144" i="1" a="1"/>
  <c r="E144" i="1" s="1"/>
  <c r="E143" i="1" a="1"/>
  <c r="E143" i="1" s="1"/>
  <c r="E142" i="1" a="1"/>
  <c r="E142" i="1" s="1"/>
  <c r="E141" i="1" a="1"/>
  <c r="E141" i="1" s="1"/>
  <c r="E140" i="1" a="1"/>
  <c r="E140" i="1" s="1"/>
  <c r="E139" i="1" a="1"/>
  <c r="E139" i="1" s="1"/>
  <c r="E138" i="1" a="1"/>
  <c r="E138" i="1" s="1"/>
  <c r="E137" i="1" a="1"/>
  <c r="E137" i="1" s="1"/>
  <c r="E136" i="1" a="1"/>
  <c r="E136" i="1" s="1"/>
  <c r="E135" i="1" a="1"/>
  <c r="E135" i="1" s="1"/>
  <c r="E134" i="1" a="1"/>
  <c r="E134" i="1" s="1"/>
  <c r="E133" i="1" a="1"/>
  <c r="E133" i="1" s="1"/>
  <c r="E132" i="1" a="1"/>
  <c r="E132" i="1" s="1"/>
  <c r="E131" i="1" a="1"/>
  <c r="E131" i="1" s="1"/>
  <c r="E130" i="1" a="1"/>
  <c r="E130" i="1" s="1"/>
  <c r="E129" i="1" a="1"/>
  <c r="E129" i="1" s="1"/>
  <c r="E128" i="1" a="1"/>
  <c r="E128" i="1" s="1"/>
  <c r="E127" i="1" a="1"/>
  <c r="E127" i="1" s="1"/>
  <c r="E126" i="1" a="1"/>
  <c r="E126" i="1" s="1"/>
  <c r="E125" i="1" a="1"/>
  <c r="E125" i="1" s="1"/>
  <c r="E124" i="1" a="1"/>
  <c r="E124" i="1" s="1"/>
  <c r="E123" i="1" a="1"/>
  <c r="E123" i="1" s="1"/>
  <c r="E122" i="1" a="1"/>
  <c r="E122" i="1" s="1"/>
  <c r="E121" i="1" a="1"/>
  <c r="E121" i="1" s="1"/>
  <c r="E120" i="1" a="1"/>
  <c r="E120" i="1" s="1"/>
  <c r="E119" i="1" a="1"/>
  <c r="E119" i="1" s="1"/>
  <c r="E118" i="1" a="1"/>
  <c r="E118" i="1" s="1"/>
  <c r="E117" i="1" a="1"/>
  <c r="E117" i="1" s="1"/>
  <c r="E116" i="1" a="1"/>
  <c r="E116" i="1" s="1"/>
  <c r="E115" i="1" a="1"/>
  <c r="E115" i="1" s="1"/>
  <c r="E114" i="1" a="1"/>
  <c r="E114" i="1" s="1"/>
  <c r="E113" i="1" a="1"/>
  <c r="E113" i="1" s="1"/>
  <c r="E112" i="1" a="1"/>
  <c r="E112" i="1" s="1"/>
  <c r="E111" i="1" a="1"/>
  <c r="E111" i="1" s="1"/>
  <c r="E110" i="1" a="1"/>
  <c r="E110" i="1" s="1"/>
  <c r="E109" i="1" a="1"/>
  <c r="E109" i="1" s="1"/>
  <c r="E108" i="1" a="1"/>
  <c r="E108" i="1" s="1"/>
  <c r="E107" i="1" a="1"/>
  <c r="E107" i="1" s="1"/>
  <c r="E106" i="1" a="1"/>
  <c r="E106" i="1" s="1"/>
  <c r="E105" i="1" a="1"/>
  <c r="E105" i="1" s="1"/>
  <c r="E104" i="1" a="1"/>
  <c r="E104" i="1" s="1"/>
  <c r="E103" i="1" a="1"/>
  <c r="E103" i="1" s="1"/>
  <c r="E102" i="1" a="1"/>
  <c r="E102" i="1" s="1"/>
  <c r="E101" i="1" a="1"/>
  <c r="E101" i="1" s="1"/>
  <c r="E100" i="1" a="1"/>
  <c r="E100" i="1" s="1"/>
  <c r="E99" i="1" a="1"/>
  <c r="E99" i="1" s="1"/>
  <c r="E98" i="1" a="1"/>
  <c r="E98" i="1" s="1"/>
  <c r="E97" i="1" a="1"/>
  <c r="E97" i="1" s="1"/>
  <c r="E96" i="1" a="1"/>
  <c r="E96" i="1" s="1"/>
  <c r="E95" i="1" a="1"/>
  <c r="E95" i="1" s="1"/>
  <c r="E94" i="1" a="1"/>
  <c r="E94" i="1" s="1"/>
  <c r="E93" i="1" a="1"/>
  <c r="E93" i="1" s="1"/>
  <c r="E92" i="1" a="1"/>
  <c r="E92" i="1" s="1"/>
  <c r="E91" i="1" a="1"/>
  <c r="E91" i="1" s="1"/>
  <c r="E90" i="1" a="1"/>
  <c r="E90" i="1" s="1"/>
  <c r="E88" i="1" a="1"/>
  <c r="E88" i="1" s="1"/>
  <c r="E82" i="1" a="1"/>
  <c r="E82" i="1" s="1"/>
  <c r="E81" i="1" a="1"/>
  <c r="E81" i="1" s="1"/>
  <c r="E80" i="1" a="1"/>
  <c r="E80" i="1" s="1"/>
  <c r="E79" i="1" a="1"/>
  <c r="E79" i="1" s="1"/>
  <c r="E78" i="1" a="1"/>
  <c r="E78" i="1" s="1"/>
  <c r="E77" i="1" a="1"/>
  <c r="E77" i="1" s="1"/>
  <c r="E76" i="1" a="1"/>
  <c r="E76" i="1" s="1"/>
  <c r="E75" i="1" a="1"/>
  <c r="E75" i="1" s="1"/>
  <c r="E74" i="1" a="1"/>
  <c r="E74" i="1" s="1"/>
  <c r="E73" i="1" a="1"/>
  <c r="E73" i="1" s="1"/>
  <c r="E72" i="1" a="1"/>
  <c r="E72" i="1" s="1"/>
  <c r="E71" i="1" a="1"/>
  <c r="E71" i="1" s="1"/>
  <c r="E70" i="1" a="1"/>
  <c r="E70" i="1" s="1"/>
  <c r="E68" i="1" a="1"/>
  <c r="E68" i="1" s="1"/>
  <c r="E67" i="1" a="1"/>
  <c r="E67" i="1" s="1"/>
  <c r="E66" i="1" a="1"/>
  <c r="E66" i="1" s="1"/>
  <c r="E65" i="1" a="1"/>
  <c r="E65" i="1" s="1"/>
  <c r="E63" i="1" a="1"/>
  <c r="E63" i="1" s="1"/>
  <c r="E62" i="1" a="1"/>
  <c r="E62" i="1" s="1"/>
  <c r="E61" i="1" a="1"/>
  <c r="E61" i="1" s="1"/>
  <c r="E60" i="1" a="1"/>
  <c r="E60" i="1" s="1"/>
  <c r="E59" i="1" a="1"/>
  <c r="E59" i="1" s="1"/>
  <c r="E58" i="1" a="1"/>
  <c r="E58" i="1" s="1"/>
  <c r="E57" i="1" a="1"/>
  <c r="E57" i="1" s="1"/>
  <c r="E56" i="1" a="1"/>
  <c r="E56" i="1" s="1"/>
  <c r="D203" i="1" a="1"/>
  <c r="D203" i="1" s="1"/>
  <c r="D202" i="1" a="1"/>
  <c r="D202" i="1" s="1"/>
  <c r="D201" i="1" a="1"/>
  <c r="D201" i="1" s="1"/>
  <c r="D200" i="1" a="1"/>
  <c r="D200" i="1" s="1"/>
  <c r="D199" i="1" a="1"/>
  <c r="D199" i="1" s="1"/>
  <c r="D198" i="1" a="1"/>
  <c r="D198" i="1" s="1"/>
  <c r="D197" i="1" a="1"/>
  <c r="D197" i="1" s="1"/>
  <c r="D196" i="1" a="1"/>
  <c r="D196" i="1" s="1"/>
  <c r="D195" i="1" a="1"/>
  <c r="D195" i="1" s="1"/>
  <c r="X265" i="1" l="1"/>
  <c r="W265" i="1"/>
  <c r="U265" i="1"/>
  <c r="D265" i="1" s="1" a="1"/>
  <c r="D265" i="1" s="1"/>
  <c r="T265" i="1"/>
  <c r="S265" i="1"/>
  <c r="AR267" i="1"/>
  <c r="V265" i="1" l="1"/>
  <c r="Y265" i="1" s="1"/>
  <c r="BJ400" i="1"/>
  <c r="BK400" i="1" s="1"/>
  <c r="BJ399" i="1"/>
  <c r="BK399" i="1" s="1"/>
  <c r="U400" i="1"/>
  <c r="D400" i="1" s="1" a="1"/>
  <c r="D400" i="1" s="1"/>
  <c r="W400" i="1"/>
  <c r="X400" i="1"/>
  <c r="U399" i="1"/>
  <c r="D399" i="1" s="1" a="1"/>
  <c r="D399" i="1" s="1"/>
  <c r="W399" i="1"/>
  <c r="X399" i="1"/>
  <c r="T400" i="1"/>
  <c r="T399" i="1"/>
  <c r="S400" i="1"/>
  <c r="S399" i="1"/>
  <c r="M400" i="1"/>
  <c r="I400" i="1" s="1"/>
  <c r="M399" i="1"/>
  <c r="I399" i="1" s="1"/>
  <c r="S398" i="1"/>
  <c r="T398" i="1"/>
  <c r="U398" i="1"/>
  <c r="D398" i="1" s="1" a="1"/>
  <c r="D398" i="1" s="1"/>
  <c r="W398" i="1"/>
  <c r="X398" i="1"/>
  <c r="BI398" i="1"/>
  <c r="BJ398" i="1" s="1"/>
  <c r="BK398" i="1" s="1"/>
  <c r="AY341" i="1"/>
  <c r="AZ341" i="1" s="1"/>
  <c r="X341" i="1"/>
  <c r="W341" i="1"/>
  <c r="U341" i="1"/>
  <c r="D341" i="1" s="1" a="1"/>
  <c r="D341" i="1" s="1"/>
  <c r="T341" i="1"/>
  <c r="S341" i="1"/>
  <c r="M341" i="1"/>
  <c r="V398" i="1" l="1"/>
  <c r="Y398" i="1" s="1"/>
  <c r="V400" i="1"/>
  <c r="Y400" i="1" s="1"/>
  <c r="V341" i="1"/>
  <c r="Y341" i="1" s="1"/>
  <c r="V399" i="1"/>
  <c r="Y399" i="1" s="1"/>
  <c r="AY203" i="1"/>
  <c r="AZ203" i="1" s="1"/>
  <c r="AY202" i="1" l="1"/>
  <c r="AZ202" i="1" s="1"/>
  <c r="AY201" i="1"/>
  <c r="AZ201" i="1" s="1"/>
  <c r="AY200" i="1"/>
  <c r="AZ200" i="1" s="1"/>
  <c r="AY199" i="1"/>
  <c r="AZ199" i="1" s="1"/>
  <c r="AY198" i="1" l="1"/>
  <c r="AZ198" i="1" s="1"/>
  <c r="AY197" i="1"/>
  <c r="AZ197" i="1" s="1"/>
  <c r="AY196" i="1"/>
  <c r="AZ196" i="1" s="1"/>
  <c r="AY195" i="1"/>
  <c r="AZ195" i="1" s="1"/>
  <c r="AY194" i="1" l="1"/>
  <c r="AZ194" i="1" s="1"/>
  <c r="AY193" i="1"/>
  <c r="AZ193" i="1" s="1"/>
  <c r="AY192" i="1"/>
  <c r="AZ192" i="1" s="1"/>
  <c r="AY191" i="1"/>
  <c r="AZ191" i="1" s="1"/>
  <c r="AY190" i="1"/>
  <c r="AZ190" i="1" s="1"/>
  <c r="AY189" i="1"/>
  <c r="AZ189" i="1" s="1"/>
  <c r="AY188" i="1"/>
  <c r="AZ188" i="1" s="1"/>
  <c r="AY187" i="1"/>
  <c r="AZ187" i="1" s="1"/>
  <c r="BD84" i="1" l="1"/>
  <c r="BD396" i="1"/>
  <c r="BD395" i="1"/>
  <c r="BD394" i="1"/>
  <c r="BD393" i="1"/>
  <c r="BD392" i="1"/>
  <c r="BD391" i="1"/>
  <c r="BD390" i="1"/>
  <c r="BD389" i="1"/>
  <c r="BD388" i="1"/>
  <c r="BD383" i="1"/>
  <c r="BD377" i="1"/>
  <c r="BD370" i="1"/>
  <c r="BD361" i="1"/>
  <c r="BD353" i="1"/>
  <c r="BD347" i="1"/>
  <c r="BD346" i="1"/>
  <c r="BD345" i="1"/>
  <c r="BD344" i="1"/>
  <c r="BD343" i="1"/>
  <c r="BD342" i="1"/>
  <c r="BD340" i="1"/>
  <c r="BD339" i="1"/>
  <c r="BD338" i="1"/>
  <c r="BD337" i="1"/>
  <c r="BD336" i="1"/>
  <c r="BD335" i="1"/>
  <c r="BD334" i="1"/>
  <c r="BD333" i="1"/>
  <c r="BD332" i="1"/>
  <c r="BD331" i="1"/>
  <c r="BD330" i="1"/>
  <c r="BD329" i="1"/>
  <c r="BD328" i="1"/>
  <c r="BD327" i="1"/>
  <c r="BD326" i="1"/>
  <c r="BD325" i="1"/>
  <c r="BD324" i="1"/>
  <c r="BD323" i="1"/>
  <c r="BD322" i="1"/>
  <c r="BD321" i="1"/>
  <c r="BD320" i="1"/>
  <c r="BD319" i="1"/>
  <c r="BD318" i="1"/>
  <c r="BD317" i="1"/>
  <c r="BD316" i="1"/>
  <c r="BD315" i="1"/>
  <c r="BD314" i="1"/>
  <c r="BD313" i="1"/>
  <c r="BD312" i="1"/>
  <c r="BD311" i="1"/>
  <c r="BD310" i="1"/>
  <c r="BD309" i="1"/>
  <c r="BD308" i="1"/>
  <c r="BD307" i="1"/>
  <c r="BD306" i="1"/>
  <c r="BD305" i="1"/>
  <c r="BD304" i="1"/>
  <c r="BD303" i="1"/>
  <c r="BD302" i="1"/>
  <c r="BD301" i="1"/>
  <c r="BD300" i="1"/>
  <c r="BD299" i="1"/>
  <c r="BD298" i="1"/>
  <c r="BD297" i="1"/>
  <c r="BD296" i="1"/>
  <c r="BD295" i="1"/>
  <c r="BD294" i="1"/>
  <c r="BD293" i="1"/>
  <c r="BD292" i="1"/>
  <c r="BD291" i="1"/>
  <c r="BD290" i="1"/>
  <c r="BD287" i="1"/>
  <c r="BD286" i="1"/>
  <c r="BD284" i="1"/>
  <c r="BD283" i="1"/>
  <c r="BD282" i="1"/>
  <c r="BD281" i="1"/>
  <c r="BD277" i="1"/>
  <c r="BD274" i="1"/>
  <c r="BD273" i="1"/>
  <c r="BD272" i="1"/>
  <c r="BD271" i="1"/>
  <c r="BD270" i="1"/>
  <c r="BD269" i="1"/>
  <c r="BD268" i="1"/>
  <c r="BD267" i="1"/>
  <c r="BD266" i="1"/>
  <c r="BD246" i="1"/>
  <c r="BD245" i="1"/>
  <c r="BD244" i="1"/>
  <c r="BD243" i="1"/>
  <c r="BD242" i="1"/>
  <c r="BD241" i="1"/>
  <c r="BD240" i="1"/>
  <c r="BD239" i="1"/>
  <c r="BD238" i="1"/>
  <c r="BD237" i="1"/>
  <c r="BD236" i="1"/>
  <c r="BD235" i="1"/>
  <c r="BD234" i="1"/>
  <c r="BD233" i="1"/>
  <c r="BD232" i="1"/>
  <c r="BD231" i="1"/>
  <c r="BD230" i="1"/>
  <c r="BD229" i="1"/>
  <c r="BD228" i="1"/>
  <c r="BD227" i="1"/>
  <c r="BD226" i="1"/>
  <c r="BD225" i="1"/>
  <c r="BD224" i="1"/>
  <c r="BD223" i="1"/>
  <c r="BD222" i="1"/>
  <c r="BD221" i="1"/>
  <c r="BD220" i="1"/>
  <c r="BD219" i="1"/>
  <c r="BD218" i="1"/>
  <c r="BD217" i="1"/>
  <c r="BD216" i="1"/>
  <c r="BD215" i="1"/>
  <c r="BD214" i="1"/>
  <c r="BD213" i="1"/>
  <c r="BD212" i="1"/>
  <c r="BD211" i="1"/>
  <c r="BD210" i="1"/>
  <c r="BD209" i="1"/>
  <c r="BD208" i="1"/>
  <c r="BD207" i="1"/>
  <c r="BD206" i="1"/>
  <c r="BD205" i="1"/>
  <c r="BD204" i="1"/>
  <c r="BD203" i="1"/>
  <c r="BD202" i="1"/>
  <c r="BD201" i="1"/>
  <c r="BD200" i="1"/>
  <c r="BD199" i="1"/>
  <c r="BD198" i="1"/>
  <c r="BD197" i="1"/>
  <c r="BD196" i="1"/>
  <c r="BD195" i="1"/>
  <c r="BD194" i="1"/>
  <c r="BD193" i="1"/>
  <c r="BD192" i="1"/>
  <c r="BD191" i="1"/>
  <c r="BD190" i="1"/>
  <c r="BD189" i="1"/>
  <c r="BD188" i="1"/>
  <c r="BD187" i="1"/>
  <c r="BD186" i="1"/>
  <c r="BD185" i="1"/>
  <c r="BD184" i="1"/>
  <c r="BD183" i="1"/>
  <c r="BD182" i="1"/>
  <c r="BD181" i="1"/>
  <c r="BD180" i="1"/>
  <c r="BD179" i="1"/>
  <c r="BD178" i="1"/>
  <c r="BD177" i="1"/>
  <c r="BD176" i="1"/>
  <c r="BD175" i="1"/>
  <c r="BD174" i="1"/>
  <c r="BD173" i="1"/>
  <c r="BD172" i="1"/>
  <c r="BD171" i="1"/>
  <c r="BD170" i="1"/>
  <c r="BD169" i="1"/>
  <c r="BD168" i="1"/>
  <c r="BD167" i="1"/>
  <c r="BD166" i="1"/>
  <c r="BD165" i="1"/>
  <c r="BD164" i="1"/>
  <c r="BD163" i="1"/>
  <c r="BD162" i="1"/>
  <c r="BD161" i="1"/>
  <c r="BD160" i="1"/>
  <c r="BD159" i="1"/>
  <c r="BD158" i="1"/>
  <c r="BD157" i="1"/>
  <c r="BD156" i="1"/>
  <c r="BD155" i="1"/>
  <c r="BD154"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9" i="1"/>
  <c r="BD118" i="1"/>
  <c r="BD117" i="1"/>
  <c r="BD116" i="1"/>
  <c r="BD115" i="1"/>
  <c r="BD114" i="1"/>
  <c r="BD113" i="1"/>
  <c r="BD112" i="1"/>
  <c r="BD111" i="1"/>
  <c r="BD110" i="1"/>
  <c r="BD109" i="1"/>
  <c r="BD108" i="1"/>
  <c r="BD107" i="1"/>
  <c r="BD106" i="1"/>
  <c r="BD105" i="1"/>
  <c r="BD104" i="1"/>
  <c r="BD103" i="1"/>
  <c r="BD102" i="1"/>
  <c r="BD101" i="1"/>
  <c r="BD100" i="1"/>
  <c r="BD99" i="1"/>
  <c r="BD98" i="1"/>
  <c r="BD97" i="1"/>
  <c r="BD96" i="1"/>
  <c r="BD95" i="1"/>
  <c r="BD94" i="1"/>
  <c r="BD93" i="1"/>
  <c r="BD92" i="1"/>
  <c r="BD91" i="1"/>
  <c r="BD90" i="1"/>
  <c r="BD89" i="1"/>
  <c r="BD88" i="1"/>
  <c r="BD82" i="1"/>
  <c r="BD81" i="1"/>
  <c r="BD80" i="1"/>
  <c r="BD79" i="1"/>
  <c r="BD78" i="1"/>
  <c r="BD77" i="1"/>
  <c r="BD76" i="1"/>
  <c r="BD75" i="1"/>
  <c r="BD74" i="1"/>
  <c r="BD73" i="1"/>
  <c r="BD72" i="1"/>
  <c r="BD71" i="1"/>
  <c r="BD70" i="1"/>
  <c r="BD68" i="1"/>
  <c r="BD67" i="1"/>
  <c r="BD66" i="1"/>
  <c r="BD65" i="1"/>
  <c r="BD63" i="1"/>
  <c r="BD62" i="1"/>
  <c r="BD61" i="1"/>
  <c r="BD60" i="1"/>
  <c r="BD59" i="1"/>
  <c r="BD58" i="1"/>
  <c r="BD57" i="1"/>
  <c r="BD56" i="1"/>
  <c r="BB285" i="1"/>
  <c r="BD285" i="1" s="1"/>
  <c r="H171" i="1" l="1"/>
  <c r="H170" i="1"/>
  <c r="H167" i="1"/>
  <c r="E169" i="1" l="1" a="1"/>
  <c r="E169" i="1" s="1"/>
  <c r="H169" i="1"/>
  <c r="E166" i="1" a="1"/>
  <c r="E166" i="1" s="1"/>
  <c r="H166" i="1"/>
  <c r="E168" i="1" a="1"/>
  <c r="E168" i="1" s="1"/>
  <c r="H168" i="1"/>
  <c r="H313" i="1"/>
  <c r="E314" i="1" l="1" a="1"/>
  <c r="E314" i="1" s="1"/>
  <c r="H314" i="1"/>
  <c r="S338" i="1"/>
  <c r="T338" i="1"/>
  <c r="U338" i="1"/>
  <c r="D338" i="1" s="1" a="1"/>
  <c r="D338" i="1" s="1"/>
  <c r="W338" i="1"/>
  <c r="X338" i="1"/>
  <c r="S339" i="1"/>
  <c r="T339" i="1"/>
  <c r="U339" i="1"/>
  <c r="D339" i="1" s="1" a="1"/>
  <c r="D339" i="1" s="1"/>
  <c r="W339" i="1"/>
  <c r="X339" i="1"/>
  <c r="M339" i="1"/>
  <c r="I339" i="1" s="1"/>
  <c r="M338" i="1"/>
  <c r="I338" i="1" s="1"/>
  <c r="V339" i="1" l="1"/>
  <c r="Y339" i="1" s="1"/>
  <c r="V338" i="1"/>
  <c r="Y338" i="1" s="1"/>
  <c r="AY158" i="1"/>
  <c r="AZ158" i="1" s="1"/>
  <c r="AY143" i="1" l="1"/>
  <c r="AZ143" i="1" s="1"/>
  <c r="AY144" i="1"/>
  <c r="AZ144" i="1" s="1"/>
  <c r="AY145" i="1"/>
  <c r="AZ145" i="1" s="1"/>
  <c r="AY146" i="1"/>
  <c r="AZ146" i="1" s="1"/>
  <c r="AY147" i="1"/>
  <c r="AZ147" i="1" s="1"/>
  <c r="AY148" i="1"/>
  <c r="AZ148" i="1" s="1"/>
  <c r="AL346" i="1"/>
  <c r="H346" i="1" s="1"/>
  <c r="AL345" i="1"/>
  <c r="H345" i="1" s="1"/>
  <c r="AL343" i="1"/>
  <c r="H343" i="1" s="1"/>
  <c r="AL342" i="1"/>
  <c r="H342" i="1" s="1"/>
  <c r="X346" i="1"/>
  <c r="W346" i="1"/>
  <c r="U346" i="1"/>
  <c r="D346" i="1" s="1" a="1"/>
  <c r="D346" i="1" s="1"/>
  <c r="T346" i="1"/>
  <c r="S346" i="1"/>
  <c r="M346" i="1"/>
  <c r="X345" i="1"/>
  <c r="W345" i="1"/>
  <c r="U345" i="1"/>
  <c r="D345" i="1" s="1" a="1"/>
  <c r="D345" i="1" s="1"/>
  <c r="T345" i="1"/>
  <c r="S345" i="1"/>
  <c r="M345" i="1"/>
  <c r="X344" i="1"/>
  <c r="W344" i="1"/>
  <c r="U344" i="1"/>
  <c r="D344" i="1" s="1" a="1"/>
  <c r="D344" i="1" s="1"/>
  <c r="T344" i="1"/>
  <c r="S344" i="1"/>
  <c r="M344" i="1"/>
  <c r="I344" i="1" s="1"/>
  <c r="X343" i="1"/>
  <c r="W343" i="1"/>
  <c r="U343" i="1"/>
  <c r="D343" i="1" s="1" a="1"/>
  <c r="D343" i="1" s="1"/>
  <c r="T343" i="1"/>
  <c r="S343" i="1"/>
  <c r="M343" i="1"/>
  <c r="X215" i="1"/>
  <c r="W215" i="1"/>
  <c r="U215" i="1"/>
  <c r="D215" i="1" s="1" a="1"/>
  <c r="D215" i="1" s="1"/>
  <c r="T215" i="1"/>
  <c r="S215" i="1"/>
  <c r="M215" i="1"/>
  <c r="I215" i="1" s="1"/>
  <c r="I343" i="1" l="1"/>
  <c r="I345" i="1"/>
  <c r="I346" i="1"/>
  <c r="V345" i="1"/>
  <c r="Y345" i="1" s="1"/>
  <c r="V346" i="1"/>
  <c r="Y346" i="1" s="1"/>
  <c r="V344" i="1"/>
  <c r="Y344" i="1" s="1"/>
  <c r="V343" i="1"/>
  <c r="Y343" i="1" s="1"/>
  <c r="V215" i="1"/>
  <c r="Y215" i="1" s="1"/>
  <c r="S301" i="1"/>
  <c r="T301" i="1"/>
  <c r="U301" i="1"/>
  <c r="D301" i="1" s="1" a="1"/>
  <c r="D301" i="1" s="1"/>
  <c r="W301" i="1"/>
  <c r="X301" i="1"/>
  <c r="S302" i="1"/>
  <c r="T302" i="1"/>
  <c r="U302" i="1"/>
  <c r="D302" i="1" s="1" a="1"/>
  <c r="D302" i="1" s="1"/>
  <c r="W302" i="1"/>
  <c r="X302" i="1"/>
  <c r="S303" i="1"/>
  <c r="T303" i="1"/>
  <c r="U303" i="1"/>
  <c r="D303" i="1" s="1" a="1"/>
  <c r="D303" i="1" s="1"/>
  <c r="W303" i="1"/>
  <c r="X303" i="1"/>
  <c r="S304" i="1"/>
  <c r="T304" i="1"/>
  <c r="U304" i="1"/>
  <c r="D304" i="1" s="1" a="1"/>
  <c r="D304" i="1" s="1"/>
  <c r="W304" i="1"/>
  <c r="X304" i="1"/>
  <c r="S305" i="1"/>
  <c r="T305" i="1"/>
  <c r="U305" i="1"/>
  <c r="D305" i="1" s="1" a="1"/>
  <c r="D305" i="1" s="1"/>
  <c r="W305" i="1"/>
  <c r="X305" i="1"/>
  <c r="S306" i="1"/>
  <c r="T306" i="1"/>
  <c r="U306" i="1"/>
  <c r="D306" i="1" s="1" a="1"/>
  <c r="D306" i="1" s="1"/>
  <c r="W306" i="1"/>
  <c r="X306" i="1"/>
  <c r="S307" i="1"/>
  <c r="T307" i="1"/>
  <c r="U307" i="1"/>
  <c r="D307" i="1" s="1" a="1"/>
  <c r="D307" i="1" s="1"/>
  <c r="W307" i="1"/>
  <c r="X307" i="1"/>
  <c r="S308" i="1"/>
  <c r="T308" i="1"/>
  <c r="U308" i="1"/>
  <c r="D308" i="1" s="1" a="1"/>
  <c r="D308" i="1" s="1"/>
  <c r="W308" i="1"/>
  <c r="X308" i="1"/>
  <c r="S309" i="1"/>
  <c r="T309" i="1"/>
  <c r="U309" i="1"/>
  <c r="D309" i="1" s="1" a="1"/>
  <c r="D309" i="1" s="1"/>
  <c r="W309" i="1"/>
  <c r="X309" i="1"/>
  <c r="S310" i="1"/>
  <c r="T310" i="1"/>
  <c r="U310" i="1"/>
  <c r="D310" i="1" s="1" a="1"/>
  <c r="D310" i="1" s="1"/>
  <c r="W310" i="1"/>
  <c r="X310" i="1"/>
  <c r="S311" i="1"/>
  <c r="T311" i="1"/>
  <c r="U311" i="1"/>
  <c r="D311" i="1" s="1" a="1"/>
  <c r="D311" i="1" s="1"/>
  <c r="W311" i="1"/>
  <c r="X311" i="1"/>
  <c r="S312" i="1"/>
  <c r="T312" i="1"/>
  <c r="U312" i="1"/>
  <c r="D312" i="1" s="1" a="1"/>
  <c r="D312" i="1" s="1"/>
  <c r="W312" i="1"/>
  <c r="X312" i="1"/>
  <c r="M312" i="1"/>
  <c r="I312" i="1" s="1"/>
  <c r="M311" i="1"/>
  <c r="I311" i="1" s="1"/>
  <c r="M310" i="1"/>
  <c r="I310" i="1" s="1"/>
  <c r="M309" i="1"/>
  <c r="I309" i="1" s="1"/>
  <c r="M308" i="1"/>
  <c r="I308" i="1" s="1"/>
  <c r="M307" i="1"/>
  <c r="I307" i="1" s="1"/>
  <c r="M306" i="1"/>
  <c r="I306" i="1" s="1"/>
  <c r="M305" i="1"/>
  <c r="I305" i="1" s="1"/>
  <c r="M304" i="1"/>
  <c r="I304" i="1" s="1"/>
  <c r="M303" i="1"/>
  <c r="I303" i="1" s="1"/>
  <c r="M302" i="1"/>
  <c r="I302" i="1" s="1"/>
  <c r="M301" i="1"/>
  <c r="I301" i="1" s="1"/>
  <c r="X209" i="1"/>
  <c r="W209" i="1"/>
  <c r="U209" i="1"/>
  <c r="D209" i="1" s="1" a="1"/>
  <c r="D209" i="1" s="1"/>
  <c r="T209" i="1"/>
  <c r="S209" i="1"/>
  <c r="M209" i="1"/>
  <c r="I209" i="1" s="1"/>
  <c r="X208" i="1"/>
  <c r="W208" i="1"/>
  <c r="U208" i="1"/>
  <c r="D208" i="1" s="1" a="1"/>
  <c r="D208" i="1" s="1"/>
  <c r="T208" i="1"/>
  <c r="S208" i="1"/>
  <c r="M208" i="1"/>
  <c r="I208" i="1" s="1"/>
  <c r="X207" i="1"/>
  <c r="W207" i="1"/>
  <c r="U207" i="1"/>
  <c r="D207" i="1" s="1" a="1"/>
  <c r="D207" i="1" s="1"/>
  <c r="T207" i="1"/>
  <c r="S207" i="1"/>
  <c r="M207" i="1"/>
  <c r="I207" i="1" s="1"/>
  <c r="AX164" i="1"/>
  <c r="AY164" i="1" s="1"/>
  <c r="AZ164" i="1" s="1"/>
  <c r="AW163" i="1"/>
  <c r="AY163" i="1" s="1"/>
  <c r="AZ163" i="1" s="1"/>
  <c r="AW162" i="1"/>
  <c r="S163" i="1"/>
  <c r="T163" i="1"/>
  <c r="U163" i="1"/>
  <c r="D163" i="1" s="1" a="1"/>
  <c r="D163" i="1" s="1"/>
  <c r="W163" i="1"/>
  <c r="X163" i="1"/>
  <c r="S164" i="1"/>
  <c r="T164" i="1"/>
  <c r="U164" i="1"/>
  <c r="D164" i="1" s="1" a="1"/>
  <c r="D164" i="1" s="1"/>
  <c r="W164" i="1"/>
  <c r="X164" i="1"/>
  <c r="M164" i="1"/>
  <c r="I164" i="1" s="1"/>
  <c r="M163" i="1"/>
  <c r="I163" i="1" s="1"/>
  <c r="V305" i="1" l="1"/>
  <c r="Y305" i="1" s="1"/>
  <c r="V304" i="1"/>
  <c r="Y304" i="1" s="1"/>
  <c r="V302" i="1"/>
  <c r="Y302" i="1" s="1"/>
  <c r="V306" i="1"/>
  <c r="Y306" i="1" s="1"/>
  <c r="V164" i="1"/>
  <c r="Y164" i="1" s="1"/>
  <c r="V301" i="1"/>
  <c r="Y301" i="1" s="1"/>
  <c r="V308" i="1"/>
  <c r="Y308" i="1" s="1"/>
  <c r="V311" i="1"/>
  <c r="Y311" i="1" s="1"/>
  <c r="V303" i="1"/>
  <c r="Y303" i="1" s="1"/>
  <c r="V309" i="1"/>
  <c r="Y309" i="1" s="1"/>
  <c r="V312" i="1"/>
  <c r="Y312" i="1" s="1"/>
  <c r="V310" i="1"/>
  <c r="Y310" i="1" s="1"/>
  <c r="V307" i="1"/>
  <c r="Y307" i="1" s="1"/>
  <c r="V209" i="1"/>
  <c r="Y209" i="1" s="1"/>
  <c r="V208" i="1"/>
  <c r="Y208" i="1" s="1"/>
  <c r="V163" i="1"/>
  <c r="Y163" i="1" s="1"/>
  <c r="V207" i="1"/>
  <c r="Y207" i="1" s="1"/>
  <c r="AL298" i="1"/>
  <c r="H298" i="1" s="1"/>
  <c r="AL227" i="1" l="1"/>
  <c r="H227" i="1" s="1"/>
  <c r="AY129" i="1" l="1"/>
  <c r="AZ129" i="1" s="1"/>
  <c r="AY130" i="1"/>
  <c r="AZ130" i="1" s="1"/>
  <c r="AY131" i="1"/>
  <c r="AZ131" i="1" s="1"/>
  <c r="AY132" i="1"/>
  <c r="AZ132" i="1" s="1"/>
  <c r="AY133" i="1"/>
  <c r="AZ133" i="1" s="1"/>
  <c r="AY134" i="1"/>
  <c r="AZ134" i="1" s="1"/>
  <c r="AY135" i="1"/>
  <c r="AZ135" i="1" s="1"/>
  <c r="AY136" i="1"/>
  <c r="AZ136" i="1" s="1"/>
  <c r="AY137" i="1"/>
  <c r="AZ137" i="1" s="1"/>
  <c r="AY138" i="1"/>
  <c r="AZ138" i="1" s="1"/>
  <c r="AY139" i="1"/>
  <c r="AZ139" i="1" s="1"/>
  <c r="AY140" i="1"/>
  <c r="AZ140" i="1" s="1"/>
  <c r="AY141" i="1"/>
  <c r="AZ141" i="1" s="1"/>
  <c r="AN198" i="1" l="1"/>
  <c r="E198" i="1" l="1" a="1"/>
  <c r="E198" i="1" s="1"/>
  <c r="H198" i="1"/>
  <c r="E226" i="1" a="1"/>
  <c r="E226" i="1" s="1"/>
  <c r="H226" i="1" l="1"/>
  <c r="H114" i="1"/>
  <c r="I114" i="1" l="1"/>
  <c r="Y114" i="1"/>
  <c r="AY127" i="1"/>
  <c r="AZ127" i="1" s="1"/>
  <c r="AY126" i="1"/>
  <c r="AZ126" i="1" s="1"/>
  <c r="AY125" i="1"/>
  <c r="AZ125" i="1" s="1"/>
  <c r="AY124" i="1"/>
  <c r="AZ124" i="1" s="1"/>
  <c r="AY123" i="1"/>
  <c r="AZ123" i="1" s="1"/>
  <c r="AY120" i="1" l="1"/>
  <c r="AZ120" i="1" s="1"/>
  <c r="AY121" i="1"/>
  <c r="AZ121" i="1" s="1"/>
  <c r="AY119" i="1"/>
  <c r="AZ119" i="1" s="1"/>
  <c r="AY118" i="1"/>
  <c r="AZ118" i="1" s="1"/>
  <c r="AY105" i="1" l="1"/>
  <c r="AZ105" i="1" s="1"/>
  <c r="AY114" i="1"/>
  <c r="AZ114" i="1" s="1"/>
  <c r="AY115" i="1"/>
  <c r="AZ115" i="1" s="1"/>
  <c r="AY116" i="1"/>
  <c r="AZ116" i="1" s="1"/>
  <c r="AY113" i="1"/>
  <c r="AZ113" i="1" s="1"/>
  <c r="AY111" i="1" l="1"/>
  <c r="AZ111" i="1" s="1"/>
  <c r="AY110" i="1"/>
  <c r="AZ110" i="1" s="1"/>
  <c r="AY109" i="1"/>
  <c r="AZ109" i="1" s="1"/>
  <c r="AY108" i="1"/>
  <c r="AZ108" i="1" s="1"/>
  <c r="AY107" i="1"/>
  <c r="AZ107" i="1" s="1"/>
  <c r="AR383" i="1" l="1"/>
  <c r="AR377" i="1"/>
  <c r="AR370" i="1"/>
  <c r="AR361" i="1"/>
  <c r="AR353" i="1"/>
  <c r="AR347" i="1"/>
  <c r="G58" i="1" l="1"/>
  <c r="M398" i="1" l="1"/>
  <c r="AX322" i="1"/>
  <c r="AS226" i="1"/>
  <c r="AR224" i="1"/>
  <c r="AS224" i="1" s="1"/>
  <c r="AS223" i="1"/>
  <c r="AS225" i="1"/>
  <c r="AS221" i="1"/>
  <c r="AR222" i="1"/>
  <c r="AS222" i="1" s="1"/>
  <c r="I398" i="1" l="1"/>
  <c r="AR320" i="1"/>
  <c r="AM299" i="1" l="1"/>
  <c r="X299" i="1"/>
  <c r="W299" i="1"/>
  <c r="U299" i="1"/>
  <c r="D299" i="1" s="1" a="1"/>
  <c r="D299" i="1" s="1"/>
  <c r="T299" i="1"/>
  <c r="S299" i="1"/>
  <c r="M299" i="1"/>
  <c r="X239" i="1"/>
  <c r="W239" i="1"/>
  <c r="U239" i="1"/>
  <c r="D239" i="1" s="1" a="1"/>
  <c r="D239" i="1" s="1"/>
  <c r="T239" i="1"/>
  <c r="S239" i="1"/>
  <c r="H239" i="1"/>
  <c r="I239" i="1" s="1"/>
  <c r="X269" i="1"/>
  <c r="W269" i="1"/>
  <c r="U269" i="1"/>
  <c r="D269" i="1" s="1" a="1"/>
  <c r="D269" i="1" s="1"/>
  <c r="T269" i="1"/>
  <c r="S269" i="1"/>
  <c r="M269" i="1"/>
  <c r="E299" i="1" l="1" a="1"/>
  <c r="E299" i="1" s="1"/>
  <c r="H299" i="1"/>
  <c r="I299" i="1" s="1"/>
  <c r="V299" i="1"/>
  <c r="V239" i="1"/>
  <c r="Y239" i="1" s="1"/>
  <c r="V269" i="1"/>
  <c r="Y269" i="1" s="1"/>
  <c r="I269" i="1"/>
  <c r="T196" i="1"/>
  <c r="W196" i="1"/>
  <c r="X196" i="1"/>
  <c r="T197" i="1"/>
  <c r="W197" i="1"/>
  <c r="X197" i="1"/>
  <c r="T198" i="1"/>
  <c r="W198" i="1"/>
  <c r="X198" i="1"/>
  <c r="S196" i="1"/>
  <c r="S197" i="1"/>
  <c r="S198" i="1"/>
  <c r="M198" i="1"/>
  <c r="M197" i="1"/>
  <c r="M196" i="1"/>
  <c r="Y299" i="1" l="1"/>
  <c r="I197" i="1"/>
  <c r="V197" i="1"/>
  <c r="Y197" i="1" s="1"/>
  <c r="V196" i="1"/>
  <c r="Y196" i="1" s="1"/>
  <c r="V198" i="1"/>
  <c r="Y198" i="1" s="1"/>
  <c r="I198" i="1"/>
  <c r="I196" i="1"/>
  <c r="S282" i="1"/>
  <c r="T282" i="1"/>
  <c r="U282" i="1"/>
  <c r="D282" i="1" s="1" a="1"/>
  <c r="D282" i="1" s="1"/>
  <c r="W282" i="1"/>
  <c r="X282" i="1"/>
  <c r="S283" i="1"/>
  <c r="T283" i="1"/>
  <c r="U283" i="1"/>
  <c r="D283" i="1" s="1" a="1"/>
  <c r="D283" i="1" s="1"/>
  <c r="W283" i="1"/>
  <c r="X283" i="1"/>
  <c r="M283" i="1"/>
  <c r="M282" i="1"/>
  <c r="V283" i="1" l="1"/>
  <c r="Y283" i="1" s="1"/>
  <c r="V282" i="1"/>
  <c r="Y282" i="1" s="1"/>
  <c r="I283" i="1"/>
  <c r="I28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M225" i="1" l="1"/>
  <c r="S225" i="1"/>
  <c r="T225" i="1"/>
  <c r="U225" i="1"/>
  <c r="D225" i="1" s="1" a="1"/>
  <c r="D225" i="1" s="1"/>
  <c r="W225" i="1"/>
  <c r="X225" i="1"/>
  <c r="AL225" i="1"/>
  <c r="H225" i="1" s="1"/>
  <c r="X330" i="1"/>
  <c r="X331" i="1"/>
  <c r="X332" i="1"/>
  <c r="X333" i="1"/>
  <c r="X334" i="1"/>
  <c r="W330" i="1"/>
  <c r="W331" i="1"/>
  <c r="W332" i="1"/>
  <c r="W333" i="1"/>
  <c r="W334" i="1"/>
  <c r="U330" i="1"/>
  <c r="D330" i="1" s="1" a="1"/>
  <c r="D330" i="1" s="1"/>
  <c r="U331" i="1"/>
  <c r="D331" i="1" s="1" a="1"/>
  <c r="D331" i="1" s="1"/>
  <c r="U332" i="1"/>
  <c r="D332" i="1" s="1" a="1"/>
  <c r="D332" i="1" s="1"/>
  <c r="U333" i="1"/>
  <c r="D333" i="1" s="1" a="1"/>
  <c r="D333" i="1" s="1"/>
  <c r="U334" i="1"/>
  <c r="D334" i="1" s="1" a="1"/>
  <c r="D334" i="1" s="1"/>
  <c r="T330" i="1"/>
  <c r="T331" i="1"/>
  <c r="T332" i="1"/>
  <c r="T333" i="1"/>
  <c r="T334" i="1"/>
  <c r="S330" i="1"/>
  <c r="S331" i="1"/>
  <c r="S332" i="1"/>
  <c r="S333" i="1"/>
  <c r="S334" i="1"/>
  <c r="M330" i="1"/>
  <c r="M331" i="1"/>
  <c r="M332" i="1"/>
  <c r="M333" i="1"/>
  <c r="M334" i="1"/>
  <c r="AL334" i="1"/>
  <c r="H334" i="1" s="1"/>
  <c r="AL333" i="1"/>
  <c r="H333" i="1" s="1"/>
  <c r="AL332" i="1"/>
  <c r="H332" i="1" s="1"/>
  <c r="AM331" i="1"/>
  <c r="H331" i="1" s="1"/>
  <c r="AM330" i="1"/>
  <c r="H330" i="1" s="1"/>
  <c r="AL329" i="1"/>
  <c r="H329" i="1" s="1"/>
  <c r="X293" i="1"/>
  <c r="W293" i="1"/>
  <c r="U293" i="1"/>
  <c r="D293" i="1" s="1" a="1"/>
  <c r="D293" i="1" s="1"/>
  <c r="T293" i="1"/>
  <c r="S293" i="1"/>
  <c r="M293" i="1"/>
  <c r="AL293" i="1"/>
  <c r="H293" i="1" s="1"/>
  <c r="AM292" i="1"/>
  <c r="H292" i="1" s="1"/>
  <c r="X187" i="1"/>
  <c r="X188" i="1"/>
  <c r="X189" i="1"/>
  <c r="X190" i="1"/>
  <c r="X191" i="1"/>
  <c r="X192" i="1"/>
  <c r="X193" i="1"/>
  <c r="X194" i="1"/>
  <c r="W187" i="1"/>
  <c r="W188" i="1"/>
  <c r="W189" i="1"/>
  <c r="W190" i="1"/>
  <c r="W191" i="1"/>
  <c r="W192" i="1"/>
  <c r="W193" i="1"/>
  <c r="W194" i="1"/>
  <c r="U187" i="1"/>
  <c r="D187" i="1" s="1" a="1"/>
  <c r="D187" i="1" s="1"/>
  <c r="U188" i="1"/>
  <c r="D188" i="1" s="1" a="1"/>
  <c r="D188" i="1" s="1"/>
  <c r="U189" i="1"/>
  <c r="D189" i="1" s="1" a="1"/>
  <c r="D189" i="1" s="1"/>
  <c r="U190" i="1"/>
  <c r="D190" i="1" s="1" a="1"/>
  <c r="D190" i="1" s="1"/>
  <c r="U191" i="1"/>
  <c r="D191" i="1" s="1" a="1"/>
  <c r="D191" i="1" s="1"/>
  <c r="U192" i="1"/>
  <c r="D192" i="1" s="1" a="1"/>
  <c r="D192" i="1" s="1"/>
  <c r="U193" i="1"/>
  <c r="D193" i="1" s="1" a="1"/>
  <c r="D193" i="1" s="1"/>
  <c r="U194" i="1"/>
  <c r="D194" i="1" s="1" a="1"/>
  <c r="D194" i="1" s="1"/>
  <c r="T187" i="1"/>
  <c r="T188" i="1"/>
  <c r="T189" i="1"/>
  <c r="T190" i="1"/>
  <c r="T191" i="1"/>
  <c r="T192" i="1"/>
  <c r="T193" i="1"/>
  <c r="T194" i="1"/>
  <c r="S187" i="1"/>
  <c r="S188" i="1"/>
  <c r="S189" i="1"/>
  <c r="S190" i="1"/>
  <c r="S191" i="1"/>
  <c r="S192" i="1"/>
  <c r="S193" i="1"/>
  <c r="S194" i="1"/>
  <c r="M187" i="1"/>
  <c r="M188" i="1"/>
  <c r="M189" i="1"/>
  <c r="M190" i="1"/>
  <c r="M191" i="1"/>
  <c r="M192" i="1"/>
  <c r="M193" i="1"/>
  <c r="M194" i="1"/>
  <c r="X325" i="1"/>
  <c r="X326" i="1"/>
  <c r="X327" i="1"/>
  <c r="X328" i="1"/>
  <c r="W325" i="1"/>
  <c r="W326" i="1"/>
  <c r="W327" i="1"/>
  <c r="W328" i="1"/>
  <c r="U325" i="1"/>
  <c r="D325" i="1" s="1" a="1"/>
  <c r="D325" i="1" s="1"/>
  <c r="U326" i="1"/>
  <c r="D326" i="1" s="1" a="1"/>
  <c r="D326" i="1" s="1"/>
  <c r="U327" i="1"/>
  <c r="D327" i="1" s="1" a="1"/>
  <c r="D327" i="1" s="1"/>
  <c r="U328" i="1"/>
  <c r="D328" i="1" s="1" a="1"/>
  <c r="D328" i="1" s="1"/>
  <c r="T325" i="1"/>
  <c r="T326" i="1"/>
  <c r="T327" i="1"/>
  <c r="T328" i="1"/>
  <c r="S325" i="1"/>
  <c r="S326" i="1"/>
  <c r="S327" i="1"/>
  <c r="S328" i="1"/>
  <c r="M325" i="1"/>
  <c r="M326" i="1"/>
  <c r="M327" i="1"/>
  <c r="M328" i="1"/>
  <c r="AL397" i="1"/>
  <c r="H397" i="1" s="1"/>
  <c r="AL396" i="1"/>
  <c r="H396" i="1" s="1"/>
  <c r="H395" i="1"/>
  <c r="H394" i="1"/>
  <c r="H393" i="1"/>
  <c r="AL390" i="1"/>
  <c r="H390" i="1" s="1"/>
  <c r="AL389" i="1"/>
  <c r="H389" i="1" s="1"/>
  <c r="AL388" i="1"/>
  <c r="H388" i="1" s="1"/>
  <c r="AL323" i="1"/>
  <c r="H323" i="1" s="1"/>
  <c r="H317" i="1"/>
  <c r="AL300" i="1"/>
  <c r="H300" i="1" s="1"/>
  <c r="H238" i="1"/>
  <c r="I238" i="1" s="1"/>
  <c r="H240" i="1"/>
  <c r="I240" i="1" s="1"/>
  <c r="H241" i="1"/>
  <c r="I241" i="1" s="1"/>
  <c r="H242" i="1"/>
  <c r="I242" i="1" s="1"/>
  <c r="H243" i="1"/>
  <c r="I243" i="1" s="1"/>
  <c r="H244" i="1"/>
  <c r="I244" i="1" s="1"/>
  <c r="H245" i="1"/>
  <c r="I245" i="1" s="1"/>
  <c r="AL328" i="1"/>
  <c r="H328" i="1" s="1"/>
  <c r="AL327" i="1"/>
  <c r="H327" i="1" s="1"/>
  <c r="AM326" i="1"/>
  <c r="H326" i="1" s="1"/>
  <c r="AL325" i="1"/>
  <c r="H325" i="1" s="1"/>
  <c r="AM324" i="1"/>
  <c r="H324" i="1" s="1"/>
  <c r="I326" i="1" l="1"/>
  <c r="E326" i="1" a="1"/>
  <c r="E326" i="1" s="1"/>
  <c r="E394" i="1" a="1"/>
  <c r="E394" i="1" s="1"/>
  <c r="E292" i="1" a="1"/>
  <c r="E292" i="1" s="1"/>
  <c r="I330" i="1"/>
  <c r="E330" i="1" a="1"/>
  <c r="E330" i="1" s="1"/>
  <c r="I331" i="1"/>
  <c r="E331" i="1" a="1"/>
  <c r="E331" i="1" s="1"/>
  <c r="E324" i="1" a="1"/>
  <c r="E324" i="1" s="1"/>
  <c r="V191" i="1"/>
  <c r="Y191" i="1" s="1"/>
  <c r="V190" i="1"/>
  <c r="Y190" i="1" s="1"/>
  <c r="V193" i="1"/>
  <c r="Y193" i="1" s="1"/>
  <c r="V188" i="1"/>
  <c r="Y188" i="1" s="1"/>
  <c r="I225" i="1"/>
  <c r="I333" i="1"/>
  <c r="I293" i="1"/>
  <c r="I192" i="1"/>
  <c r="I332" i="1"/>
  <c r="I191" i="1"/>
  <c r="I327" i="1"/>
  <c r="I328" i="1"/>
  <c r="I193" i="1"/>
  <c r="I194" i="1"/>
  <c r="I189" i="1"/>
  <c r="I190" i="1"/>
  <c r="I187" i="1"/>
  <c r="I325" i="1"/>
  <c r="I188" i="1"/>
  <c r="I334" i="1"/>
  <c r="V189" i="1"/>
  <c r="Y189" i="1" s="1"/>
  <c r="V225" i="1"/>
  <c r="Y225" i="1" s="1"/>
  <c r="V333" i="1"/>
  <c r="Y333" i="1" s="1"/>
  <c r="V334" i="1"/>
  <c r="Y334" i="1" s="1"/>
  <c r="V332" i="1"/>
  <c r="Y332" i="1" s="1"/>
  <c r="V331" i="1"/>
  <c r="V330" i="1"/>
  <c r="V293" i="1"/>
  <c r="Y293" i="1" s="1"/>
  <c r="V194" i="1"/>
  <c r="Y194" i="1" s="1"/>
  <c r="V192" i="1"/>
  <c r="Y192" i="1" s="1"/>
  <c r="V187" i="1"/>
  <c r="Y187" i="1" s="1"/>
  <c r="V328" i="1"/>
  <c r="Y328" i="1" s="1"/>
  <c r="V327" i="1"/>
  <c r="Y327" i="1" s="1"/>
  <c r="V326" i="1"/>
  <c r="V325" i="1"/>
  <c r="Y325" i="1" s="1"/>
  <c r="AM231" i="1"/>
  <c r="E231" i="1" s="1" a="1"/>
  <c r="E231" i="1" s="1"/>
  <c r="AR231" i="1"/>
  <c r="AR388" i="1"/>
  <c r="Y331" i="1" l="1"/>
  <c r="Y326" i="1"/>
  <c r="Y330" i="1"/>
  <c r="AM230" i="1"/>
  <c r="E230" i="1" s="1" a="1"/>
  <c r="E230" i="1" s="1"/>
  <c r="H231" i="1"/>
  <c r="M295" i="1"/>
  <c r="M296" i="1"/>
  <c r="M297" i="1"/>
  <c r="X295" i="1"/>
  <c r="X296" i="1"/>
  <c r="X297" i="1"/>
  <c r="W295" i="1"/>
  <c r="W296" i="1"/>
  <c r="W297" i="1"/>
  <c r="U295" i="1"/>
  <c r="D295" i="1" s="1" a="1"/>
  <c r="D295" i="1" s="1"/>
  <c r="U296" i="1"/>
  <c r="D296" i="1" s="1" a="1"/>
  <c r="D296" i="1" s="1"/>
  <c r="U297" i="1"/>
  <c r="D297" i="1" s="1" a="1"/>
  <c r="D297" i="1" s="1"/>
  <c r="T295" i="1"/>
  <c r="T296" i="1"/>
  <c r="T297" i="1"/>
  <c r="S295" i="1"/>
  <c r="S296" i="1"/>
  <c r="S297" i="1"/>
  <c r="I297" i="1"/>
  <c r="AL296" i="1"/>
  <c r="H296" i="1" s="1"/>
  <c r="AL295" i="1"/>
  <c r="H295" i="1" s="1"/>
  <c r="AL294" i="1"/>
  <c r="H294" i="1" s="1"/>
  <c r="X316" i="1"/>
  <c r="W316" i="1"/>
  <c r="U316" i="1"/>
  <c r="D316" i="1" s="1" a="1"/>
  <c r="D316" i="1" s="1"/>
  <c r="T316" i="1"/>
  <c r="S316" i="1"/>
  <c r="M316" i="1"/>
  <c r="H316" i="1"/>
  <c r="AL315" i="1"/>
  <c r="H315" i="1" s="1"/>
  <c r="X107" i="1"/>
  <c r="X108" i="1"/>
  <c r="X109" i="1"/>
  <c r="X110" i="1"/>
  <c r="X111" i="1"/>
  <c r="W107" i="1"/>
  <c r="W108" i="1"/>
  <c r="W109" i="1"/>
  <c r="W110" i="1"/>
  <c r="W111" i="1"/>
  <c r="U107" i="1"/>
  <c r="D107" i="1" s="1" a="1"/>
  <c r="D107" i="1" s="1"/>
  <c r="U108" i="1"/>
  <c r="D108" i="1" s="1" a="1"/>
  <c r="D108" i="1" s="1"/>
  <c r="U109" i="1"/>
  <c r="D109" i="1" s="1" a="1"/>
  <c r="D109" i="1" s="1"/>
  <c r="U110" i="1"/>
  <c r="D110" i="1" s="1" a="1"/>
  <c r="D110" i="1" s="1"/>
  <c r="U111" i="1"/>
  <c r="D111" i="1" s="1" a="1"/>
  <c r="D111" i="1" s="1"/>
  <c r="T107" i="1"/>
  <c r="T108" i="1"/>
  <c r="T109" i="1"/>
  <c r="T110" i="1"/>
  <c r="T111" i="1"/>
  <c r="S107" i="1"/>
  <c r="S108" i="1"/>
  <c r="S109" i="1"/>
  <c r="S110" i="1"/>
  <c r="S111" i="1"/>
  <c r="M107" i="1"/>
  <c r="M108" i="1"/>
  <c r="M109" i="1"/>
  <c r="M110" i="1"/>
  <c r="M111" i="1"/>
  <c r="X314" i="1"/>
  <c r="W314" i="1"/>
  <c r="U314" i="1"/>
  <c r="D314" i="1" s="1" a="1"/>
  <c r="D314" i="1" s="1"/>
  <c r="T314" i="1"/>
  <c r="S314" i="1"/>
  <c r="M314" i="1"/>
  <c r="M222" i="1"/>
  <c r="M223" i="1"/>
  <c r="M224" i="1"/>
  <c r="X222" i="1"/>
  <c r="X223" i="1"/>
  <c r="X224" i="1"/>
  <c r="W222" i="1"/>
  <c r="W223" i="1"/>
  <c r="W224" i="1"/>
  <c r="U222" i="1"/>
  <c r="D222" i="1" s="1" a="1"/>
  <c r="D222" i="1" s="1"/>
  <c r="U223" i="1"/>
  <c r="D223" i="1" s="1" a="1"/>
  <c r="D223" i="1" s="1"/>
  <c r="U224" i="1"/>
  <c r="D224" i="1" s="1" a="1"/>
  <c r="D224" i="1" s="1"/>
  <c r="T222" i="1"/>
  <c r="T223" i="1"/>
  <c r="T224" i="1"/>
  <c r="S222" i="1"/>
  <c r="S223" i="1"/>
  <c r="S224" i="1"/>
  <c r="AM224" i="1"/>
  <c r="E224" i="1" s="1" a="1"/>
  <c r="E224" i="1" s="1"/>
  <c r="AL224" i="1"/>
  <c r="AL223" i="1"/>
  <c r="H223" i="1" s="1"/>
  <c r="AM222" i="1"/>
  <c r="E222" i="1" s="1" a="1"/>
  <c r="E222" i="1" s="1"/>
  <c r="AL222" i="1"/>
  <c r="H222" i="1" s="1"/>
  <c r="AL221" i="1"/>
  <c r="H221" i="1" s="1"/>
  <c r="X200" i="1"/>
  <c r="X201" i="1"/>
  <c r="X202" i="1"/>
  <c r="W200" i="1"/>
  <c r="W201" i="1"/>
  <c r="W202" i="1"/>
  <c r="T200" i="1"/>
  <c r="T201" i="1"/>
  <c r="T202" i="1"/>
  <c r="S200" i="1"/>
  <c r="S201" i="1"/>
  <c r="S202" i="1"/>
  <c r="S203" i="1"/>
  <c r="M200" i="1"/>
  <c r="M201" i="1"/>
  <c r="M202" i="1"/>
  <c r="X173" i="1"/>
  <c r="X174" i="1"/>
  <c r="X175" i="1"/>
  <c r="X176" i="1"/>
  <c r="X177" i="1"/>
  <c r="X178" i="1"/>
  <c r="W173" i="1"/>
  <c r="W174" i="1"/>
  <c r="W175" i="1"/>
  <c r="W176" i="1"/>
  <c r="W177" i="1"/>
  <c r="W178" i="1"/>
  <c r="U173" i="1"/>
  <c r="D173" i="1" s="1" a="1"/>
  <c r="D173" i="1" s="1"/>
  <c r="U174" i="1"/>
  <c r="D174" i="1" s="1" a="1"/>
  <c r="D174" i="1" s="1"/>
  <c r="U175" i="1"/>
  <c r="D175" i="1" s="1" a="1"/>
  <c r="D175" i="1" s="1"/>
  <c r="U176" i="1"/>
  <c r="D176" i="1" s="1" a="1"/>
  <c r="D176" i="1" s="1"/>
  <c r="U177" i="1"/>
  <c r="D177" i="1" s="1" a="1"/>
  <c r="D177" i="1" s="1"/>
  <c r="U178" i="1"/>
  <c r="D178" i="1" s="1" a="1"/>
  <c r="D178" i="1" s="1"/>
  <c r="T173" i="1"/>
  <c r="T174" i="1"/>
  <c r="T175" i="1"/>
  <c r="T176" i="1"/>
  <c r="T177" i="1"/>
  <c r="T178" i="1"/>
  <c r="S173" i="1"/>
  <c r="S174" i="1"/>
  <c r="S175" i="1"/>
  <c r="S176" i="1"/>
  <c r="S177" i="1"/>
  <c r="S178" i="1"/>
  <c r="M173" i="1"/>
  <c r="M174" i="1"/>
  <c r="M175" i="1"/>
  <c r="M176" i="1"/>
  <c r="M177" i="1"/>
  <c r="M178" i="1"/>
  <c r="X217" i="1"/>
  <c r="X218" i="1"/>
  <c r="X219" i="1"/>
  <c r="X220" i="1"/>
  <c r="W217" i="1"/>
  <c r="W218" i="1"/>
  <c r="W219" i="1"/>
  <c r="W220" i="1"/>
  <c r="U217" i="1"/>
  <c r="D217" i="1" s="1" a="1"/>
  <c r="D217" i="1" s="1"/>
  <c r="U218" i="1"/>
  <c r="D218" i="1" s="1" a="1"/>
  <c r="D218" i="1" s="1"/>
  <c r="U219" i="1"/>
  <c r="D219" i="1" s="1" a="1"/>
  <c r="D219" i="1" s="1"/>
  <c r="U220" i="1"/>
  <c r="D220" i="1" s="1" a="1"/>
  <c r="D220" i="1" s="1"/>
  <c r="T217" i="1"/>
  <c r="T218" i="1"/>
  <c r="T219" i="1"/>
  <c r="T220" i="1"/>
  <c r="S217" i="1"/>
  <c r="S218" i="1"/>
  <c r="S219" i="1"/>
  <c r="S220" i="1"/>
  <c r="M217" i="1"/>
  <c r="M218" i="1"/>
  <c r="M219" i="1"/>
  <c r="M220" i="1"/>
  <c r="X211" i="1"/>
  <c r="X212" i="1"/>
  <c r="X213" i="1"/>
  <c r="X214" i="1"/>
  <c r="W211" i="1"/>
  <c r="W212" i="1"/>
  <c r="W213" i="1"/>
  <c r="W214" i="1"/>
  <c r="U211" i="1"/>
  <c r="D211" i="1" s="1" a="1"/>
  <c r="D211" i="1" s="1"/>
  <c r="U212" i="1"/>
  <c r="D212" i="1" s="1" a="1"/>
  <c r="D212" i="1" s="1"/>
  <c r="U213" i="1"/>
  <c r="D213" i="1" s="1" a="1"/>
  <c r="D213" i="1" s="1"/>
  <c r="U214" i="1"/>
  <c r="D214" i="1" s="1" a="1"/>
  <c r="D214" i="1" s="1"/>
  <c r="T211" i="1"/>
  <c r="T212" i="1"/>
  <c r="T213" i="1"/>
  <c r="T214" i="1"/>
  <c r="S211" i="1"/>
  <c r="S212" i="1"/>
  <c r="S213" i="1"/>
  <c r="S214" i="1"/>
  <c r="M211" i="1"/>
  <c r="M212" i="1"/>
  <c r="M213" i="1"/>
  <c r="M214" i="1"/>
  <c r="X205" i="1"/>
  <c r="X206" i="1"/>
  <c r="W205" i="1"/>
  <c r="W206" i="1"/>
  <c r="U205" i="1"/>
  <c r="D205" i="1" s="1" a="1"/>
  <c r="D205" i="1" s="1"/>
  <c r="U206" i="1"/>
  <c r="D206" i="1" s="1" a="1"/>
  <c r="D206" i="1" s="1"/>
  <c r="T205" i="1"/>
  <c r="T206" i="1"/>
  <c r="S205" i="1"/>
  <c r="S206" i="1"/>
  <c r="M205" i="1"/>
  <c r="M206" i="1"/>
  <c r="H224" i="1" l="1"/>
  <c r="I224" i="1" s="1"/>
  <c r="I217" i="1"/>
  <c r="G173" i="1"/>
  <c r="G178" i="1"/>
  <c r="G177" i="1"/>
  <c r="G176" i="1"/>
  <c r="G175" i="1"/>
  <c r="G174" i="1"/>
  <c r="I295" i="1"/>
  <c r="I176" i="1"/>
  <c r="I111" i="1"/>
  <c r="I201" i="1"/>
  <c r="I218" i="1"/>
  <c r="I200" i="1"/>
  <c r="I174" i="1"/>
  <c r="I211" i="1"/>
  <c r="I316" i="1"/>
  <c r="I296" i="1"/>
  <c r="I173" i="1"/>
  <c r="I110" i="1"/>
  <c r="I206" i="1"/>
  <c r="I175" i="1"/>
  <c r="I202" i="1"/>
  <c r="I205" i="1"/>
  <c r="I108" i="1"/>
  <c r="I214" i="1"/>
  <c r="I178" i="1"/>
  <c r="I213" i="1"/>
  <c r="I219" i="1"/>
  <c r="I177" i="1"/>
  <c r="I220" i="1"/>
  <c r="I222" i="1"/>
  <c r="I314" i="1"/>
  <c r="I107" i="1"/>
  <c r="I212" i="1"/>
  <c r="I223" i="1"/>
  <c r="I109" i="1"/>
  <c r="V296" i="1"/>
  <c r="Y296" i="1" s="1"/>
  <c r="V295" i="1"/>
  <c r="Y295" i="1" s="1"/>
  <c r="V297" i="1"/>
  <c r="Y297" i="1" s="1"/>
  <c r="V316" i="1"/>
  <c r="Y316" i="1" s="1"/>
  <c r="V111" i="1"/>
  <c r="V109" i="1"/>
  <c r="Y109" i="1" s="1"/>
  <c r="V110" i="1"/>
  <c r="Y110" i="1" s="1"/>
  <c r="V314" i="1"/>
  <c r="Y314" i="1" s="1"/>
  <c r="V108" i="1"/>
  <c r="Y108" i="1" s="1"/>
  <c r="V107" i="1"/>
  <c r="Y107" i="1" s="1"/>
  <c r="V224" i="1"/>
  <c r="V223" i="1"/>
  <c r="Y223" i="1" s="1"/>
  <c r="V222" i="1"/>
  <c r="V201" i="1"/>
  <c r="V200" i="1"/>
  <c r="Y200" i="1" s="1"/>
  <c r="V202" i="1"/>
  <c r="Y202" i="1" s="1"/>
  <c r="V176" i="1"/>
  <c r="Y176" i="1" s="1"/>
  <c r="V175" i="1"/>
  <c r="Y175" i="1" s="1"/>
  <c r="V174" i="1"/>
  <c r="Y174" i="1" s="1"/>
  <c r="V173" i="1"/>
  <c r="Y173" i="1" s="1"/>
  <c r="V178" i="1"/>
  <c r="Y178" i="1" s="1"/>
  <c r="V177" i="1"/>
  <c r="Y177" i="1" s="1"/>
  <c r="V217" i="1"/>
  <c r="Y217" i="1" s="1"/>
  <c r="V220" i="1"/>
  <c r="Y220" i="1" s="1"/>
  <c r="V219" i="1"/>
  <c r="Y219" i="1" s="1"/>
  <c r="V218" i="1"/>
  <c r="V214" i="1"/>
  <c r="Y214" i="1" s="1"/>
  <c r="V213" i="1"/>
  <c r="Y213" i="1" s="1"/>
  <c r="V212" i="1"/>
  <c r="Y212" i="1" s="1"/>
  <c r="V211" i="1"/>
  <c r="Y211" i="1" s="1"/>
  <c r="V206" i="1"/>
  <c r="Y206" i="1" s="1"/>
  <c r="V205" i="1"/>
  <c r="Y205" i="1" s="1"/>
  <c r="Y201" i="1" l="1"/>
  <c r="Y218" i="1"/>
  <c r="Y111" i="1"/>
  <c r="Y224" i="1"/>
  <c r="Y222" i="1"/>
  <c r="X158" i="1"/>
  <c r="W158" i="1"/>
  <c r="U158" i="1"/>
  <c r="D158" i="1" s="1" a="1"/>
  <c r="D158" i="1" s="1"/>
  <c r="T158" i="1"/>
  <c r="S158" i="1"/>
  <c r="M158" i="1"/>
  <c r="M160" i="1"/>
  <c r="I160" i="1" s="1"/>
  <c r="M161" i="1"/>
  <c r="I161" i="1" s="1"/>
  <c r="X160" i="1"/>
  <c r="X161" i="1"/>
  <c r="W160" i="1"/>
  <c r="W161" i="1"/>
  <c r="U160" i="1"/>
  <c r="D160" i="1" s="1" a="1"/>
  <c r="D160" i="1" s="1"/>
  <c r="U161" i="1"/>
  <c r="D161" i="1" s="1" a="1"/>
  <c r="D161" i="1" s="1"/>
  <c r="T160" i="1"/>
  <c r="T161" i="1"/>
  <c r="S160" i="1"/>
  <c r="S161" i="1"/>
  <c r="X143" i="1"/>
  <c r="X144" i="1"/>
  <c r="X145" i="1"/>
  <c r="X146" i="1"/>
  <c r="X147" i="1"/>
  <c r="X148" i="1"/>
  <c r="X149" i="1"/>
  <c r="W143" i="1"/>
  <c r="W144" i="1"/>
  <c r="W145" i="1"/>
  <c r="W146" i="1"/>
  <c r="W147" i="1"/>
  <c r="W148" i="1"/>
  <c r="W149" i="1"/>
  <c r="U143" i="1"/>
  <c r="D143" i="1" s="1" a="1"/>
  <c r="D143" i="1" s="1"/>
  <c r="U144" i="1"/>
  <c r="D144" i="1" s="1" a="1"/>
  <c r="D144" i="1" s="1"/>
  <c r="U145" i="1"/>
  <c r="D145" i="1" s="1" a="1"/>
  <c r="D145" i="1" s="1"/>
  <c r="U146" i="1"/>
  <c r="D146" i="1" s="1" a="1"/>
  <c r="D146" i="1" s="1"/>
  <c r="U147" i="1"/>
  <c r="D147" i="1" s="1" a="1"/>
  <c r="D147" i="1" s="1"/>
  <c r="U148" i="1"/>
  <c r="D148" i="1" s="1" a="1"/>
  <c r="D148" i="1" s="1"/>
  <c r="U149" i="1"/>
  <c r="D149" i="1" s="1" a="1"/>
  <c r="D149" i="1" s="1"/>
  <c r="T143" i="1"/>
  <c r="T144" i="1"/>
  <c r="T145" i="1"/>
  <c r="T146" i="1"/>
  <c r="T147" i="1"/>
  <c r="T148" i="1"/>
  <c r="T149" i="1"/>
  <c r="S143" i="1"/>
  <c r="S144" i="1"/>
  <c r="S145" i="1"/>
  <c r="S146" i="1"/>
  <c r="S147" i="1"/>
  <c r="S148" i="1"/>
  <c r="S149" i="1"/>
  <c r="M143" i="1"/>
  <c r="I143" i="1" s="1"/>
  <c r="M144" i="1"/>
  <c r="I144" i="1" s="1"/>
  <c r="M145" i="1"/>
  <c r="I145" i="1" s="1"/>
  <c r="M146" i="1"/>
  <c r="I146" i="1" s="1"/>
  <c r="M147" i="1"/>
  <c r="I147" i="1" s="1"/>
  <c r="M148" i="1"/>
  <c r="I148" i="1" s="1"/>
  <c r="M149" i="1"/>
  <c r="I149" i="1" s="1"/>
  <c r="I158" i="1" l="1"/>
  <c r="V145" i="1"/>
  <c r="Y145" i="1" s="1"/>
  <c r="V158" i="1"/>
  <c r="Y158" i="1" s="1"/>
  <c r="V146" i="1"/>
  <c r="Y146" i="1" s="1"/>
  <c r="V160" i="1"/>
  <c r="Y160" i="1" s="1"/>
  <c r="V161" i="1"/>
  <c r="Y161" i="1" s="1"/>
  <c r="V148" i="1"/>
  <c r="Y148" i="1" s="1"/>
  <c r="V147" i="1"/>
  <c r="Y147" i="1" s="1"/>
  <c r="V144" i="1"/>
  <c r="Y144" i="1" s="1"/>
  <c r="V143" i="1"/>
  <c r="Y143" i="1" s="1"/>
  <c r="V149" i="1"/>
  <c r="Y149" i="1" s="1"/>
  <c r="X129" i="1"/>
  <c r="X130" i="1"/>
  <c r="X131" i="1"/>
  <c r="X132" i="1"/>
  <c r="X133" i="1"/>
  <c r="X134" i="1"/>
  <c r="X135" i="1"/>
  <c r="X136" i="1"/>
  <c r="X137" i="1"/>
  <c r="X138" i="1"/>
  <c r="X139" i="1"/>
  <c r="X140" i="1"/>
  <c r="X141" i="1"/>
  <c r="W129" i="1"/>
  <c r="W130" i="1"/>
  <c r="W131" i="1"/>
  <c r="W132" i="1"/>
  <c r="W133" i="1"/>
  <c r="W134" i="1"/>
  <c r="W135" i="1"/>
  <c r="W136" i="1"/>
  <c r="W137" i="1"/>
  <c r="W138" i="1"/>
  <c r="W139" i="1"/>
  <c r="W140" i="1"/>
  <c r="W141" i="1"/>
  <c r="U129" i="1"/>
  <c r="D129" i="1" s="1" a="1"/>
  <c r="D129" i="1" s="1"/>
  <c r="U130" i="1"/>
  <c r="D130" i="1" s="1" a="1"/>
  <c r="D130" i="1" s="1"/>
  <c r="U131" i="1"/>
  <c r="D131" i="1" s="1" a="1"/>
  <c r="D131" i="1" s="1"/>
  <c r="U132" i="1"/>
  <c r="D132" i="1" s="1" a="1"/>
  <c r="D132" i="1" s="1"/>
  <c r="U133" i="1"/>
  <c r="D133" i="1" s="1" a="1"/>
  <c r="D133" i="1" s="1"/>
  <c r="U134" i="1"/>
  <c r="D134" i="1" s="1" a="1"/>
  <c r="D134" i="1" s="1"/>
  <c r="U135" i="1"/>
  <c r="D135" i="1" s="1" a="1"/>
  <c r="D135" i="1" s="1"/>
  <c r="U136" i="1"/>
  <c r="D136" i="1" s="1" a="1"/>
  <c r="D136" i="1" s="1"/>
  <c r="U137" i="1"/>
  <c r="D137" i="1" s="1" a="1"/>
  <c r="D137" i="1" s="1"/>
  <c r="U138" i="1"/>
  <c r="D138" i="1" s="1" a="1"/>
  <c r="D138" i="1" s="1"/>
  <c r="U139" i="1"/>
  <c r="D139" i="1" s="1" a="1"/>
  <c r="D139" i="1" s="1"/>
  <c r="U140" i="1"/>
  <c r="D140" i="1" s="1" a="1"/>
  <c r="D140" i="1" s="1"/>
  <c r="U141" i="1"/>
  <c r="D141" i="1" s="1" a="1"/>
  <c r="D141" i="1" s="1"/>
  <c r="T129" i="1"/>
  <c r="T130" i="1"/>
  <c r="T131" i="1"/>
  <c r="T132" i="1"/>
  <c r="T133" i="1"/>
  <c r="T134" i="1"/>
  <c r="T135" i="1"/>
  <c r="T136" i="1"/>
  <c r="T137" i="1"/>
  <c r="T138" i="1"/>
  <c r="T139" i="1"/>
  <c r="T140" i="1"/>
  <c r="T141" i="1"/>
  <c r="S129" i="1"/>
  <c r="S130" i="1"/>
  <c r="S131" i="1"/>
  <c r="S132" i="1"/>
  <c r="S133" i="1"/>
  <c r="S134" i="1"/>
  <c r="S135" i="1"/>
  <c r="S136" i="1"/>
  <c r="S137" i="1"/>
  <c r="S138" i="1"/>
  <c r="S139" i="1"/>
  <c r="S140" i="1"/>
  <c r="S141" i="1"/>
  <c r="M129" i="1"/>
  <c r="I129" i="1" s="1"/>
  <c r="M130" i="1"/>
  <c r="I130" i="1" s="1"/>
  <c r="M131" i="1"/>
  <c r="I131" i="1" s="1"/>
  <c r="M132" i="1"/>
  <c r="I132" i="1" s="1"/>
  <c r="M133" i="1"/>
  <c r="I133" i="1" s="1"/>
  <c r="M134" i="1"/>
  <c r="I134" i="1" s="1"/>
  <c r="M135" i="1"/>
  <c r="I135" i="1" s="1"/>
  <c r="M136" i="1"/>
  <c r="I136" i="1" s="1"/>
  <c r="M137" i="1"/>
  <c r="I137" i="1" s="1"/>
  <c r="M138" i="1"/>
  <c r="I138" i="1" s="1"/>
  <c r="M139" i="1"/>
  <c r="I139" i="1" s="1"/>
  <c r="M140" i="1"/>
  <c r="I140" i="1" s="1"/>
  <c r="M141" i="1"/>
  <c r="I141" i="1" s="1"/>
  <c r="V129" i="1" l="1"/>
  <c r="Y129" i="1" s="1"/>
  <c r="V132" i="1"/>
  <c r="Y132" i="1" s="1"/>
  <c r="V135" i="1"/>
  <c r="Y135" i="1" s="1"/>
  <c r="V134" i="1"/>
  <c r="Y134" i="1" s="1"/>
  <c r="V131" i="1"/>
  <c r="Y131" i="1" s="1"/>
  <c r="V130" i="1"/>
  <c r="Y130" i="1" s="1"/>
  <c r="V141" i="1"/>
  <c r="Y141" i="1" s="1"/>
  <c r="V133" i="1"/>
  <c r="Y133" i="1" s="1"/>
  <c r="V139" i="1"/>
  <c r="Y139" i="1" s="1"/>
  <c r="V138" i="1"/>
  <c r="Y138" i="1" s="1"/>
  <c r="V137" i="1"/>
  <c r="Y137" i="1" s="1"/>
  <c r="V136" i="1"/>
  <c r="Y136" i="1" s="1"/>
  <c r="V140" i="1"/>
  <c r="Y140" i="1" s="1"/>
  <c r="M123" i="1"/>
  <c r="I123" i="1" s="1"/>
  <c r="M124" i="1"/>
  <c r="I124" i="1" s="1"/>
  <c r="M125" i="1"/>
  <c r="I125" i="1" s="1"/>
  <c r="M126" i="1"/>
  <c r="I126" i="1" s="1"/>
  <c r="M127" i="1"/>
  <c r="I127" i="1" s="1"/>
  <c r="X123" i="1" l="1"/>
  <c r="X124" i="1"/>
  <c r="X125" i="1"/>
  <c r="X126" i="1"/>
  <c r="X127" i="1"/>
  <c r="W123" i="1"/>
  <c r="W124" i="1"/>
  <c r="W125" i="1"/>
  <c r="W126" i="1"/>
  <c r="W127" i="1"/>
  <c r="U123" i="1"/>
  <c r="D123" i="1" s="1" a="1"/>
  <c r="D123" i="1" s="1"/>
  <c r="U124" i="1"/>
  <c r="D124" i="1" s="1" a="1"/>
  <c r="D124" i="1" s="1"/>
  <c r="U125" i="1"/>
  <c r="D125" i="1" s="1" a="1"/>
  <c r="D125" i="1" s="1"/>
  <c r="U126" i="1"/>
  <c r="D126" i="1" s="1" a="1"/>
  <c r="D126" i="1" s="1"/>
  <c r="U127" i="1"/>
  <c r="D127" i="1" s="1" a="1"/>
  <c r="D127" i="1" s="1"/>
  <c r="T123" i="1"/>
  <c r="T124" i="1"/>
  <c r="T125" i="1"/>
  <c r="T126" i="1"/>
  <c r="T127" i="1"/>
  <c r="S123" i="1"/>
  <c r="S124" i="1"/>
  <c r="S125" i="1"/>
  <c r="S126" i="1"/>
  <c r="S127" i="1"/>
  <c r="V127" i="1" l="1"/>
  <c r="Y127" i="1" s="1"/>
  <c r="V126" i="1"/>
  <c r="Y126" i="1" s="1"/>
  <c r="V125" i="1"/>
  <c r="Y125" i="1" s="1"/>
  <c r="V124" i="1"/>
  <c r="Y124" i="1" s="1"/>
  <c r="V123" i="1"/>
  <c r="Y123" i="1" s="1"/>
  <c r="X393" i="1" l="1"/>
  <c r="X394" i="1"/>
  <c r="X395" i="1"/>
  <c r="W393" i="1"/>
  <c r="W394" i="1"/>
  <c r="W395" i="1"/>
  <c r="U393" i="1"/>
  <c r="D393" i="1" s="1" a="1"/>
  <c r="D393" i="1" s="1"/>
  <c r="U394" i="1"/>
  <c r="D394" i="1" s="1" a="1"/>
  <c r="D394" i="1" s="1"/>
  <c r="U395" i="1"/>
  <c r="D395" i="1" s="1" a="1"/>
  <c r="D395" i="1" s="1"/>
  <c r="T393" i="1"/>
  <c r="T394" i="1"/>
  <c r="T395" i="1"/>
  <c r="S393" i="1"/>
  <c r="S394" i="1"/>
  <c r="S395" i="1"/>
  <c r="M393" i="1"/>
  <c r="I393" i="1" s="1"/>
  <c r="M394" i="1"/>
  <c r="I394" i="1" s="1"/>
  <c r="M395" i="1"/>
  <c r="I395" i="1" s="1"/>
  <c r="V394" i="1" l="1"/>
  <c r="V393" i="1"/>
  <c r="V395" i="1"/>
  <c r="X336" i="1"/>
  <c r="W336" i="1"/>
  <c r="U336" i="1"/>
  <c r="D336" i="1" s="1" a="1"/>
  <c r="D336" i="1" s="1"/>
  <c r="T336" i="1"/>
  <c r="S336" i="1"/>
  <c r="M336" i="1"/>
  <c r="I336" i="1" s="1"/>
  <c r="X167" i="1"/>
  <c r="X168" i="1"/>
  <c r="X169" i="1"/>
  <c r="X170" i="1"/>
  <c r="X171" i="1"/>
  <c r="W167" i="1"/>
  <c r="W168" i="1"/>
  <c r="W169" i="1"/>
  <c r="W170" i="1"/>
  <c r="W171" i="1"/>
  <c r="U167" i="1"/>
  <c r="D167" i="1" s="1" a="1"/>
  <c r="D167" i="1" s="1"/>
  <c r="U168" i="1"/>
  <c r="D168" i="1" s="1" a="1"/>
  <c r="D168" i="1" s="1"/>
  <c r="U169" i="1"/>
  <c r="D169" i="1" s="1" a="1"/>
  <c r="D169" i="1" s="1"/>
  <c r="U170" i="1"/>
  <c r="D170" i="1" s="1" a="1"/>
  <c r="D170" i="1" s="1"/>
  <c r="U171" i="1"/>
  <c r="D171" i="1" s="1" a="1"/>
  <c r="D171" i="1" s="1"/>
  <c r="T167" i="1"/>
  <c r="T168" i="1"/>
  <c r="T169" i="1"/>
  <c r="T170" i="1"/>
  <c r="T171" i="1"/>
  <c r="S167" i="1"/>
  <c r="S168" i="1"/>
  <c r="S169" i="1"/>
  <c r="S170" i="1"/>
  <c r="S171" i="1"/>
  <c r="M167" i="1"/>
  <c r="I167" i="1" s="1"/>
  <c r="M168" i="1"/>
  <c r="I168" i="1" s="1"/>
  <c r="M169" i="1"/>
  <c r="I169" i="1" s="1"/>
  <c r="M170" i="1"/>
  <c r="I170" i="1" s="1"/>
  <c r="M171" i="1"/>
  <c r="I171" i="1" s="1"/>
  <c r="X113" i="1"/>
  <c r="X115" i="1"/>
  <c r="X116" i="1"/>
  <c r="W113" i="1"/>
  <c r="W115" i="1"/>
  <c r="W116" i="1"/>
  <c r="U113" i="1"/>
  <c r="D113" i="1" s="1" a="1"/>
  <c r="D113" i="1" s="1"/>
  <c r="D114" i="1" a="1"/>
  <c r="D114" i="1" s="1"/>
  <c r="U115" i="1"/>
  <c r="D115" i="1" s="1" a="1"/>
  <c r="D115" i="1" s="1"/>
  <c r="U116" i="1"/>
  <c r="D116" i="1" s="1" a="1"/>
  <c r="D116" i="1" s="1"/>
  <c r="T113" i="1"/>
  <c r="T115" i="1"/>
  <c r="T116" i="1"/>
  <c r="S113" i="1"/>
  <c r="S115" i="1"/>
  <c r="S116" i="1"/>
  <c r="M113" i="1"/>
  <c r="I113" i="1" s="1"/>
  <c r="M115" i="1"/>
  <c r="I115" i="1" s="1"/>
  <c r="M116" i="1"/>
  <c r="I116" i="1" s="1"/>
  <c r="V336" i="1" l="1"/>
  <c r="V171" i="1"/>
  <c r="Y171" i="1" s="1"/>
  <c r="V170" i="1"/>
  <c r="Y170" i="1" s="1"/>
  <c r="V169" i="1"/>
  <c r="Y169" i="1" s="1"/>
  <c r="V168" i="1"/>
  <c r="Y168" i="1" s="1"/>
  <c r="V167" i="1"/>
  <c r="Y167" i="1" s="1"/>
  <c r="V116" i="1"/>
  <c r="Y116" i="1" s="1"/>
  <c r="V115" i="1"/>
  <c r="Y115" i="1" s="1"/>
  <c r="V113" i="1"/>
  <c r="Y113" i="1" s="1"/>
  <c r="AR342" i="1"/>
  <c r="AR340" i="1"/>
  <c r="X318" i="1" l="1"/>
  <c r="X319" i="1"/>
  <c r="W318" i="1"/>
  <c r="W319" i="1"/>
  <c r="U318" i="1"/>
  <c r="D318" i="1" s="1" a="1"/>
  <c r="D318" i="1" s="1"/>
  <c r="U319" i="1"/>
  <c r="D319" i="1" s="1" a="1"/>
  <c r="D319" i="1" s="1"/>
  <c r="T318" i="1"/>
  <c r="T319" i="1"/>
  <c r="S318" i="1"/>
  <c r="S319" i="1"/>
  <c r="M318" i="1"/>
  <c r="I318" i="1" s="1"/>
  <c r="M319" i="1"/>
  <c r="I319" i="1" s="1"/>
  <c r="V319" i="1" l="1"/>
  <c r="V318" i="1"/>
  <c r="M184" i="1"/>
  <c r="I184" i="1" s="1"/>
  <c r="M185" i="1"/>
  <c r="I185" i="1" s="1"/>
  <c r="X184" i="1"/>
  <c r="X185" i="1"/>
  <c r="W184" i="1"/>
  <c r="W185" i="1"/>
  <c r="U184" i="1"/>
  <c r="D184" i="1" s="1" a="1"/>
  <c r="D184" i="1" s="1"/>
  <c r="U185" i="1"/>
  <c r="D185" i="1" s="1" a="1"/>
  <c r="D185" i="1" s="1"/>
  <c r="T184" i="1"/>
  <c r="T185" i="1"/>
  <c r="S184" i="1"/>
  <c r="S185" i="1"/>
  <c r="W105" i="1"/>
  <c r="X105" i="1"/>
  <c r="X118" i="1"/>
  <c r="X119" i="1"/>
  <c r="X120" i="1"/>
  <c r="X121" i="1"/>
  <c r="W118" i="1"/>
  <c r="W119" i="1"/>
  <c r="W120" i="1"/>
  <c r="W121" i="1"/>
  <c r="U118" i="1"/>
  <c r="D118" i="1" s="1" a="1"/>
  <c r="D118" i="1" s="1"/>
  <c r="U119" i="1"/>
  <c r="D119" i="1" s="1" a="1"/>
  <c r="D119" i="1" s="1"/>
  <c r="U120" i="1"/>
  <c r="D120" i="1" s="1" a="1"/>
  <c r="D120" i="1" s="1"/>
  <c r="U121" i="1"/>
  <c r="D121" i="1" s="1" a="1"/>
  <c r="D121" i="1" s="1"/>
  <c r="S105" i="1"/>
  <c r="U105" i="1"/>
  <c r="D105" i="1" s="1" a="1"/>
  <c r="D105" i="1" s="1"/>
  <c r="T105" i="1"/>
  <c r="T118" i="1"/>
  <c r="T119" i="1"/>
  <c r="T120" i="1"/>
  <c r="T121" i="1"/>
  <c r="S118" i="1"/>
  <c r="S119" i="1"/>
  <c r="S120" i="1"/>
  <c r="S121" i="1"/>
  <c r="M118" i="1"/>
  <c r="I118" i="1" s="1"/>
  <c r="M119" i="1"/>
  <c r="I119" i="1" s="1"/>
  <c r="M120" i="1"/>
  <c r="I120" i="1" s="1"/>
  <c r="M121" i="1"/>
  <c r="I121" i="1" s="1"/>
  <c r="M105" i="1"/>
  <c r="I105" i="1" s="1"/>
  <c r="AR242" i="1"/>
  <c r="AR245" i="1"/>
  <c r="AR244" i="1"/>
  <c r="AR243" i="1"/>
  <c r="AR238" i="1"/>
  <c r="AR241" i="1"/>
  <c r="AR240" i="1"/>
  <c r="M180" i="1"/>
  <c r="I180" i="1" s="1"/>
  <c r="M181" i="1"/>
  <c r="X180" i="1"/>
  <c r="X181" i="1"/>
  <c r="W180" i="1"/>
  <c r="W181" i="1"/>
  <c r="U180" i="1"/>
  <c r="D180" i="1" s="1" a="1"/>
  <c r="D180" i="1" s="1"/>
  <c r="U181" i="1"/>
  <c r="D181" i="1" s="1" a="1"/>
  <c r="D181" i="1" s="1"/>
  <c r="T180" i="1"/>
  <c r="G180" i="1" s="1"/>
  <c r="T181" i="1"/>
  <c r="G181" i="1" s="1"/>
  <c r="S180" i="1"/>
  <c r="S181" i="1"/>
  <c r="X353" i="1"/>
  <c r="X370" i="1"/>
  <c r="X377" i="1"/>
  <c r="W353" i="1"/>
  <c r="W370" i="1"/>
  <c r="W377" i="1"/>
  <c r="U353" i="1"/>
  <c r="D353" i="1" s="1" a="1"/>
  <c r="D353" i="1" s="1"/>
  <c r="D361" i="1" a="1"/>
  <c r="D361" i="1" s="1"/>
  <c r="U370" i="1"/>
  <c r="D370" i="1" s="1" a="1"/>
  <c r="D370" i="1" s="1"/>
  <c r="U377" i="1"/>
  <c r="D377" i="1" s="1" a="1"/>
  <c r="D377" i="1" s="1"/>
  <c r="T353" i="1"/>
  <c r="T370" i="1"/>
  <c r="T377" i="1"/>
  <c r="S353" i="1"/>
  <c r="S370" i="1"/>
  <c r="S377" i="1"/>
  <c r="X342" i="1"/>
  <c r="W342" i="1"/>
  <c r="U342" i="1"/>
  <c r="D342" i="1" s="1" a="1"/>
  <c r="D342" i="1" s="1"/>
  <c r="T342" i="1"/>
  <c r="S342" i="1"/>
  <c r="M353" i="1"/>
  <c r="I353" i="1" s="1"/>
  <c r="M361" i="1"/>
  <c r="I361" i="1" s="1"/>
  <c r="M370" i="1"/>
  <c r="I370" i="1" s="1"/>
  <c r="M377" i="1"/>
  <c r="I377" i="1" s="1"/>
  <c r="M342" i="1"/>
  <c r="I342" i="1" s="1"/>
  <c r="X242" i="1"/>
  <c r="X243" i="1"/>
  <c r="X244" i="1"/>
  <c r="X245" i="1"/>
  <c r="W242" i="1"/>
  <c r="W243" i="1"/>
  <c r="W244" i="1"/>
  <c r="W245" i="1"/>
  <c r="U242" i="1"/>
  <c r="D242" i="1" s="1" a="1"/>
  <c r="D242" i="1" s="1"/>
  <c r="U243" i="1"/>
  <c r="D243" i="1" s="1" a="1"/>
  <c r="D243" i="1" s="1"/>
  <c r="U244" i="1"/>
  <c r="D244" i="1" s="1" a="1"/>
  <c r="D244" i="1" s="1"/>
  <c r="U245" i="1"/>
  <c r="D245" i="1" s="1" a="1"/>
  <c r="D245" i="1" s="1"/>
  <c r="T242" i="1"/>
  <c r="T243" i="1"/>
  <c r="T244" i="1"/>
  <c r="T245" i="1"/>
  <c r="S242" i="1"/>
  <c r="S243" i="1"/>
  <c r="S244" i="1"/>
  <c r="S245" i="1"/>
  <c r="V185" i="1" l="1"/>
  <c r="Y185" i="1" s="1"/>
  <c r="V184" i="1"/>
  <c r="Y184" i="1" s="1"/>
  <c r="V119" i="1"/>
  <c r="Y119" i="1" s="1"/>
  <c r="V105" i="1"/>
  <c r="Y105" i="1" s="1"/>
  <c r="V121" i="1"/>
  <c r="Y121" i="1" s="1"/>
  <c r="V120" i="1"/>
  <c r="Y120" i="1" s="1"/>
  <c r="V118" i="1"/>
  <c r="Y118" i="1" s="1"/>
  <c r="V180" i="1"/>
  <c r="Y180" i="1" s="1"/>
  <c r="V181" i="1"/>
  <c r="Y181" i="1" s="1"/>
  <c r="V377" i="1"/>
  <c r="Y377" i="1" s="1"/>
  <c r="V342" i="1"/>
  <c r="V370" i="1"/>
  <c r="Y370" i="1" s="1"/>
  <c r="V353" i="1"/>
  <c r="Y353" i="1" s="1"/>
  <c r="V245" i="1"/>
  <c r="Y245" i="1" s="1"/>
  <c r="V244" i="1"/>
  <c r="Y244" i="1" s="1"/>
  <c r="V243" i="1"/>
  <c r="Y243" i="1" s="1"/>
  <c r="V242" i="1"/>
  <c r="Y242" i="1" s="1"/>
  <c r="AR396" i="1" l="1"/>
  <c r="AR271" i="1"/>
  <c r="AR284" i="1"/>
  <c r="AN228" i="1" l="1"/>
  <c r="AM237" i="1"/>
  <c r="AO267" i="1"/>
  <c r="H267" i="1" s="1"/>
  <c r="AO268" i="1"/>
  <c r="H268" i="1" s="1"/>
  <c r="AO266" i="1"/>
  <c r="H266" i="1" s="1"/>
  <c r="AO246" i="1"/>
  <c r="H246" i="1" s="1"/>
  <c r="H237" i="1" l="1"/>
  <c r="E237" i="1" a="1"/>
  <c r="E237" i="1" s="1"/>
  <c r="H228" i="1"/>
  <c r="E228" i="1" a="1"/>
  <c r="E228" i="1" s="1"/>
  <c r="AY98" i="1"/>
  <c r="AZ98" i="1" s="1"/>
  <c r="I237" i="1" l="1"/>
  <c r="M98" i="1"/>
  <c r="I98" i="1" s="1"/>
  <c r="M99" i="1"/>
  <c r="I99" i="1" s="1"/>
  <c r="M100" i="1"/>
  <c r="I100" i="1" s="1"/>
  <c r="M101" i="1"/>
  <c r="I101" i="1" s="1"/>
  <c r="M102" i="1"/>
  <c r="I102" i="1" s="1"/>
  <c r="M103" i="1"/>
  <c r="I103" i="1" s="1"/>
  <c r="I16" i="7"/>
  <c r="H16" i="7"/>
  <c r="G16" i="7"/>
  <c r="F16" i="7"/>
  <c r="I17" i="7"/>
  <c r="H17" i="7"/>
  <c r="G17" i="7"/>
  <c r="I15" i="7"/>
  <c r="H15" i="7"/>
  <c r="G15" i="7"/>
  <c r="H14" i="7"/>
  <c r="G14" i="7"/>
  <c r="I13" i="7"/>
  <c r="I14" i="7"/>
  <c r="H13" i="7"/>
  <c r="G13" i="7"/>
  <c r="I12" i="7"/>
  <c r="H12" i="7"/>
  <c r="F13" i="7"/>
  <c r="F14" i="7"/>
  <c r="F15" i="7"/>
  <c r="F80" i="8" l="1"/>
  <c r="E80" i="8"/>
  <c r="F71" i="8"/>
  <c r="E71" i="8"/>
  <c r="K59" i="8"/>
  <c r="E59" i="8"/>
  <c r="F24" i="7" l="1"/>
  <c r="AR270" i="1"/>
  <c r="AR290" i="1"/>
  <c r="AR287" i="1"/>
  <c r="AR285" i="1"/>
  <c r="AR274" i="1"/>
  <c r="AR273" i="1"/>
  <c r="AR315" i="1" l="1"/>
  <c r="AR294" i="1"/>
  <c r="AR291" i="1"/>
  <c r="AR324" i="1"/>
  <c r="M329" i="1"/>
  <c r="I329" i="1" s="1"/>
  <c r="M392" i="1"/>
  <c r="I392" i="1" s="1"/>
  <c r="AR329" i="1"/>
  <c r="AR286" i="1"/>
  <c r="AR272" i="1"/>
  <c r="AR277" i="1"/>
  <c r="AR281" i="1"/>
  <c r="I50" i="5" l="1"/>
  <c r="X329" i="1"/>
  <c r="W329" i="1"/>
  <c r="U329" i="1"/>
  <c r="D329" i="1" s="1" a="1"/>
  <c r="D329" i="1" s="1"/>
  <c r="T329" i="1"/>
  <c r="S329" i="1"/>
  <c r="AR313" i="1"/>
  <c r="AR392" i="1"/>
  <c r="AR292" i="1"/>
  <c r="AR391" i="1"/>
  <c r="AR317" i="1"/>
  <c r="AR298" i="1"/>
  <c r="X98" i="1"/>
  <c r="W98" i="1"/>
  <c r="U98" i="1"/>
  <c r="D98" i="1" s="1" a="1"/>
  <c r="D98" i="1" s="1"/>
  <c r="T98" i="1"/>
  <c r="S98" i="1"/>
  <c r="M94" i="1"/>
  <c r="I94" i="1" s="1"/>
  <c r="I24" i="7"/>
  <c r="I23" i="7"/>
  <c r="I22" i="7"/>
  <c r="I21" i="7"/>
  <c r="I20" i="7"/>
  <c r="I19" i="7"/>
  <c r="I18" i="7"/>
  <c r="H24" i="7"/>
  <c r="H23" i="7"/>
  <c r="H21" i="7"/>
  <c r="H20" i="7"/>
  <c r="H19" i="7"/>
  <c r="H18" i="7"/>
  <c r="G24" i="7"/>
  <c r="G23" i="7"/>
  <c r="G21" i="7"/>
  <c r="G20" i="7"/>
  <c r="G19" i="7"/>
  <c r="G18" i="7"/>
  <c r="F23" i="7"/>
  <c r="F21" i="7"/>
  <c r="F20" i="7"/>
  <c r="F19" i="7"/>
  <c r="F18" i="7"/>
  <c r="C20" i="7"/>
  <c r="C19" i="7"/>
  <c r="D24" i="7"/>
  <c r="D23" i="7"/>
  <c r="D22" i="7"/>
  <c r="D21" i="7"/>
  <c r="D20" i="7"/>
  <c r="D19" i="7"/>
  <c r="D18" i="7"/>
  <c r="D17" i="7"/>
  <c r="D16" i="7"/>
  <c r="D15" i="7"/>
  <c r="D14" i="7"/>
  <c r="D13" i="7"/>
  <c r="D12" i="7"/>
  <c r="D11" i="7"/>
  <c r="D10" i="7"/>
  <c r="D9" i="7"/>
  <c r="D8" i="7"/>
  <c r="D7" i="7"/>
  <c r="D6" i="7"/>
  <c r="D5" i="7"/>
  <c r="D4" i="7"/>
  <c r="I25" i="7" l="1"/>
  <c r="V329" i="1"/>
  <c r="V98" i="1"/>
  <c r="Y98" i="1" s="1"/>
  <c r="X392" i="1"/>
  <c r="W392" i="1"/>
  <c r="U392" i="1"/>
  <c r="D392" i="1" s="1" a="1"/>
  <c r="D392" i="1" s="1"/>
  <c r="T392" i="1"/>
  <c r="S392" i="1"/>
  <c r="V392" i="1" l="1"/>
  <c r="AR322" i="1"/>
  <c r="AR337" i="1" l="1"/>
  <c r="AR300" i="1" l="1"/>
  <c r="X238" i="1"/>
  <c r="X240" i="1"/>
  <c r="X241" i="1"/>
  <c r="W238" i="1"/>
  <c r="W240" i="1"/>
  <c r="W241" i="1"/>
  <c r="U238" i="1"/>
  <c r="D238" i="1" s="1" a="1"/>
  <c r="D238" i="1" s="1"/>
  <c r="U240" i="1"/>
  <c r="D240" i="1" s="1" a="1"/>
  <c r="D240" i="1" s="1"/>
  <c r="U241" i="1"/>
  <c r="D241" i="1" s="1" a="1"/>
  <c r="D241" i="1" s="1"/>
  <c r="T238" i="1"/>
  <c r="T240" i="1"/>
  <c r="T241" i="1"/>
  <c r="S238" i="1"/>
  <c r="S240" i="1"/>
  <c r="S241" i="1"/>
  <c r="AR268" i="1"/>
  <c r="V241" i="1" l="1"/>
  <c r="Y241" i="1" s="1"/>
  <c r="V238" i="1"/>
  <c r="Y238" i="1" s="1"/>
  <c r="V240" i="1"/>
  <c r="Y240" i="1" s="1"/>
  <c r="AR246" i="1"/>
  <c r="AR266" i="1" l="1"/>
  <c r="AR321" i="1" l="1"/>
  <c r="AR335" i="1"/>
  <c r="X100" i="1"/>
  <c r="X101" i="1"/>
  <c r="X102" i="1"/>
  <c r="X103" i="1"/>
  <c r="W100" i="1"/>
  <c r="W101" i="1"/>
  <c r="W102" i="1"/>
  <c r="W103" i="1"/>
  <c r="U100" i="1"/>
  <c r="D100" i="1" s="1" a="1"/>
  <c r="D100" i="1" s="1"/>
  <c r="U101" i="1"/>
  <c r="D101" i="1" s="1" a="1"/>
  <c r="D101" i="1" s="1"/>
  <c r="U102" i="1"/>
  <c r="D102" i="1" s="1" a="1"/>
  <c r="D102" i="1" s="1"/>
  <c r="U103" i="1"/>
  <c r="D103" i="1" s="1" a="1"/>
  <c r="D103" i="1" s="1"/>
  <c r="T100" i="1"/>
  <c r="T101" i="1"/>
  <c r="T102" i="1"/>
  <c r="T103" i="1"/>
  <c r="S100" i="1"/>
  <c r="S101" i="1"/>
  <c r="S102" i="1"/>
  <c r="S103" i="1"/>
  <c r="V103" i="1" l="1"/>
  <c r="Y103" i="1" s="1"/>
  <c r="V102" i="1"/>
  <c r="Y102" i="1" s="1"/>
  <c r="V101" i="1"/>
  <c r="Y101" i="1" s="1"/>
  <c r="V100" i="1"/>
  <c r="Y100" i="1" s="1"/>
  <c r="AR323" i="1"/>
  <c r="AR203" i="1" l="1"/>
  <c r="AR199" i="1"/>
  <c r="AR195" i="1"/>
  <c r="AR186" i="1"/>
  <c r="AR162" i="1"/>
  <c r="M195" i="1" l="1"/>
  <c r="I195" i="1" s="1"/>
  <c r="M199" i="1"/>
  <c r="I199" i="1" s="1"/>
  <c r="M203" i="1"/>
  <c r="I203" i="1" s="1"/>
  <c r="T195" i="1" l="1"/>
  <c r="T199" i="1"/>
  <c r="T203" i="1"/>
  <c r="S236" i="1" l="1"/>
  <c r="T236" i="1"/>
  <c r="U236" i="1"/>
  <c r="D236" i="1" s="1" a="1"/>
  <c r="D236" i="1" s="1"/>
  <c r="W236" i="1"/>
  <c r="X236" i="1"/>
  <c r="S235" i="1"/>
  <c r="T235" i="1"/>
  <c r="U235" i="1"/>
  <c r="D235" i="1" s="1" a="1"/>
  <c r="D235" i="1" s="1"/>
  <c r="W235" i="1"/>
  <c r="X235" i="1"/>
  <c r="V236" i="1" l="1"/>
  <c r="V235" i="1"/>
  <c r="D25" i="7" l="1"/>
  <c r="S237" i="1"/>
  <c r="T237" i="1"/>
  <c r="U237" i="1"/>
  <c r="D237" i="1" s="1" a="1"/>
  <c r="D237" i="1" s="1"/>
  <c r="W237" i="1"/>
  <c r="X237" i="1"/>
  <c r="X203" i="1"/>
  <c r="W203" i="1"/>
  <c r="X199" i="1"/>
  <c r="W199" i="1"/>
  <c r="X195" i="1"/>
  <c r="W195" i="1"/>
  <c r="S195" i="1"/>
  <c r="S199" i="1"/>
  <c r="V237" i="1" l="1"/>
  <c r="Y237" i="1" s="1"/>
  <c r="V199" i="1"/>
  <c r="Y199" i="1" s="1"/>
  <c r="V195" i="1"/>
  <c r="Y195" i="1" s="1"/>
  <c r="V203" i="1"/>
  <c r="Y203" i="1" s="1"/>
  <c r="M397" i="1"/>
  <c r="I397" i="1" s="1"/>
  <c r="M396" i="1"/>
  <c r="I396" i="1" s="1"/>
  <c r="M391" i="1"/>
  <c r="I391" i="1" s="1"/>
  <c r="M390" i="1"/>
  <c r="I390" i="1" s="1"/>
  <c r="M389" i="1"/>
  <c r="I389" i="1" s="1"/>
  <c r="M388" i="1"/>
  <c r="I388" i="1" s="1"/>
  <c r="M347" i="1"/>
  <c r="I347" i="1" s="1"/>
  <c r="M340" i="1"/>
  <c r="I340" i="1" s="1"/>
  <c r="M337" i="1"/>
  <c r="I337" i="1" s="1"/>
  <c r="M335" i="1"/>
  <c r="I335" i="1" s="1"/>
  <c r="M324" i="1"/>
  <c r="I324" i="1" s="1"/>
  <c r="M323" i="1"/>
  <c r="I323" i="1" s="1"/>
  <c r="M322" i="1"/>
  <c r="I322" i="1" s="1"/>
  <c r="M321" i="1"/>
  <c r="I321" i="1" s="1"/>
  <c r="M320" i="1"/>
  <c r="I320" i="1" s="1"/>
  <c r="M317" i="1"/>
  <c r="I317" i="1" s="1"/>
  <c r="M315" i="1"/>
  <c r="I315" i="1" s="1"/>
  <c r="M313" i="1"/>
  <c r="I313" i="1" s="1"/>
  <c r="M300" i="1"/>
  <c r="I300" i="1" s="1"/>
  <c r="M298" i="1"/>
  <c r="I298" i="1" s="1"/>
  <c r="M294" i="1"/>
  <c r="I294" i="1" s="1"/>
  <c r="M292" i="1"/>
  <c r="I292" i="1" s="1"/>
  <c r="M291" i="1"/>
  <c r="I291" i="1" s="1"/>
  <c r="M162" i="1"/>
  <c r="I162" i="1" s="1"/>
  <c r="AY57" i="1"/>
  <c r="AY58" i="1"/>
  <c r="AY59" i="1"/>
  <c r="AY60" i="1"/>
  <c r="AY61" i="1"/>
  <c r="AY62" i="1"/>
  <c r="AY63" i="1"/>
  <c r="AY65" i="1"/>
  <c r="AY66" i="1"/>
  <c r="AY67" i="1"/>
  <c r="AY68" i="1"/>
  <c r="AY70" i="1"/>
  <c r="AY71" i="1"/>
  <c r="AY72" i="1"/>
  <c r="AY73" i="1"/>
  <c r="AY74" i="1"/>
  <c r="AY75" i="1"/>
  <c r="AY76" i="1"/>
  <c r="AY77" i="1"/>
  <c r="AY78" i="1"/>
  <c r="AY79" i="1"/>
  <c r="AY80" i="1"/>
  <c r="AY81" i="1"/>
  <c r="AY82" i="1"/>
  <c r="AY88" i="1"/>
  <c r="AY89" i="1"/>
  <c r="AY90" i="1"/>
  <c r="AY91" i="1"/>
  <c r="AY92" i="1"/>
  <c r="AY93" i="1"/>
  <c r="AY94" i="1"/>
  <c r="AY95" i="1"/>
  <c r="AY96" i="1"/>
  <c r="AY117" i="1"/>
  <c r="AY154" i="1"/>
  <c r="AY155" i="1"/>
  <c r="AY156" i="1"/>
  <c r="AY157" i="1"/>
  <c r="AY383" i="1"/>
  <c r="AY182" i="1"/>
  <c r="AY186" i="1"/>
  <c r="AY221" i="1"/>
  <c r="AY226" i="1"/>
  <c r="AY227" i="1"/>
  <c r="AY228" i="1"/>
  <c r="AY229" i="1"/>
  <c r="AY230" i="1"/>
  <c r="AY231" i="1"/>
  <c r="AY232" i="1"/>
  <c r="AY233" i="1"/>
  <c r="AY234" i="1"/>
  <c r="AY235" i="1"/>
  <c r="AY236" i="1"/>
  <c r="AY246" i="1"/>
  <c r="AY266" i="1"/>
  <c r="AY267" i="1"/>
  <c r="AY268" i="1"/>
  <c r="AY270" i="1"/>
  <c r="AY271" i="1"/>
  <c r="AY272" i="1"/>
  <c r="AY273" i="1"/>
  <c r="AY274" i="1"/>
  <c r="AY277" i="1"/>
  <c r="AY281" i="1"/>
  <c r="AY284" i="1"/>
  <c r="AY285" i="1"/>
  <c r="AY286" i="1"/>
  <c r="AY287" i="1"/>
  <c r="AY290" i="1"/>
  <c r="AY84" i="1"/>
  <c r="AY56" i="1"/>
  <c r="AN89" i="1"/>
  <c r="BK56" i="1"/>
  <c r="M57" i="1"/>
  <c r="I57" i="1" s="1"/>
  <c r="M58" i="1"/>
  <c r="I58" i="1" s="1"/>
  <c r="M59" i="1"/>
  <c r="I59" i="1" s="1"/>
  <c r="M60" i="1"/>
  <c r="I60" i="1" s="1"/>
  <c r="M61" i="1"/>
  <c r="I61" i="1" s="1"/>
  <c r="M62" i="1"/>
  <c r="I62" i="1" s="1"/>
  <c r="M63" i="1"/>
  <c r="I63" i="1" s="1"/>
  <c r="M65" i="1"/>
  <c r="I65" i="1" s="1"/>
  <c r="M66" i="1"/>
  <c r="I66" i="1" s="1"/>
  <c r="M67" i="1"/>
  <c r="I67" i="1" s="1"/>
  <c r="M68" i="1"/>
  <c r="I68" i="1" s="1"/>
  <c r="M70" i="1"/>
  <c r="I70" i="1" s="1"/>
  <c r="M71" i="1"/>
  <c r="I71" i="1" s="1"/>
  <c r="M72" i="1"/>
  <c r="I72" i="1" s="1"/>
  <c r="M73" i="1"/>
  <c r="I73" i="1" s="1"/>
  <c r="M74" i="1"/>
  <c r="I74" i="1" s="1"/>
  <c r="M75" i="1"/>
  <c r="I75" i="1" s="1"/>
  <c r="M76" i="1"/>
  <c r="I76" i="1" s="1"/>
  <c r="M77" i="1"/>
  <c r="I77" i="1" s="1"/>
  <c r="M78" i="1"/>
  <c r="I78" i="1" s="1"/>
  <c r="M79" i="1"/>
  <c r="I79" i="1" s="1"/>
  <c r="M80" i="1"/>
  <c r="I80" i="1" s="1"/>
  <c r="M81" i="1"/>
  <c r="I81" i="1" s="1"/>
  <c r="M82" i="1"/>
  <c r="I82" i="1" s="1"/>
  <c r="M88" i="1"/>
  <c r="I88" i="1" s="1"/>
  <c r="M89" i="1"/>
  <c r="M90" i="1"/>
  <c r="I90" i="1" s="1"/>
  <c r="M91" i="1"/>
  <c r="I91" i="1" s="1"/>
  <c r="M92" i="1"/>
  <c r="I92" i="1" s="1"/>
  <c r="M93" i="1"/>
  <c r="I93" i="1" s="1"/>
  <c r="M95" i="1"/>
  <c r="I95" i="1" s="1"/>
  <c r="M96" i="1"/>
  <c r="I96" i="1" s="1"/>
  <c r="M97" i="1"/>
  <c r="I97" i="1" s="1"/>
  <c r="M104" i="1"/>
  <c r="I104" i="1" s="1"/>
  <c r="M112" i="1"/>
  <c r="I112" i="1" s="1"/>
  <c r="M106" i="1"/>
  <c r="I106" i="1" s="1"/>
  <c r="M128" i="1"/>
  <c r="I128" i="1" s="1"/>
  <c r="M117" i="1"/>
  <c r="I117" i="1" s="1"/>
  <c r="M142" i="1"/>
  <c r="I142" i="1" s="1"/>
  <c r="M154" i="1"/>
  <c r="I154" i="1" s="1"/>
  <c r="M122" i="1"/>
  <c r="I122" i="1" s="1"/>
  <c r="M155" i="1"/>
  <c r="I155" i="1" s="1"/>
  <c r="M156" i="1"/>
  <c r="I156" i="1" s="1"/>
  <c r="M157" i="1"/>
  <c r="I157" i="1" s="1"/>
  <c r="M159" i="1"/>
  <c r="I159" i="1" s="1"/>
  <c r="M383" i="1"/>
  <c r="I383" i="1" s="1"/>
  <c r="M165" i="1"/>
  <c r="I165" i="1" s="1"/>
  <c r="M166" i="1"/>
  <c r="I166" i="1" s="1"/>
  <c r="M172" i="1"/>
  <c r="I172" i="1" s="1"/>
  <c r="M179" i="1"/>
  <c r="I179" i="1" s="1"/>
  <c r="M182" i="1"/>
  <c r="I182" i="1" s="1"/>
  <c r="M183" i="1"/>
  <c r="I183" i="1" s="1"/>
  <c r="M186" i="1"/>
  <c r="I186" i="1" s="1"/>
  <c r="M216" i="1"/>
  <c r="I216" i="1" s="1"/>
  <c r="M204" i="1"/>
  <c r="I204" i="1" s="1"/>
  <c r="M210" i="1"/>
  <c r="I210" i="1" s="1"/>
  <c r="M221" i="1"/>
  <c r="I221" i="1" s="1"/>
  <c r="M226" i="1"/>
  <c r="I226" i="1" s="1"/>
  <c r="M227" i="1"/>
  <c r="I227" i="1" s="1"/>
  <c r="C21" i="7" s="1"/>
  <c r="M228" i="1"/>
  <c r="I228" i="1" s="1"/>
  <c r="M229" i="1"/>
  <c r="I229" i="1" s="1"/>
  <c r="M230" i="1"/>
  <c r="I230" i="1" s="1"/>
  <c r="M231" i="1"/>
  <c r="I231" i="1" s="1"/>
  <c r="M232" i="1"/>
  <c r="M233" i="1"/>
  <c r="M234" i="1"/>
  <c r="M235" i="1"/>
  <c r="M236" i="1"/>
  <c r="M246" i="1"/>
  <c r="I246" i="1" s="1"/>
  <c r="M266" i="1"/>
  <c r="I266" i="1" s="1"/>
  <c r="M267" i="1"/>
  <c r="I267" i="1" s="1"/>
  <c r="M268" i="1"/>
  <c r="I268" i="1" s="1"/>
  <c r="M270" i="1"/>
  <c r="I270" i="1" s="1"/>
  <c r="M271" i="1"/>
  <c r="I271" i="1" s="1"/>
  <c r="M272" i="1"/>
  <c r="I272" i="1" s="1"/>
  <c r="M273" i="1"/>
  <c r="I273" i="1" s="1"/>
  <c r="M274" i="1"/>
  <c r="I274" i="1" s="1"/>
  <c r="M277" i="1"/>
  <c r="I277" i="1" s="1"/>
  <c r="M281" i="1"/>
  <c r="I281" i="1" s="1"/>
  <c r="M284" i="1"/>
  <c r="I284" i="1" s="1"/>
  <c r="M285" i="1"/>
  <c r="I285" i="1" s="1"/>
  <c r="M286" i="1"/>
  <c r="I286" i="1" s="1"/>
  <c r="M287" i="1"/>
  <c r="I287" i="1" s="1"/>
  <c r="M290" i="1"/>
  <c r="I290" i="1" s="1"/>
  <c r="M56" i="1"/>
  <c r="I56" i="1" s="1"/>
  <c r="E89" i="1" l="1" a="1"/>
  <c r="E89" i="1" s="1"/>
  <c r="H89" i="1"/>
  <c r="I89" i="1" s="1"/>
  <c r="C16" i="7"/>
  <c r="H22" i="7"/>
  <c r="H25" i="7" s="1"/>
  <c r="AM236" i="1"/>
  <c r="E236" i="1" s="1" a="1"/>
  <c r="E236" i="1" s="1"/>
  <c r="AL235" i="1"/>
  <c r="AM234" i="1"/>
  <c r="AL233" i="1"/>
  <c r="H233" i="1" s="1"/>
  <c r="I233" i="1" s="1"/>
  <c r="AO232" i="1"/>
  <c r="S232" i="1"/>
  <c r="T232" i="1"/>
  <c r="U232" i="1"/>
  <c r="D232" i="1" s="1" a="1"/>
  <c r="D232" i="1" s="1"/>
  <c r="W232" i="1"/>
  <c r="X232" i="1"/>
  <c r="S233" i="1"/>
  <c r="T233" i="1"/>
  <c r="U233" i="1"/>
  <c r="D233" i="1" s="1" a="1"/>
  <c r="D233" i="1" s="1"/>
  <c r="W233" i="1"/>
  <c r="X233" i="1"/>
  <c r="S234" i="1"/>
  <c r="T234" i="1"/>
  <c r="U234" i="1"/>
  <c r="D234" i="1" s="1" a="1"/>
  <c r="D234" i="1" s="1"/>
  <c r="W234" i="1"/>
  <c r="X234" i="1"/>
  <c r="H232" i="1" l="1"/>
  <c r="I232" i="1" s="1"/>
  <c r="H234" i="1"/>
  <c r="I234" i="1" s="1"/>
  <c r="O6" i="7" s="1"/>
  <c r="E234" i="1" a="1"/>
  <c r="E234" i="1" s="1"/>
  <c r="H236" i="1"/>
  <c r="H235" i="1"/>
  <c r="I235" i="1" s="1"/>
  <c r="F22" i="7"/>
  <c r="G22" i="7"/>
  <c r="V234" i="1"/>
  <c r="V232" i="1"/>
  <c r="Y232" i="1" s="1"/>
  <c r="V233" i="1"/>
  <c r="Y233" i="1" s="1"/>
  <c r="Y234" i="1" l="1"/>
  <c r="Y236" i="1"/>
  <c r="I236" i="1"/>
  <c r="O70" i="7" s="1"/>
  <c r="Y235" i="1"/>
  <c r="O60" i="7"/>
  <c r="O20" i="7"/>
  <c r="X88" i="1"/>
  <c r="X90" i="1"/>
  <c r="X91" i="1"/>
  <c r="X268" i="1"/>
  <c r="X267" i="1"/>
  <c r="X246" i="1"/>
  <c r="X266" i="1"/>
  <c r="W88" i="1"/>
  <c r="W90" i="1"/>
  <c r="W91" i="1"/>
  <c r="W268" i="1"/>
  <c r="W267" i="1"/>
  <c r="W246" i="1"/>
  <c r="W266" i="1"/>
  <c r="U88" i="1"/>
  <c r="D88" i="1" s="1" a="1"/>
  <c r="D88" i="1" s="1"/>
  <c r="U90" i="1"/>
  <c r="D90" i="1" s="1" a="1"/>
  <c r="D90" i="1" s="1"/>
  <c r="U91" i="1"/>
  <c r="D91" i="1" s="1" a="1"/>
  <c r="D91" i="1" s="1"/>
  <c r="U268" i="1"/>
  <c r="D268" i="1" s="1" a="1"/>
  <c r="D268" i="1" s="1"/>
  <c r="U267" i="1"/>
  <c r="D267" i="1" s="1" a="1"/>
  <c r="D267" i="1" s="1"/>
  <c r="U246" i="1"/>
  <c r="D246" i="1" s="1" a="1"/>
  <c r="D246" i="1" s="1"/>
  <c r="U266" i="1"/>
  <c r="D266" i="1" s="1" a="1"/>
  <c r="D266" i="1" s="1"/>
  <c r="T91" i="1"/>
  <c r="T268" i="1"/>
  <c r="T267" i="1"/>
  <c r="T246" i="1"/>
  <c r="T266" i="1"/>
  <c r="T88" i="1"/>
  <c r="T90" i="1"/>
  <c r="S268" i="1"/>
  <c r="S267" i="1"/>
  <c r="S246" i="1"/>
  <c r="S266" i="1"/>
  <c r="S88" i="1"/>
  <c r="S90" i="1"/>
  <c r="S91" i="1"/>
  <c r="C23" i="7" l="1"/>
  <c r="O5" i="7"/>
  <c r="V88" i="1"/>
  <c r="Y88" i="1" s="1"/>
  <c r="V268" i="1"/>
  <c r="Y268" i="1" s="1"/>
  <c r="V90" i="1"/>
  <c r="Y90" i="1" s="1"/>
  <c r="V91" i="1"/>
  <c r="Y91" i="1" s="1"/>
  <c r="V266" i="1"/>
  <c r="Y266" i="1" s="1"/>
  <c r="V246" i="1"/>
  <c r="Y246" i="1" s="1"/>
  <c r="V267" i="1"/>
  <c r="Y267" i="1" s="1"/>
  <c r="AR230" i="1" l="1"/>
  <c r="X94" i="1" l="1"/>
  <c r="X97" i="1"/>
  <c r="X216" i="1"/>
  <c r="X210" i="1"/>
  <c r="X204" i="1"/>
  <c r="X99" i="1"/>
  <c r="X95" i="1"/>
  <c r="X96" i="1"/>
  <c r="X104" i="1"/>
  <c r="X106" i="1"/>
  <c r="X112" i="1"/>
  <c r="X122" i="1"/>
  <c r="X128" i="1"/>
  <c r="X142" i="1"/>
  <c r="X221" i="1"/>
  <c r="X117" i="1"/>
  <c r="X155" i="1"/>
  <c r="X154" i="1"/>
  <c r="X226" i="1"/>
  <c r="X227" i="1"/>
  <c r="X228" i="1"/>
  <c r="X74" i="1"/>
  <c r="X82" i="1"/>
  <c r="X75" i="1"/>
  <c r="X60" i="1"/>
  <c r="X62" i="1"/>
  <c r="X59" i="1"/>
  <c r="X67" i="1"/>
  <c r="X68" i="1"/>
  <c r="X79" i="1"/>
  <c r="X71" i="1"/>
  <c r="X73" i="1"/>
  <c r="X70" i="1"/>
  <c r="X72" i="1"/>
  <c r="X63" i="1"/>
  <c r="X65" i="1"/>
  <c r="X66" i="1"/>
  <c r="X156" i="1"/>
  <c r="X76" i="1"/>
  <c r="X77" i="1"/>
  <c r="X80" i="1"/>
  <c r="X81" i="1"/>
  <c r="X78" i="1"/>
  <c r="X61" i="1"/>
  <c r="X157" i="1"/>
  <c r="X159" i="1"/>
  <c r="X58" i="1"/>
  <c r="X57" i="1"/>
  <c r="X89" i="1"/>
  <c r="X93" i="1"/>
  <c r="X92" i="1"/>
  <c r="X56" i="1"/>
  <c r="X290" i="1"/>
  <c r="X270" i="1"/>
  <c r="X271" i="1"/>
  <c r="X272" i="1"/>
  <c r="X273" i="1"/>
  <c r="X274" i="1"/>
  <c r="X277" i="1"/>
  <c r="X281" i="1"/>
  <c r="X284" i="1"/>
  <c r="X285" i="1"/>
  <c r="X286" i="1"/>
  <c r="X287" i="1"/>
  <c r="X229" i="1"/>
  <c r="X3" i="1"/>
  <c r="X20" i="1"/>
  <c r="X23" i="1"/>
  <c r="X47" i="1"/>
  <c r="X52" i="1"/>
  <c r="X53" i="1"/>
  <c r="X55" i="1"/>
  <c r="X31" i="1"/>
  <c r="X50" i="1"/>
  <c r="X51" i="1"/>
  <c r="X18" i="1"/>
  <c r="X26" i="1"/>
  <c r="X4" i="1"/>
  <c r="X32" i="1"/>
  <c r="X36" i="1"/>
  <c r="X38" i="1"/>
  <c r="X21" i="1"/>
  <c r="X12" i="1"/>
  <c r="X8" i="1"/>
  <c r="X33" i="1"/>
  <c r="X5" i="1"/>
  <c r="X39" i="1"/>
  <c r="X45" i="1"/>
  <c r="X29" i="1"/>
  <c r="X15" i="1"/>
  <c r="X10" i="1"/>
  <c r="X14" i="1"/>
  <c r="X24" i="1"/>
  <c r="X16" i="1"/>
  <c r="X19" i="1"/>
  <c r="X46" i="1"/>
  <c r="X54" i="1"/>
  <c r="X30" i="1"/>
  <c r="X48" i="1"/>
  <c r="X6" i="1"/>
  <c r="X49" i="1"/>
  <c r="X35" i="1"/>
  <c r="X27" i="1"/>
  <c r="X17" i="1"/>
  <c r="X11" i="1"/>
  <c r="X34" i="1"/>
  <c r="X25" i="1"/>
  <c r="X43" i="1"/>
  <c r="X37" i="1"/>
  <c r="X13" i="1"/>
  <c r="X42" i="1"/>
  <c r="X44" i="1"/>
  <c r="X28" i="1"/>
  <c r="X40" i="1"/>
  <c r="X9" i="1"/>
  <c r="X7" i="1"/>
  <c r="X22" i="1"/>
  <c r="X41" i="1"/>
  <c r="X230" i="1"/>
  <c r="X231" i="1"/>
  <c r="X182" i="1"/>
  <c r="X183" i="1"/>
  <c r="X172" i="1"/>
  <c r="X179" i="1"/>
  <c r="X186" i="1"/>
  <c r="X166" i="1"/>
  <c r="X165" i="1"/>
  <c r="X162" i="1"/>
  <c r="X291" i="1"/>
  <c r="X292" i="1"/>
  <c r="X294" i="1"/>
  <c r="X298" i="1"/>
  <c r="X300" i="1"/>
  <c r="X313" i="1"/>
  <c r="X315" i="1"/>
  <c r="X388" i="1"/>
  <c r="X317" i="1"/>
  <c r="X320" i="1"/>
  <c r="X321" i="1"/>
  <c r="X322" i="1"/>
  <c r="X323" i="1"/>
  <c r="X324" i="1"/>
  <c r="X335" i="1"/>
  <c r="X337" i="1"/>
  <c r="X340" i="1"/>
  <c r="X383" i="1"/>
  <c r="X347" i="1"/>
  <c r="X390" i="1"/>
  <c r="X391" i="1"/>
  <c r="X396" i="1"/>
  <c r="X397" i="1"/>
  <c r="X389" i="1"/>
  <c r="W94" i="1"/>
  <c r="W97" i="1"/>
  <c r="W216" i="1"/>
  <c r="W210" i="1"/>
  <c r="W204" i="1"/>
  <c r="W99" i="1"/>
  <c r="W95" i="1"/>
  <c r="W96" i="1"/>
  <c r="W104" i="1"/>
  <c r="W106" i="1"/>
  <c r="W112" i="1"/>
  <c r="W122" i="1"/>
  <c r="W128" i="1"/>
  <c r="W142" i="1"/>
  <c r="W221" i="1"/>
  <c r="W117" i="1"/>
  <c r="W155" i="1"/>
  <c r="W154" i="1"/>
  <c r="W226" i="1"/>
  <c r="W227" i="1"/>
  <c r="W228" i="1"/>
  <c r="W74" i="1"/>
  <c r="W82" i="1"/>
  <c r="W75" i="1"/>
  <c r="W60" i="1"/>
  <c r="W62" i="1"/>
  <c r="W59" i="1"/>
  <c r="W67" i="1"/>
  <c r="W68" i="1"/>
  <c r="W79" i="1"/>
  <c r="W71" i="1"/>
  <c r="W73" i="1"/>
  <c r="W70" i="1"/>
  <c r="W72" i="1"/>
  <c r="W63" i="1"/>
  <c r="W65" i="1"/>
  <c r="W66" i="1"/>
  <c r="W156" i="1"/>
  <c r="W76" i="1"/>
  <c r="W77" i="1"/>
  <c r="W80" i="1"/>
  <c r="W81" i="1"/>
  <c r="W78" i="1"/>
  <c r="W61" i="1"/>
  <c r="W157" i="1"/>
  <c r="W159" i="1"/>
  <c r="W58" i="1"/>
  <c r="W57" i="1"/>
  <c r="W89" i="1"/>
  <c r="W93" i="1"/>
  <c r="W92" i="1"/>
  <c r="W56" i="1"/>
  <c r="W290" i="1"/>
  <c r="W270" i="1"/>
  <c r="W271" i="1"/>
  <c r="W272" i="1"/>
  <c r="W273" i="1"/>
  <c r="W274" i="1"/>
  <c r="W277" i="1"/>
  <c r="W281" i="1"/>
  <c r="W284" i="1"/>
  <c r="W285" i="1"/>
  <c r="W286" i="1"/>
  <c r="W287" i="1"/>
  <c r="W19" i="1"/>
  <c r="W46" i="1"/>
  <c r="W54" i="1"/>
  <c r="W30" i="1"/>
  <c r="W48" i="1"/>
  <c r="W6" i="1"/>
  <c r="W49" i="1"/>
  <c r="W35" i="1"/>
  <c r="W27" i="1"/>
  <c r="W17" i="1"/>
  <c r="W11" i="1"/>
  <c r="W34" i="1"/>
  <c r="W25" i="1"/>
  <c r="W43" i="1"/>
  <c r="W37" i="1"/>
  <c r="W13" i="1"/>
  <c r="W42" i="1"/>
  <c r="W44" i="1"/>
  <c r="W28" i="1"/>
  <c r="W40" i="1"/>
  <c r="W9" i="1"/>
  <c r="W7" i="1"/>
  <c r="W22" i="1"/>
  <c r="W41" i="1"/>
  <c r="W230" i="1"/>
  <c r="W231" i="1"/>
  <c r="W182" i="1"/>
  <c r="W183" i="1"/>
  <c r="W172" i="1"/>
  <c r="W179" i="1"/>
  <c r="W186" i="1"/>
  <c r="W166" i="1"/>
  <c r="W165" i="1"/>
  <c r="W162" i="1"/>
  <c r="W291" i="1"/>
  <c r="W292" i="1"/>
  <c r="W294" i="1"/>
  <c r="W298" i="1"/>
  <c r="W300" i="1"/>
  <c r="W313" i="1"/>
  <c r="W315" i="1"/>
  <c r="W388" i="1"/>
  <c r="W317" i="1"/>
  <c r="W320" i="1"/>
  <c r="W321" i="1"/>
  <c r="W322" i="1"/>
  <c r="W323" i="1"/>
  <c r="W324" i="1"/>
  <c r="W335" i="1"/>
  <c r="W337" i="1"/>
  <c r="W340" i="1"/>
  <c r="W383" i="1"/>
  <c r="W347" i="1"/>
  <c r="W389" i="1"/>
  <c r="W390" i="1"/>
  <c r="W391" i="1"/>
  <c r="W396" i="1"/>
  <c r="W397" i="1"/>
  <c r="W32" i="1"/>
  <c r="W36" i="1"/>
  <c r="W38" i="1"/>
  <c r="W21" i="1"/>
  <c r="W12" i="1"/>
  <c r="W8" i="1"/>
  <c r="W33" i="1"/>
  <c r="W5" i="1"/>
  <c r="W39" i="1"/>
  <c r="W45" i="1"/>
  <c r="W29" i="1"/>
  <c r="W15" i="1"/>
  <c r="W10" i="1"/>
  <c r="W14" i="1"/>
  <c r="W24" i="1"/>
  <c r="W16" i="1"/>
  <c r="W229" i="1"/>
  <c r="W3" i="1"/>
  <c r="W20" i="1"/>
  <c r="W23" i="1"/>
  <c r="W47" i="1"/>
  <c r="W52" i="1"/>
  <c r="W53" i="1"/>
  <c r="W55" i="1"/>
  <c r="W31" i="1"/>
  <c r="W50" i="1"/>
  <c r="W51" i="1"/>
  <c r="W18" i="1"/>
  <c r="W26" i="1"/>
  <c r="W4" i="1"/>
  <c r="U94" i="1"/>
  <c r="D94" i="1" s="1" a="1"/>
  <c r="D94" i="1" s="1"/>
  <c r="U97" i="1"/>
  <c r="D97" i="1" s="1" a="1"/>
  <c r="D97" i="1" s="1"/>
  <c r="U216" i="1"/>
  <c r="D216" i="1" s="1" a="1"/>
  <c r="D216" i="1" s="1"/>
  <c r="U210" i="1"/>
  <c r="D210" i="1" s="1" a="1"/>
  <c r="D210" i="1" s="1"/>
  <c r="U204" i="1"/>
  <c r="D204" i="1" s="1" a="1"/>
  <c r="D204" i="1" s="1"/>
  <c r="U99" i="1"/>
  <c r="D99" i="1" s="1" a="1"/>
  <c r="D99" i="1" s="1"/>
  <c r="U95" i="1"/>
  <c r="D95" i="1" s="1" a="1"/>
  <c r="D95" i="1" s="1"/>
  <c r="U96" i="1"/>
  <c r="D96" i="1" s="1" a="1"/>
  <c r="D96" i="1" s="1"/>
  <c r="U104" i="1"/>
  <c r="D104" i="1" s="1" a="1"/>
  <c r="D104" i="1" s="1"/>
  <c r="U106" i="1"/>
  <c r="D106" i="1" s="1" a="1"/>
  <c r="D106" i="1" s="1"/>
  <c r="U112" i="1"/>
  <c r="D112" i="1" s="1" a="1"/>
  <c r="D112" i="1" s="1"/>
  <c r="U122" i="1"/>
  <c r="D122" i="1" s="1" a="1"/>
  <c r="D122" i="1" s="1"/>
  <c r="U128" i="1"/>
  <c r="D128" i="1" s="1" a="1"/>
  <c r="D128" i="1" s="1"/>
  <c r="U142" i="1"/>
  <c r="D142" i="1" s="1" a="1"/>
  <c r="D142" i="1" s="1"/>
  <c r="U221" i="1"/>
  <c r="D221" i="1" s="1" a="1"/>
  <c r="D221" i="1" s="1"/>
  <c r="U117" i="1"/>
  <c r="D117" i="1" s="1" a="1"/>
  <c r="D117" i="1" s="1"/>
  <c r="U155" i="1"/>
  <c r="D155" i="1" s="1" a="1"/>
  <c r="D155" i="1" s="1"/>
  <c r="U154" i="1"/>
  <c r="D154" i="1" s="1" a="1"/>
  <c r="D154" i="1" s="1"/>
  <c r="U226" i="1"/>
  <c r="D226" i="1" s="1" a="1"/>
  <c r="D226" i="1" s="1"/>
  <c r="U227" i="1"/>
  <c r="D227" i="1" s="1" a="1"/>
  <c r="D227" i="1" s="1"/>
  <c r="U228" i="1"/>
  <c r="D228" i="1" s="1" a="1"/>
  <c r="D228" i="1" s="1"/>
  <c r="U74" i="1"/>
  <c r="D74" i="1" s="1" a="1"/>
  <c r="D74" i="1" s="1"/>
  <c r="U82" i="1"/>
  <c r="D82" i="1" s="1" a="1"/>
  <c r="D82" i="1" s="1"/>
  <c r="U75" i="1"/>
  <c r="D75" i="1" s="1" a="1"/>
  <c r="D75" i="1" s="1"/>
  <c r="U60" i="1"/>
  <c r="D60" i="1" s="1" a="1"/>
  <c r="D60" i="1" s="1"/>
  <c r="U62" i="1"/>
  <c r="D62" i="1" s="1" a="1"/>
  <c r="D62" i="1" s="1"/>
  <c r="U59" i="1"/>
  <c r="D59" i="1" s="1" a="1"/>
  <c r="D59" i="1" s="1"/>
  <c r="U67" i="1"/>
  <c r="D67" i="1" s="1" a="1"/>
  <c r="D67" i="1" s="1"/>
  <c r="U68" i="1"/>
  <c r="D68" i="1" s="1" a="1"/>
  <c r="D68" i="1" s="1"/>
  <c r="U79" i="1"/>
  <c r="D79" i="1" s="1" a="1"/>
  <c r="D79" i="1" s="1"/>
  <c r="U71" i="1"/>
  <c r="D71" i="1" s="1" a="1"/>
  <c r="D71" i="1" s="1"/>
  <c r="U73" i="1"/>
  <c r="D73" i="1" s="1" a="1"/>
  <c r="D73" i="1" s="1"/>
  <c r="U70" i="1"/>
  <c r="D70" i="1" s="1" a="1"/>
  <c r="D70" i="1" s="1"/>
  <c r="U72" i="1"/>
  <c r="D72" i="1" s="1" a="1"/>
  <c r="D72" i="1" s="1"/>
  <c r="U63" i="1"/>
  <c r="D63" i="1" s="1" a="1"/>
  <c r="D63" i="1" s="1"/>
  <c r="U65" i="1"/>
  <c r="D65" i="1" s="1" a="1"/>
  <c r="D65" i="1" s="1"/>
  <c r="U66" i="1"/>
  <c r="D66" i="1" s="1" a="1"/>
  <c r="D66" i="1" s="1"/>
  <c r="U156" i="1"/>
  <c r="D156" i="1" s="1" a="1"/>
  <c r="D156" i="1" s="1"/>
  <c r="U76" i="1"/>
  <c r="D76" i="1" s="1" a="1"/>
  <c r="D76" i="1" s="1"/>
  <c r="U77" i="1"/>
  <c r="D77" i="1" s="1" a="1"/>
  <c r="D77" i="1" s="1"/>
  <c r="U80" i="1"/>
  <c r="D80" i="1" s="1" a="1"/>
  <c r="D80" i="1" s="1"/>
  <c r="U81" i="1"/>
  <c r="D81" i="1" s="1" a="1"/>
  <c r="D81" i="1" s="1"/>
  <c r="U78" i="1"/>
  <c r="D78" i="1" s="1" a="1"/>
  <c r="D78" i="1" s="1"/>
  <c r="U61" i="1"/>
  <c r="D61" i="1" s="1" a="1"/>
  <c r="D61" i="1" s="1"/>
  <c r="U157" i="1"/>
  <c r="D157" i="1" s="1" a="1"/>
  <c r="D157" i="1" s="1"/>
  <c r="U159" i="1"/>
  <c r="D159" i="1" s="1" a="1"/>
  <c r="D159" i="1" s="1"/>
  <c r="U58" i="1"/>
  <c r="D58" i="1" s="1" a="1"/>
  <c r="D58" i="1" s="1"/>
  <c r="U57" i="1"/>
  <c r="D57" i="1" s="1" a="1"/>
  <c r="D57" i="1" s="1"/>
  <c r="U89" i="1"/>
  <c r="D89" i="1" s="1" a="1"/>
  <c r="D89" i="1" s="1"/>
  <c r="U93" i="1"/>
  <c r="D93" i="1" s="1" a="1"/>
  <c r="D93" i="1" s="1"/>
  <c r="U92" i="1"/>
  <c r="D92" i="1" s="1" a="1"/>
  <c r="D92" i="1" s="1"/>
  <c r="U56" i="1"/>
  <c r="D56" i="1" s="1" a="1"/>
  <c r="D56" i="1" s="1"/>
  <c r="U290" i="1"/>
  <c r="D290" i="1" s="1" a="1"/>
  <c r="D290" i="1" s="1"/>
  <c r="U270" i="1"/>
  <c r="D270" i="1" s="1" a="1"/>
  <c r="D270" i="1" s="1"/>
  <c r="U271" i="1"/>
  <c r="D271" i="1" s="1" a="1"/>
  <c r="D271" i="1" s="1"/>
  <c r="U272" i="1"/>
  <c r="D272" i="1" s="1" a="1"/>
  <c r="D272" i="1" s="1"/>
  <c r="U273" i="1"/>
  <c r="D273" i="1" s="1" a="1"/>
  <c r="D273" i="1" s="1"/>
  <c r="U274" i="1"/>
  <c r="D274" i="1" s="1" a="1"/>
  <c r="D274" i="1" s="1"/>
  <c r="U277" i="1"/>
  <c r="D277" i="1" s="1" a="1"/>
  <c r="D277" i="1" s="1"/>
  <c r="U281" i="1"/>
  <c r="D281" i="1" s="1" a="1"/>
  <c r="D281" i="1" s="1"/>
  <c r="U284" i="1"/>
  <c r="D284" i="1" s="1" a="1"/>
  <c r="D284" i="1" s="1"/>
  <c r="U285" i="1"/>
  <c r="D285" i="1" s="1" a="1"/>
  <c r="D285" i="1" s="1"/>
  <c r="U286" i="1"/>
  <c r="D286" i="1" s="1" a="1"/>
  <c r="D286" i="1" s="1"/>
  <c r="U287" i="1"/>
  <c r="D287" i="1" s="1" a="1"/>
  <c r="D287" i="1" s="1"/>
  <c r="U389" i="1"/>
  <c r="D389" i="1" s="1" a="1"/>
  <c r="D389" i="1" s="1"/>
  <c r="U390" i="1"/>
  <c r="D390" i="1" s="1" a="1"/>
  <c r="D390" i="1" s="1"/>
  <c r="U391" i="1"/>
  <c r="D391" i="1" s="1" a="1"/>
  <c r="D391" i="1" s="1"/>
  <c r="U396" i="1"/>
  <c r="D396" i="1" s="1" a="1"/>
  <c r="D396" i="1" s="1"/>
  <c r="U397" i="1"/>
  <c r="D397" i="1" s="1" a="1"/>
  <c r="D397" i="1" s="1"/>
  <c r="U337" i="1"/>
  <c r="D337" i="1" s="1" a="1"/>
  <c r="D337" i="1" s="1"/>
  <c r="U340" i="1"/>
  <c r="D340" i="1" s="1" a="1"/>
  <c r="D340" i="1" s="1"/>
  <c r="U383" i="1"/>
  <c r="D383" i="1" s="1" a="1"/>
  <c r="D383" i="1" s="1"/>
  <c r="U347" i="1"/>
  <c r="D347" i="1" s="1" a="1"/>
  <c r="D347" i="1" s="1"/>
  <c r="U298" i="1"/>
  <c r="D298" i="1" s="1" a="1"/>
  <c r="D298" i="1" s="1"/>
  <c r="U300" i="1"/>
  <c r="D300" i="1" s="1" a="1"/>
  <c r="D300" i="1" s="1"/>
  <c r="U313" i="1"/>
  <c r="D313" i="1" s="1" a="1"/>
  <c r="D313" i="1" s="1"/>
  <c r="U315" i="1"/>
  <c r="D315" i="1" s="1" a="1"/>
  <c r="D315" i="1" s="1"/>
  <c r="U388" i="1"/>
  <c r="D388" i="1" s="1" a="1"/>
  <c r="D388" i="1" s="1"/>
  <c r="U317" i="1"/>
  <c r="D317" i="1" s="1" a="1"/>
  <c r="D317" i="1" s="1"/>
  <c r="U320" i="1"/>
  <c r="D320" i="1" s="1" a="1"/>
  <c r="D320" i="1" s="1"/>
  <c r="U321" i="1"/>
  <c r="D321" i="1" s="1" a="1"/>
  <c r="D321" i="1" s="1"/>
  <c r="U322" i="1"/>
  <c r="D322" i="1" s="1" a="1"/>
  <c r="D322" i="1" s="1"/>
  <c r="U323" i="1"/>
  <c r="D323" i="1" s="1" a="1"/>
  <c r="D323" i="1" s="1"/>
  <c r="U324" i="1"/>
  <c r="D324" i="1" s="1" a="1"/>
  <c r="D324" i="1" s="1"/>
  <c r="U335" i="1"/>
  <c r="D335" i="1" s="1" a="1"/>
  <c r="D335" i="1" s="1"/>
  <c r="U7" i="1"/>
  <c r="U22" i="1"/>
  <c r="U41" i="1"/>
  <c r="U230" i="1"/>
  <c r="D230" i="1" s="1" a="1"/>
  <c r="D230" i="1" s="1"/>
  <c r="U231" i="1"/>
  <c r="D231" i="1" s="1" a="1"/>
  <c r="D231" i="1" s="1"/>
  <c r="U182" i="1"/>
  <c r="D182" i="1" s="1" a="1"/>
  <c r="D182" i="1" s="1"/>
  <c r="U183" i="1"/>
  <c r="D183" i="1" s="1" a="1"/>
  <c r="D183" i="1" s="1"/>
  <c r="U172" i="1"/>
  <c r="D172" i="1" s="1" a="1"/>
  <c r="D172" i="1" s="1"/>
  <c r="U179" i="1"/>
  <c r="D179" i="1" s="1" a="1"/>
  <c r="D179" i="1" s="1"/>
  <c r="U186" i="1"/>
  <c r="D186" i="1" s="1" a="1"/>
  <c r="D186" i="1" s="1"/>
  <c r="U166" i="1"/>
  <c r="D166" i="1" s="1" a="1"/>
  <c r="D166" i="1" s="1"/>
  <c r="U165" i="1"/>
  <c r="D165" i="1" s="1" a="1"/>
  <c r="D165" i="1" s="1"/>
  <c r="U162" i="1"/>
  <c r="D162" i="1" s="1" a="1"/>
  <c r="D162" i="1" s="1"/>
  <c r="U291" i="1"/>
  <c r="D291" i="1" s="1" a="1"/>
  <c r="D291" i="1" s="1"/>
  <c r="U292" i="1"/>
  <c r="D292" i="1" s="1" a="1"/>
  <c r="D292" i="1" s="1"/>
  <c r="U294" i="1"/>
  <c r="D294" i="1" s="1" a="1"/>
  <c r="D294" i="1" s="1"/>
  <c r="U24" i="1"/>
  <c r="U16" i="1"/>
  <c r="U19" i="1"/>
  <c r="U46" i="1"/>
  <c r="U54" i="1"/>
  <c r="U30" i="1"/>
  <c r="U48" i="1"/>
  <c r="U6" i="1"/>
  <c r="U49" i="1"/>
  <c r="U35" i="1"/>
  <c r="U27" i="1"/>
  <c r="U17" i="1"/>
  <c r="U11" i="1"/>
  <c r="U34" i="1"/>
  <c r="U25" i="1"/>
  <c r="U43" i="1"/>
  <c r="U37" i="1"/>
  <c r="U13" i="1"/>
  <c r="U42" i="1"/>
  <c r="U44" i="1"/>
  <c r="U28" i="1"/>
  <c r="U40" i="1"/>
  <c r="U9" i="1"/>
  <c r="U36" i="1"/>
  <c r="U38" i="1"/>
  <c r="U21" i="1"/>
  <c r="U12" i="1"/>
  <c r="U8" i="1"/>
  <c r="U33" i="1"/>
  <c r="U5" i="1"/>
  <c r="U39" i="1"/>
  <c r="U45" i="1"/>
  <c r="U29" i="1"/>
  <c r="U15" i="1"/>
  <c r="U10" i="1"/>
  <c r="U14" i="1"/>
  <c r="U229" i="1"/>
  <c r="D229" i="1" s="1" a="1"/>
  <c r="D229" i="1" s="1"/>
  <c r="U3" i="1"/>
  <c r="U20" i="1"/>
  <c r="U23" i="1"/>
  <c r="U47" i="1"/>
  <c r="U52" i="1"/>
  <c r="U53" i="1"/>
  <c r="U55" i="1"/>
  <c r="U31" i="1"/>
  <c r="U50" i="1"/>
  <c r="U51" i="1"/>
  <c r="U18" i="1"/>
  <c r="U26" i="1"/>
  <c r="U4" i="1"/>
  <c r="U32" i="1"/>
  <c r="T322" i="1"/>
  <c r="T323" i="1"/>
  <c r="T324" i="1"/>
  <c r="T335" i="1"/>
  <c r="T337" i="1"/>
  <c r="T340" i="1"/>
  <c r="T383" i="1"/>
  <c r="T347" i="1"/>
  <c r="T389" i="1"/>
  <c r="T390" i="1"/>
  <c r="T391" i="1"/>
  <c r="T396" i="1"/>
  <c r="T397" i="1"/>
  <c r="T298" i="1"/>
  <c r="T300" i="1"/>
  <c r="T313" i="1"/>
  <c r="T315" i="1"/>
  <c r="T388" i="1"/>
  <c r="T317" i="1"/>
  <c r="T320" i="1"/>
  <c r="T321" i="1"/>
  <c r="T22" i="1"/>
  <c r="T41" i="1"/>
  <c r="T230" i="1"/>
  <c r="T231" i="1"/>
  <c r="T182" i="1"/>
  <c r="G182" i="1" s="1"/>
  <c r="T183" i="1"/>
  <c r="T172" i="1"/>
  <c r="G172" i="1" s="1"/>
  <c r="T179" i="1"/>
  <c r="G179" i="1" s="1"/>
  <c r="T186" i="1"/>
  <c r="T166" i="1"/>
  <c r="T165" i="1"/>
  <c r="G165" i="1" s="1"/>
  <c r="T162" i="1"/>
  <c r="T291" i="1"/>
  <c r="T292" i="1"/>
  <c r="T294" i="1"/>
  <c r="T48" i="1"/>
  <c r="T6" i="1"/>
  <c r="T49" i="1"/>
  <c r="T35" i="1"/>
  <c r="T27" i="1"/>
  <c r="T17" i="1"/>
  <c r="T11" i="1"/>
  <c r="T34" i="1"/>
  <c r="T25" i="1"/>
  <c r="T43" i="1"/>
  <c r="T37" i="1"/>
  <c r="T13" i="1"/>
  <c r="T42" i="1"/>
  <c r="T44" i="1"/>
  <c r="T28" i="1"/>
  <c r="T40" i="1"/>
  <c r="T9" i="1"/>
  <c r="T7" i="1"/>
  <c r="T5" i="1"/>
  <c r="T39" i="1"/>
  <c r="T45" i="1"/>
  <c r="T29" i="1"/>
  <c r="T15" i="1"/>
  <c r="T10" i="1"/>
  <c r="T14" i="1"/>
  <c r="T24" i="1"/>
  <c r="T16" i="1"/>
  <c r="T19" i="1"/>
  <c r="T46" i="1"/>
  <c r="T54" i="1"/>
  <c r="T30" i="1"/>
  <c r="T32" i="1"/>
  <c r="T36" i="1"/>
  <c r="T38" i="1"/>
  <c r="T21" i="1"/>
  <c r="T12" i="1"/>
  <c r="T8" i="1"/>
  <c r="T33" i="1"/>
  <c r="T53" i="1"/>
  <c r="T55" i="1"/>
  <c r="T31" i="1"/>
  <c r="T50" i="1"/>
  <c r="T51" i="1"/>
  <c r="T18" i="1"/>
  <c r="T26" i="1"/>
  <c r="T4" i="1"/>
  <c r="T20" i="1"/>
  <c r="T23" i="1"/>
  <c r="T47" i="1"/>
  <c r="T52" i="1"/>
  <c r="T94" i="1"/>
  <c r="T97" i="1"/>
  <c r="T216" i="1"/>
  <c r="T210" i="1"/>
  <c r="T204" i="1"/>
  <c r="T99" i="1"/>
  <c r="T95" i="1"/>
  <c r="T96" i="1"/>
  <c r="T104" i="1"/>
  <c r="T106" i="1"/>
  <c r="T112" i="1"/>
  <c r="T122" i="1"/>
  <c r="T128" i="1"/>
  <c r="T142" i="1"/>
  <c r="T221" i="1"/>
  <c r="T117" i="1"/>
  <c r="T155" i="1"/>
  <c r="T154" i="1"/>
  <c r="T226" i="1"/>
  <c r="T227" i="1"/>
  <c r="T228" i="1"/>
  <c r="T74" i="1"/>
  <c r="T82" i="1"/>
  <c r="T75" i="1"/>
  <c r="T60" i="1"/>
  <c r="T62" i="1"/>
  <c r="T59" i="1"/>
  <c r="T67" i="1"/>
  <c r="T68" i="1"/>
  <c r="T79" i="1"/>
  <c r="T71" i="1"/>
  <c r="T73" i="1"/>
  <c r="T70" i="1"/>
  <c r="T72" i="1"/>
  <c r="T63" i="1"/>
  <c r="T65" i="1"/>
  <c r="T66" i="1"/>
  <c r="T156" i="1"/>
  <c r="T76" i="1"/>
  <c r="T77" i="1"/>
  <c r="T80" i="1"/>
  <c r="T81" i="1"/>
  <c r="T78" i="1"/>
  <c r="T61" i="1"/>
  <c r="T157" i="1"/>
  <c r="T159" i="1"/>
  <c r="T58" i="1"/>
  <c r="T57" i="1"/>
  <c r="T89" i="1"/>
  <c r="T93" i="1"/>
  <c r="T92" i="1"/>
  <c r="T56" i="1"/>
  <c r="T290" i="1"/>
  <c r="T270" i="1"/>
  <c r="T271" i="1"/>
  <c r="T272" i="1"/>
  <c r="T273" i="1"/>
  <c r="T274" i="1"/>
  <c r="T277" i="1"/>
  <c r="T281" i="1"/>
  <c r="T284" i="1"/>
  <c r="T285" i="1"/>
  <c r="T286" i="1"/>
  <c r="T287" i="1"/>
  <c r="T229" i="1"/>
  <c r="T3" i="1"/>
  <c r="S94" i="1"/>
  <c r="S97" i="1"/>
  <c r="S216" i="1"/>
  <c r="S210" i="1"/>
  <c r="S204" i="1"/>
  <c r="S99" i="1"/>
  <c r="S95" i="1"/>
  <c r="S96" i="1"/>
  <c r="S104" i="1"/>
  <c r="S106" i="1"/>
  <c r="S112" i="1"/>
  <c r="S122" i="1"/>
  <c r="S128" i="1"/>
  <c r="S142" i="1"/>
  <c r="S221" i="1"/>
  <c r="S117" i="1"/>
  <c r="S155" i="1"/>
  <c r="S154" i="1"/>
  <c r="S226" i="1"/>
  <c r="S227" i="1"/>
  <c r="S228" i="1"/>
  <c r="S74" i="1"/>
  <c r="S82" i="1"/>
  <c r="S75" i="1"/>
  <c r="S60" i="1"/>
  <c r="S62" i="1"/>
  <c r="S59" i="1"/>
  <c r="S67" i="1"/>
  <c r="S68" i="1"/>
  <c r="S79" i="1"/>
  <c r="S71" i="1"/>
  <c r="S73" i="1"/>
  <c r="S70" i="1"/>
  <c r="S72" i="1"/>
  <c r="S63" i="1"/>
  <c r="S65" i="1"/>
  <c r="S66" i="1"/>
  <c r="S156" i="1"/>
  <c r="S76" i="1"/>
  <c r="S77" i="1"/>
  <c r="S80" i="1"/>
  <c r="S81" i="1"/>
  <c r="S78" i="1"/>
  <c r="S61" i="1"/>
  <c r="S157" i="1"/>
  <c r="S159" i="1"/>
  <c r="S58" i="1"/>
  <c r="S57" i="1"/>
  <c r="S89" i="1"/>
  <c r="S93" i="1"/>
  <c r="S92" i="1"/>
  <c r="S56" i="1"/>
  <c r="S290" i="1"/>
  <c r="S270" i="1"/>
  <c r="S271" i="1"/>
  <c r="S272" i="1"/>
  <c r="S273" i="1"/>
  <c r="S274" i="1"/>
  <c r="S277" i="1"/>
  <c r="S281" i="1"/>
  <c r="S284" i="1"/>
  <c r="S285" i="1"/>
  <c r="S286" i="1"/>
  <c r="S287" i="1"/>
  <c r="S35" i="1"/>
  <c r="S27" i="1"/>
  <c r="S17" i="1"/>
  <c r="S11" i="1"/>
  <c r="S34" i="1"/>
  <c r="S25" i="1"/>
  <c r="S43" i="1"/>
  <c r="S37" i="1"/>
  <c r="S13" i="1"/>
  <c r="S42" i="1"/>
  <c r="S44" i="1"/>
  <c r="S28" i="1"/>
  <c r="S40" i="1"/>
  <c r="S9" i="1"/>
  <c r="S7" i="1"/>
  <c r="S22" i="1"/>
  <c r="S41" i="1"/>
  <c r="S230" i="1"/>
  <c r="S231" i="1"/>
  <c r="S182" i="1"/>
  <c r="S183" i="1"/>
  <c r="S172" i="1"/>
  <c r="S179" i="1"/>
  <c r="S186" i="1"/>
  <c r="S166" i="1"/>
  <c r="S165" i="1"/>
  <c r="S162" i="1"/>
  <c r="S291" i="1"/>
  <c r="S292" i="1"/>
  <c r="S294" i="1"/>
  <c r="S298" i="1"/>
  <c r="S300" i="1"/>
  <c r="S313" i="1"/>
  <c r="S315" i="1"/>
  <c r="S388" i="1"/>
  <c r="S317" i="1"/>
  <c r="S320" i="1"/>
  <c r="S321" i="1"/>
  <c r="S322" i="1"/>
  <c r="S323" i="1"/>
  <c r="S324" i="1"/>
  <c r="S335" i="1"/>
  <c r="S337" i="1"/>
  <c r="S340" i="1"/>
  <c r="S383" i="1"/>
  <c r="S347" i="1"/>
  <c r="S389" i="1"/>
  <c r="S390" i="1"/>
  <c r="S391" i="1"/>
  <c r="S396" i="1"/>
  <c r="S397" i="1"/>
  <c r="S39" i="1"/>
  <c r="S45" i="1"/>
  <c r="S29" i="1"/>
  <c r="S15" i="1"/>
  <c r="S10" i="1"/>
  <c r="S14" i="1"/>
  <c r="S24" i="1"/>
  <c r="S16" i="1"/>
  <c r="S19" i="1"/>
  <c r="S46" i="1"/>
  <c r="S54" i="1"/>
  <c r="S30" i="1"/>
  <c r="S48" i="1"/>
  <c r="S6" i="1"/>
  <c r="S49" i="1"/>
  <c r="S18" i="1"/>
  <c r="S26" i="1"/>
  <c r="S4" i="1"/>
  <c r="S32" i="1"/>
  <c r="S36" i="1"/>
  <c r="S38" i="1"/>
  <c r="S21" i="1"/>
  <c r="S12" i="1"/>
  <c r="S8" i="1"/>
  <c r="S33" i="1"/>
  <c r="S5" i="1"/>
  <c r="S53" i="1"/>
  <c r="S55" i="1"/>
  <c r="S31" i="1"/>
  <c r="S50" i="1"/>
  <c r="S51" i="1"/>
  <c r="S23" i="1"/>
  <c r="S47" i="1"/>
  <c r="S52" i="1"/>
  <c r="S3" i="1"/>
  <c r="S20" i="1"/>
  <c r="S229" i="1"/>
  <c r="V112" i="1" l="1"/>
  <c r="Y112" i="1" s="1"/>
  <c r="V226" i="1"/>
  <c r="Y226" i="1" s="1"/>
  <c r="V210" i="1"/>
  <c r="Y210" i="1" s="1"/>
  <c r="V172" i="1"/>
  <c r="Y172" i="1" s="1"/>
  <c r="V25" i="1"/>
  <c r="Y25" i="1" s="1"/>
  <c r="V292" i="1"/>
  <c r="V9" i="1"/>
  <c r="Y9" i="1" s="1"/>
  <c r="V271" i="1"/>
  <c r="Y271" i="1" s="1"/>
  <c r="V77" i="1"/>
  <c r="Y77" i="1" s="1"/>
  <c r="V73" i="1"/>
  <c r="Y73" i="1" s="1"/>
  <c r="V62" i="1"/>
  <c r="Y62" i="1" s="1"/>
  <c r="V76" i="1"/>
  <c r="Y76" i="1" s="1"/>
  <c r="V60" i="1"/>
  <c r="Y60" i="1" s="1"/>
  <c r="V216" i="1"/>
  <c r="Y216" i="1" s="1"/>
  <c r="V58" i="1"/>
  <c r="Y58" i="1" s="1"/>
  <c r="V71" i="1"/>
  <c r="Y71" i="1" s="1"/>
  <c r="V154" i="1"/>
  <c r="Y154" i="1" s="1"/>
  <c r="V106" i="1"/>
  <c r="Y106" i="1" s="1"/>
  <c r="V78" i="1"/>
  <c r="Y78" i="1" s="1"/>
  <c r="V63" i="1"/>
  <c r="Y63" i="1" s="1"/>
  <c r="V142" i="1"/>
  <c r="Y142" i="1" s="1"/>
  <c r="V95" i="1"/>
  <c r="Y95" i="1" s="1"/>
  <c r="V48" i="1"/>
  <c r="Y48" i="1" s="1"/>
  <c r="V11" i="1"/>
  <c r="Y11" i="1" s="1"/>
  <c r="V79" i="1"/>
  <c r="Y79" i="1" s="1"/>
  <c r="V155" i="1"/>
  <c r="Y155" i="1" s="1"/>
  <c r="V270" i="1"/>
  <c r="Y270" i="1" s="1"/>
  <c r="V159" i="1"/>
  <c r="Y159" i="1" s="1"/>
  <c r="V156" i="1"/>
  <c r="Y156" i="1" s="1"/>
  <c r="V75" i="1"/>
  <c r="Y75" i="1" s="1"/>
  <c r="V104" i="1"/>
  <c r="Y104" i="1" s="1"/>
  <c r="V97" i="1"/>
  <c r="Y97" i="1" s="1"/>
  <c r="V227" i="1"/>
  <c r="Y227" i="1" s="1"/>
  <c r="V99" i="1"/>
  <c r="Y99" i="1" s="1"/>
  <c r="V273" i="1"/>
  <c r="Y273" i="1" s="1"/>
  <c r="V59" i="1"/>
  <c r="Y59" i="1" s="1"/>
  <c r="V128" i="1"/>
  <c r="Y128" i="1" s="1"/>
  <c r="V298" i="1"/>
  <c r="V186" i="1"/>
  <c r="Y186" i="1" s="1"/>
  <c r="V22" i="1"/>
  <c r="Y22" i="1" s="1"/>
  <c r="V37" i="1"/>
  <c r="Y37" i="1" s="1"/>
  <c r="V182" i="1"/>
  <c r="Y182" i="1" s="1"/>
  <c r="V162" i="1"/>
  <c r="Y162" i="1" s="1"/>
  <c r="V28" i="1"/>
  <c r="Y28" i="1" s="1"/>
  <c r="V54" i="1"/>
  <c r="Y54" i="1" s="1"/>
  <c r="V30" i="1"/>
  <c r="Y30" i="1" s="1"/>
  <c r="V291" i="1"/>
  <c r="V183" i="1"/>
  <c r="Y183" i="1" s="1"/>
  <c r="V40" i="1"/>
  <c r="Y40" i="1" s="1"/>
  <c r="V34" i="1"/>
  <c r="Y34" i="1" s="1"/>
  <c r="V49" i="1"/>
  <c r="Y49" i="1" s="1"/>
  <c r="V228" i="1"/>
  <c r="Y228" i="1" s="1"/>
  <c r="V166" i="1"/>
  <c r="Y166" i="1" s="1"/>
  <c r="V35" i="1"/>
  <c r="Y35" i="1" s="1"/>
  <c r="V300" i="1"/>
  <c r="V41" i="1"/>
  <c r="Y41" i="1" s="1"/>
  <c r="V13" i="1"/>
  <c r="Y13" i="1" s="1"/>
  <c r="V274" i="1"/>
  <c r="Y274" i="1" s="1"/>
  <c r="V6" i="1"/>
  <c r="Y6" i="1" s="1"/>
  <c r="V294" i="1"/>
  <c r="Y294" i="1" s="1"/>
  <c r="V179" i="1"/>
  <c r="Y179" i="1" s="1"/>
  <c r="V7" i="1"/>
  <c r="Y7" i="1" s="1"/>
  <c r="V43" i="1"/>
  <c r="Y43" i="1" s="1"/>
  <c r="V272" i="1"/>
  <c r="Y272" i="1" s="1"/>
  <c r="V80" i="1"/>
  <c r="Y80" i="1" s="1"/>
  <c r="V70" i="1"/>
  <c r="Y70" i="1" s="1"/>
  <c r="V122" i="1"/>
  <c r="Y122" i="1" s="1"/>
  <c r="V204" i="1"/>
  <c r="Y204" i="1" s="1"/>
  <c r="V19" i="1"/>
  <c r="Y19" i="1" s="1"/>
  <c r="V313" i="1"/>
  <c r="Y313" i="1" s="1"/>
  <c r="V165" i="1"/>
  <c r="Y165" i="1" s="1"/>
  <c r="V230" i="1"/>
  <c r="Y230" i="1" s="1"/>
  <c r="V42" i="1"/>
  <c r="Y42" i="1" s="1"/>
  <c r="V27" i="1"/>
  <c r="Y27" i="1" s="1"/>
  <c r="V335" i="1"/>
  <c r="V12" i="1"/>
  <c r="Y12" i="1" s="1"/>
  <c r="V23" i="1"/>
  <c r="Y23" i="1" s="1"/>
  <c r="V390" i="1"/>
  <c r="V321" i="1"/>
  <c r="V32" i="1"/>
  <c r="Y32" i="1" s="1"/>
  <c r="V52" i="1"/>
  <c r="Y52" i="1" s="1"/>
  <c r="V317" i="1"/>
  <c r="V388" i="1"/>
  <c r="V46" i="1"/>
  <c r="Y46" i="1" s="1"/>
  <c r="V47" i="1"/>
  <c r="Y47" i="1" s="1"/>
  <c r="V26" i="1"/>
  <c r="Y26" i="1" s="1"/>
  <c r="V231" i="1"/>
  <c r="Y231" i="1" s="1"/>
  <c r="V277" i="1"/>
  <c r="Y277" i="1" s="1"/>
  <c r="V290" i="1"/>
  <c r="Y290" i="1" s="1"/>
  <c r="V157" i="1"/>
  <c r="Y157" i="1" s="1"/>
  <c r="V66" i="1"/>
  <c r="Y66" i="1" s="1"/>
  <c r="V68" i="1"/>
  <c r="Y68" i="1" s="1"/>
  <c r="V82" i="1"/>
  <c r="Y82" i="1" s="1"/>
  <c r="V117" i="1"/>
  <c r="Y117" i="1" s="1"/>
  <c r="V94" i="1"/>
  <c r="Y94" i="1" s="1"/>
  <c r="V347" i="1"/>
  <c r="V20" i="1"/>
  <c r="Y20" i="1" s="1"/>
  <c r="V36" i="1"/>
  <c r="Y36" i="1" s="1"/>
  <c r="V324" i="1"/>
  <c r="V8" i="1"/>
  <c r="Y8" i="1" s="1"/>
  <c r="V337" i="1"/>
  <c r="V53" i="1"/>
  <c r="Y53" i="1" s="1"/>
  <c r="V33" i="1"/>
  <c r="Y33" i="1" s="1"/>
  <c r="V39" i="1"/>
  <c r="Y39" i="1" s="1"/>
  <c r="V340" i="1"/>
  <c r="V18" i="1"/>
  <c r="Y18" i="1" s="1"/>
  <c r="V21" i="1"/>
  <c r="Y21" i="1" s="1"/>
  <c r="V315" i="1"/>
  <c r="Y315" i="1" s="1"/>
  <c r="V51" i="1"/>
  <c r="Y51" i="1" s="1"/>
  <c r="V38" i="1"/>
  <c r="Y38" i="1" s="1"/>
  <c r="V45" i="1"/>
  <c r="Y45" i="1" s="1"/>
  <c r="V383" i="1"/>
  <c r="V323" i="1"/>
  <c r="V10" i="1"/>
  <c r="Y10" i="1" s="1"/>
  <c r="V286" i="1"/>
  <c r="Y286" i="1" s="1"/>
  <c r="V15" i="1"/>
  <c r="Y15" i="1" s="1"/>
  <c r="V389" i="1"/>
  <c r="V285" i="1"/>
  <c r="Y285" i="1" s="1"/>
  <c r="V57" i="1"/>
  <c r="Y57" i="1" s="1"/>
  <c r="V29" i="1"/>
  <c r="Y29" i="1" s="1"/>
  <c r="V284" i="1"/>
  <c r="Y284" i="1" s="1"/>
  <c r="V50" i="1"/>
  <c r="Y50" i="1" s="1"/>
  <c r="V3" i="1"/>
  <c r="Y3" i="1" s="1"/>
  <c r="V281" i="1"/>
  <c r="Y281" i="1" s="1"/>
  <c r="V31" i="1"/>
  <c r="Y31" i="1" s="1"/>
  <c r="V229" i="1"/>
  <c r="Y229" i="1" s="1"/>
  <c r="V322" i="1"/>
  <c r="V44" i="1"/>
  <c r="Y44" i="1" s="1"/>
  <c r="V17" i="1"/>
  <c r="Y17" i="1" s="1"/>
  <c r="V55" i="1"/>
  <c r="Y55" i="1" s="1"/>
  <c r="V16" i="1"/>
  <c r="Y16" i="1" s="1"/>
  <c r="V5" i="1"/>
  <c r="Y5" i="1" s="1"/>
  <c r="V397" i="1"/>
  <c r="V56" i="1"/>
  <c r="Y56" i="1" s="1"/>
  <c r="V93" i="1"/>
  <c r="Y93" i="1" s="1"/>
  <c r="V61" i="1"/>
  <c r="Y61" i="1" s="1"/>
  <c r="V65" i="1"/>
  <c r="Y65" i="1" s="1"/>
  <c r="V67" i="1"/>
  <c r="Y67" i="1" s="1"/>
  <c r="V74" i="1"/>
  <c r="Y74" i="1" s="1"/>
  <c r="V221" i="1"/>
  <c r="Y221" i="1" s="1"/>
  <c r="V96" i="1"/>
  <c r="Y96" i="1" s="1"/>
  <c r="V24" i="1"/>
  <c r="Y24" i="1" s="1"/>
  <c r="V396" i="1"/>
  <c r="Y396" i="1" s="1"/>
  <c r="V320" i="1"/>
  <c r="V287" i="1"/>
  <c r="Y287" i="1" s="1"/>
  <c r="V92" i="1"/>
  <c r="Y92" i="1" s="1"/>
  <c r="V4" i="1"/>
  <c r="Y4" i="1" s="1"/>
  <c r="V14" i="1"/>
  <c r="Y14" i="1" s="1"/>
  <c r="V391" i="1"/>
  <c r="V89" i="1"/>
  <c r="Y89" i="1" s="1"/>
  <c r="V81" i="1"/>
  <c r="Y81" i="1" s="1"/>
  <c r="V72" i="1"/>
  <c r="Y72" i="1" s="1"/>
  <c r="AR182" i="1"/>
  <c r="O48" i="7" l="1"/>
  <c r="O4" i="7"/>
  <c r="O35" i="7"/>
  <c r="O3" i="7"/>
  <c r="O19" i="7"/>
  <c r="O43" i="7"/>
  <c r="BN84" i="1"/>
  <c r="BK84" i="1"/>
  <c r="AZ84" i="1"/>
  <c r="BA84" i="1" s="1"/>
  <c r="AS84" i="1"/>
  <c r="O10" i="7" l="1"/>
  <c r="C4" i="7"/>
  <c r="O67" i="7"/>
  <c r="O47" i="7"/>
  <c r="O8" i="7"/>
  <c r="AV165" i="1" l="1"/>
  <c r="AX165" i="1"/>
  <c r="AR165" i="1"/>
  <c r="AW166" i="1"/>
  <c r="AX166" i="1"/>
  <c r="AR166" i="1"/>
  <c r="AX179" i="1"/>
  <c r="AR179" i="1"/>
  <c r="AW172" i="1"/>
  <c r="AX172" i="1"/>
  <c r="AR172" i="1"/>
  <c r="AX183" i="1"/>
  <c r="AW183" i="1"/>
  <c r="AR183" i="1"/>
  <c r="AW159" i="1"/>
  <c r="AX159" i="1"/>
  <c r="AR159" i="1"/>
  <c r="AR157" i="1"/>
  <c r="AR156" i="1"/>
  <c r="AR154" i="1"/>
  <c r="AR155" i="1"/>
  <c r="AR117" i="1"/>
  <c r="AR122" i="1"/>
  <c r="AR112" i="1"/>
  <c r="AR106" i="1"/>
  <c r="AZ221" i="1"/>
  <c r="AZ117" i="1"/>
  <c r="AZ155" i="1"/>
  <c r="AZ154" i="1"/>
  <c r="AZ226" i="1"/>
  <c r="AZ227" i="1"/>
  <c r="AZ74" i="1"/>
  <c r="AZ82" i="1"/>
  <c r="AZ75" i="1"/>
  <c r="AZ60" i="1"/>
  <c r="AZ62" i="1"/>
  <c r="AZ59" i="1"/>
  <c r="AZ67" i="1"/>
  <c r="AZ68" i="1"/>
  <c r="AZ79" i="1"/>
  <c r="AZ71" i="1"/>
  <c r="AZ73" i="1"/>
  <c r="AZ70" i="1"/>
  <c r="AZ72" i="1"/>
  <c r="AZ63" i="1"/>
  <c r="AZ65" i="1"/>
  <c r="AZ66" i="1"/>
  <c r="AZ156" i="1"/>
  <c r="AZ76" i="1"/>
  <c r="AZ77" i="1"/>
  <c r="AZ80" i="1"/>
  <c r="AZ81" i="1"/>
  <c r="AZ78" i="1"/>
  <c r="AZ61" i="1"/>
  <c r="AZ157" i="1"/>
  <c r="AZ58" i="1"/>
  <c r="AZ57" i="1"/>
  <c r="AZ89" i="1"/>
  <c r="AZ93" i="1"/>
  <c r="AZ92" i="1"/>
  <c r="AZ56" i="1"/>
  <c r="AZ229" i="1"/>
  <c r="AY3" i="1"/>
  <c r="AZ3" i="1" s="1"/>
  <c r="AY20" i="1"/>
  <c r="AZ20" i="1" s="1"/>
  <c r="AY23" i="1"/>
  <c r="AZ23" i="1" s="1"/>
  <c r="AY47" i="1"/>
  <c r="AZ47" i="1" s="1"/>
  <c r="AY52" i="1"/>
  <c r="AZ52" i="1" s="1"/>
  <c r="AY53" i="1"/>
  <c r="AZ53" i="1" s="1"/>
  <c r="AY55" i="1"/>
  <c r="AZ55" i="1" s="1"/>
  <c r="AY31" i="1"/>
  <c r="AZ31" i="1" s="1"/>
  <c r="AY50" i="1"/>
  <c r="AZ50" i="1" s="1"/>
  <c r="AY51" i="1"/>
  <c r="AZ51" i="1" s="1"/>
  <c r="AY18" i="1"/>
  <c r="AZ18" i="1" s="1"/>
  <c r="AY26" i="1"/>
  <c r="AZ26" i="1" s="1"/>
  <c r="AY4" i="1"/>
  <c r="AZ4" i="1" s="1"/>
  <c r="AY32" i="1"/>
  <c r="AZ32" i="1" s="1"/>
  <c r="AY36" i="1"/>
  <c r="AZ36" i="1" s="1"/>
  <c r="AY38" i="1"/>
  <c r="AZ38" i="1" s="1"/>
  <c r="AY21" i="1"/>
  <c r="AZ21" i="1" s="1"/>
  <c r="AY12" i="1"/>
  <c r="AZ12" i="1" s="1"/>
  <c r="AY8" i="1"/>
  <c r="AZ8" i="1" s="1"/>
  <c r="AY33" i="1"/>
  <c r="AZ33" i="1" s="1"/>
  <c r="AY5" i="1"/>
  <c r="AZ5" i="1" s="1"/>
  <c r="AY39" i="1"/>
  <c r="AZ39" i="1" s="1"/>
  <c r="AY45" i="1"/>
  <c r="AZ45" i="1" s="1"/>
  <c r="AY29" i="1"/>
  <c r="AZ29" i="1" s="1"/>
  <c r="AY15" i="1"/>
  <c r="AZ15" i="1" s="1"/>
  <c r="AY10" i="1"/>
  <c r="AZ10" i="1" s="1"/>
  <c r="AY14" i="1"/>
  <c r="AZ14" i="1" s="1"/>
  <c r="AY24" i="1"/>
  <c r="AZ24" i="1" s="1"/>
  <c r="AY16" i="1"/>
  <c r="AZ16" i="1" s="1"/>
  <c r="AY19" i="1"/>
  <c r="AZ19" i="1" s="1"/>
  <c r="AY46" i="1"/>
  <c r="AZ46" i="1" s="1"/>
  <c r="AY54" i="1"/>
  <c r="AZ54" i="1" s="1"/>
  <c r="AY30" i="1"/>
  <c r="AZ30" i="1" s="1"/>
  <c r="AY48" i="1"/>
  <c r="AZ48" i="1" s="1"/>
  <c r="AY6" i="1"/>
  <c r="AZ6" i="1" s="1"/>
  <c r="AY49" i="1"/>
  <c r="AZ49" i="1" s="1"/>
  <c r="AY35" i="1"/>
  <c r="AZ35" i="1" s="1"/>
  <c r="AY27" i="1"/>
  <c r="AZ27" i="1" s="1"/>
  <c r="AY17" i="1"/>
  <c r="AZ17" i="1" s="1"/>
  <c r="AY11" i="1"/>
  <c r="AZ11" i="1" s="1"/>
  <c r="AY34" i="1"/>
  <c r="AZ34" i="1" s="1"/>
  <c r="AY25" i="1"/>
  <c r="AZ25" i="1" s="1"/>
  <c r="AY43" i="1"/>
  <c r="AZ43" i="1" s="1"/>
  <c r="AY37" i="1"/>
  <c r="AZ37" i="1" s="1"/>
  <c r="AY13" i="1"/>
  <c r="AZ13" i="1" s="1"/>
  <c r="AY42" i="1"/>
  <c r="AZ42" i="1" s="1"/>
  <c r="AY44" i="1"/>
  <c r="AZ44" i="1" s="1"/>
  <c r="AY28" i="1"/>
  <c r="AZ28" i="1" s="1"/>
  <c r="AY40" i="1"/>
  <c r="AZ40" i="1" s="1"/>
  <c r="AY9" i="1"/>
  <c r="AZ9" i="1" s="1"/>
  <c r="AY7" i="1"/>
  <c r="AZ7" i="1" s="1"/>
  <c r="AY22" i="1"/>
  <c r="AZ22" i="1" s="1"/>
  <c r="AY41" i="1"/>
  <c r="AZ41" i="1" s="1"/>
  <c r="AZ230" i="1"/>
  <c r="AZ231" i="1"/>
  <c r="AZ182" i="1"/>
  <c r="AZ186" i="1"/>
  <c r="AY162" i="1"/>
  <c r="AZ162" i="1" s="1"/>
  <c r="AY291" i="1"/>
  <c r="AZ291" i="1" s="1"/>
  <c r="AY292" i="1"/>
  <c r="AZ292" i="1" s="1"/>
  <c r="AY294" i="1"/>
  <c r="AZ294" i="1" s="1"/>
  <c r="AY298" i="1"/>
  <c r="AZ298" i="1" s="1"/>
  <c r="AY300" i="1"/>
  <c r="AZ300" i="1" s="1"/>
  <c r="AY313" i="1"/>
  <c r="AZ313" i="1" s="1"/>
  <c r="AY315" i="1"/>
  <c r="AZ315" i="1" s="1"/>
  <c r="AY388" i="1"/>
  <c r="AZ388" i="1" s="1"/>
  <c r="AY317" i="1"/>
  <c r="AZ317" i="1" s="1"/>
  <c r="AY320" i="1"/>
  <c r="AZ320" i="1" s="1"/>
  <c r="AY321" i="1"/>
  <c r="AZ321" i="1" s="1"/>
  <c r="AY322" i="1"/>
  <c r="AZ322" i="1" s="1"/>
  <c r="AY323" i="1"/>
  <c r="AZ323" i="1" s="1"/>
  <c r="AY324" i="1"/>
  <c r="AZ324" i="1" s="1"/>
  <c r="AY335" i="1"/>
  <c r="AZ335" i="1" s="1"/>
  <c r="AY337" i="1"/>
  <c r="AZ337" i="1" s="1"/>
  <c r="AY340" i="1"/>
  <c r="AZ340" i="1" s="1"/>
  <c r="AZ383" i="1"/>
  <c r="AY347" i="1"/>
  <c r="AZ347" i="1" s="1"/>
  <c r="AZ95" i="1"/>
  <c r="AZ96" i="1"/>
  <c r="AZ94" i="1"/>
  <c r="AY183" i="1" l="1"/>
  <c r="AZ183" i="1" s="1"/>
  <c r="AY172" i="1"/>
  <c r="AZ172" i="1" s="1"/>
  <c r="AY165" i="1"/>
  <c r="AZ165" i="1" s="1"/>
  <c r="AY166" i="1"/>
  <c r="AZ166" i="1" s="1"/>
  <c r="AY142" i="1"/>
  <c r="AZ142" i="1" s="1"/>
  <c r="AY159" i="1"/>
  <c r="AZ159" i="1" s="1"/>
  <c r="AY179" i="1"/>
  <c r="AZ179" i="1" s="1"/>
  <c r="AY112" i="1"/>
  <c r="AZ112" i="1" s="1"/>
  <c r="AY122" i="1"/>
  <c r="AZ122" i="1" s="1"/>
  <c r="AY106" i="1"/>
  <c r="AZ106" i="1" s="1"/>
  <c r="AY128" i="1"/>
  <c r="AZ128" i="1" s="1"/>
  <c r="AR97" i="1" l="1"/>
  <c r="O31" i="7"/>
  <c r="O58" i="7"/>
  <c r="O62" i="7"/>
  <c r="O25" i="7"/>
  <c r="O17" i="7"/>
  <c r="O23" i="7"/>
  <c r="O30" i="7"/>
  <c r="O11" i="7"/>
  <c r="O52" i="7"/>
  <c r="O32" i="7"/>
  <c r="O59" i="7"/>
  <c r="O24" i="7"/>
  <c r="O54" i="7"/>
  <c r="O55" i="7"/>
  <c r="O22" i="7"/>
  <c r="O26" i="7"/>
  <c r="O9" i="7"/>
  <c r="O37" i="7"/>
  <c r="O38" i="7"/>
  <c r="O28" i="7"/>
  <c r="O63" i="7"/>
  <c r="O61" i="7"/>
  <c r="O13" i="7"/>
  <c r="O71" i="7"/>
  <c r="AR104" i="1"/>
  <c r="O12" i="7" l="1"/>
  <c r="O18" i="7"/>
  <c r="O14" i="7"/>
  <c r="O46" i="7"/>
  <c r="O57" i="7"/>
  <c r="O40" i="7"/>
  <c r="O7" i="7"/>
  <c r="C5" i="7"/>
  <c r="O21" i="7"/>
  <c r="O39" i="7"/>
  <c r="O56" i="7"/>
  <c r="C18" i="7"/>
  <c r="C9" i="7"/>
  <c r="C24" i="7"/>
  <c r="C14" i="7"/>
  <c r="C11" i="7"/>
  <c r="C22" i="7"/>
  <c r="AY104" i="1"/>
  <c r="AZ104" i="1" s="1"/>
  <c r="AY97" i="1"/>
  <c r="AZ97" i="1" s="1"/>
  <c r="E10" i="6" l="1"/>
  <c r="D10" i="6"/>
  <c r="M7" i="6" s="1"/>
  <c r="M4" i="6" l="1"/>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 r="C8" i="7"/>
  <c r="Y393" i="1"/>
  <c r="Y395" i="1"/>
  <c r="Y336" i="1"/>
  <c r="Y342" i="1"/>
  <c r="C10" i="7"/>
  <c r="Y319" i="1"/>
  <c r="Y318" i="1"/>
  <c r="Y397" i="1"/>
  <c r="O44" i="7"/>
  <c r="Y337" i="1"/>
  <c r="O41" i="7"/>
  <c r="Y389" i="1"/>
  <c r="O49" i="7"/>
  <c r="Y298" i="1"/>
  <c r="Y392" i="1"/>
  <c r="Y390" i="1"/>
  <c r="Y335" i="1"/>
  <c r="Y383" i="1"/>
  <c r="Y391" i="1"/>
  <c r="Y329" i="1"/>
  <c r="Y300" i="1"/>
  <c r="O27" i="7"/>
  <c r="Y324" i="1"/>
  <c r="O15" i="7"/>
  <c r="Y347" i="1"/>
  <c r="Y317" i="1"/>
  <c r="Y340" i="1"/>
  <c r="Y388" i="1"/>
  <c r="O16" i="7" l="1"/>
  <c r="O42" i="7"/>
  <c r="C13" i="7"/>
  <c r="O33" i="7"/>
  <c r="O66" i="7"/>
  <c r="O45" i="7"/>
  <c r="O51" i="7"/>
  <c r="O69" i="7"/>
  <c r="O34" i="7"/>
  <c r="C7" i="7"/>
  <c r="Y394" i="1"/>
  <c r="G12" i="7"/>
  <c r="G25" i="7" s="1"/>
  <c r="Y292" i="1"/>
  <c r="O29" i="7" l="1"/>
  <c r="O50" i="7"/>
  <c r="O64" i="7"/>
  <c r="Y291" i="1"/>
  <c r="O53" i="7"/>
  <c r="Y322" i="1"/>
  <c r="F17" i="7"/>
  <c r="Y323" i="1"/>
  <c r="F12" i="7"/>
  <c r="O36" i="7"/>
  <c r="Y320" i="1"/>
  <c r="Y321" i="1"/>
  <c r="O68" i="7" l="1"/>
  <c r="C15" i="7"/>
  <c r="C6" i="7"/>
  <c r="C12" i="7"/>
  <c r="O65" i="7"/>
  <c r="C17" i="7"/>
  <c r="F25" i="7"/>
  <c r="O1" i="7" l="1"/>
  <c r="C2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Koelling, Brad</author>
  </authors>
  <commentList>
    <comment ref="B8" authorId="0" shapeId="0" xr:uid="{BBC70F36-6B92-4486-BD04-64CA0C532DE7}">
      <text>
        <r>
          <rPr>
            <b/>
            <sz val="9"/>
            <color indexed="81"/>
            <rFont val="Tahoma"/>
            <family val="2"/>
          </rPr>
          <t>Koelling, Brad:</t>
        </r>
        <r>
          <rPr>
            <sz val="9"/>
            <color indexed="81"/>
            <rFont val="Tahoma"/>
            <family val="2"/>
          </rPr>
          <t xml:space="preserve">
Jon Stallman says this job is no longer required.  Please cancel.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<sst xmlns="http://schemas.openxmlformats.org/spreadsheetml/2006/main" count="15167" uniqueCount="6669">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</sst>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6"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
      <sz val="11"/>
      <color theme="0"/>
      <name val="Calibri"/>
      <family val="2"/>
      <scheme val="minor"/>
    </font>
  </fonts>
  <fills count="21">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
      <patternFill patternType="solid">
        <fgColor rgb="FFFF0000"/>
        <bgColor indexed="64"/>
      </patternFill>
    </fill>
    <fill>
      <patternFill patternType="solid">
        <fgColor theme="0"/>
        <bgColor indexed="64"/>
      </patternFill>
    </fill>
    <fill>
      <patternFill patternType="solid">
        <fgColor theme="3" tint="0.39997558519241921"/>
        <bgColor indexed="64"/>
      </patternFill>
    </fill>
    <fill>
      <patternFill patternType="solid">
        <fgColor theme="9"/>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s>
  <cellStyleXfs count="15">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9" fillId="12" borderId="16" applyNumberFormat="0" applyAlignment="0" applyProtection="0">
      <alignment horizontal="left" vertical="center" indent="1"/>
    </xf>
    <xf numFmtId="168" fontId="10" fillId="13" borderId="16" applyNumberFormat="0" applyAlignment="0" applyProtection="0">
      <alignment horizontal="left" vertical="center" indent="1"/>
    </xf>
    <xf numFmtId="168" fontId="10" fillId="0" borderId="17" applyNumberFormat="0" applyProtection="0">
      <alignment horizontal="right" vertical="center"/>
    </xf>
    <xf numFmtId="0" fontId="4" fillId="0" borderId="0"/>
    <xf numFmtId="0" fontId="16" fillId="0" borderId="0"/>
  </cellStyleXfs>
  <cellXfs count="229">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0" fontId="6" fillId="0" borderId="0" xfId="0" applyFont="1" applyAlignment="1">
      <alignment horizontal="center"/>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0" fontId="0" fillId="0" borderId="0" xfId="0"/>
    <xf numFmtId="0" fontId="8" fillId="0" borderId="0" xfId="0" applyFont="1"/>
    <xf numFmtId="167" fontId="0" fillId="0" borderId="6" xfId="0" applyNumberFormat="1" applyBorder="1" applyAlignment="1">
      <alignment horizontal="center" vertical="center"/>
    </xf>
    <xf numFmtId="0" fontId="8" fillId="0" borderId="11" xfId="0" applyFont="1" applyBorder="1"/>
    <xf numFmtId="0" fontId="8" fillId="0" borderId="13" xfId="0" applyFont="1" applyBorder="1"/>
    <xf numFmtId="167" fontId="0" fillId="0" borderId="14" xfId="0" applyNumberFormat="1" applyBorder="1" applyAlignment="1">
      <alignment horizontal="center" vertical="center"/>
    </xf>
    <xf numFmtId="0" fontId="8" fillId="0" borderId="10" xfId="0" applyFont="1" applyBorder="1" applyAlignment="1">
      <alignment horizontal="center" vertical="center"/>
    </xf>
    <xf numFmtId="167" fontId="8" fillId="0" borderId="12" xfId="0" applyNumberFormat="1" applyFont="1" applyBorder="1" applyAlignment="1">
      <alignment horizontal="center" vertical="center"/>
    </xf>
    <xf numFmtId="167" fontId="8"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8" fillId="0" borderId="0" xfId="0" applyFont="1" applyFill="1" applyBorder="1" applyAlignment="1">
      <alignment horizontal="center" vertical="center" wrapText="1"/>
    </xf>
    <xf numFmtId="0" fontId="8"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8" fillId="0" borderId="20" xfId="0" applyNumberFormat="1" applyFont="1" applyBorder="1" applyAlignment="1">
      <alignment horizontal="center" vertical="center"/>
    </xf>
    <xf numFmtId="0" fontId="8"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8"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8" fillId="0" borderId="0" xfId="0" applyFont="1" applyAlignment="1">
      <alignment horizontal="center"/>
    </xf>
    <xf numFmtId="166" fontId="0" fillId="0" borderId="0" xfId="1" applyNumberFormat="1" applyFont="1"/>
    <xf numFmtId="1" fontId="1" fillId="0" borderId="0" xfId="4" applyNumberFormat="1" applyFill="1" applyAlignment="1">
      <alignment horizontal="center"/>
    </xf>
    <xf numFmtId="0" fontId="1" fillId="0" borderId="0" xfId="4" applyFill="1"/>
    <xf numFmtId="0" fontId="1" fillId="0" borderId="0" xfId="4" applyAlignment="1">
      <alignment horizontal="left"/>
    </xf>
    <xf numFmtId="2" fontId="1" fillId="0" borderId="0" xfId="4" applyNumberFormat="1" applyFill="1" applyAlignment="1">
      <alignment horizontal="center"/>
    </xf>
    <xf numFmtId="0" fontId="11" fillId="0" borderId="0" xfId="0" applyFont="1" applyAlignment="1">
      <alignment horizontal="center"/>
    </xf>
    <xf numFmtId="0" fontId="1" fillId="0" borderId="0" xfId="4" applyFill="1" applyAlignment="1">
      <alignment horizontal="right"/>
    </xf>
    <xf numFmtId="0" fontId="1" fillId="0" borderId="0" xfId="0" applyFont="1" applyFill="1" applyAlignment="1">
      <alignment horizontal="center"/>
    </xf>
    <xf numFmtId="1" fontId="1" fillId="0" borderId="0" xfId="4" applyNumberFormat="1"/>
    <xf numFmtId="0" fontId="13" fillId="0" borderId="23" xfId="0" applyFont="1" applyBorder="1" applyAlignment="1">
      <alignment vertical="center"/>
    </xf>
    <xf numFmtId="0" fontId="13" fillId="0" borderId="24" xfId="0" applyFont="1" applyBorder="1" applyAlignment="1">
      <alignment vertical="center"/>
    </xf>
    <xf numFmtId="0" fontId="13" fillId="8" borderId="21" xfId="0" applyFont="1" applyFill="1" applyBorder="1" applyAlignment="1">
      <alignment vertical="center"/>
    </xf>
    <xf numFmtId="0" fontId="14" fillId="8" borderId="23" xfId="0" applyFont="1" applyFill="1" applyBorder="1" applyAlignment="1">
      <alignment horizontal="center" vertical="center"/>
    </xf>
    <xf numFmtId="0" fontId="13" fillId="14" borderId="23" xfId="0" applyFont="1" applyFill="1" applyBorder="1" applyAlignment="1">
      <alignment vertical="center"/>
    </xf>
    <xf numFmtId="2" fontId="13" fillId="0" borderId="24" xfId="0" applyNumberFormat="1" applyFont="1" applyBorder="1" applyAlignment="1">
      <alignment horizontal="center" vertical="center"/>
    </xf>
    <xf numFmtId="2" fontId="13" fillId="14" borderId="24" xfId="0" applyNumberFormat="1" applyFont="1" applyFill="1" applyBorder="1" applyAlignment="1">
      <alignment horizontal="center" vertical="center"/>
    </xf>
    <xf numFmtId="0" fontId="13" fillId="0" borderId="24" xfId="0" applyFont="1" applyBorder="1" applyAlignment="1">
      <alignment horizontal="center" vertical="center"/>
    </xf>
    <xf numFmtId="0" fontId="13" fillId="14" borderId="24" xfId="0" applyFont="1" applyFill="1" applyBorder="1" applyAlignment="1">
      <alignment horizontal="center" vertical="center"/>
    </xf>
    <xf numFmtId="2" fontId="0" fillId="8" borderId="24" xfId="0" applyNumberFormat="1" applyFill="1" applyBorder="1" applyAlignment="1">
      <alignment horizontal="center"/>
    </xf>
    <xf numFmtId="0" fontId="0" fillId="8" borderId="24" xfId="0" applyFill="1" applyBorder="1" applyAlignment="1">
      <alignment horizontal="center"/>
    </xf>
    <xf numFmtId="0" fontId="14" fillId="8" borderId="27" xfId="0" applyFont="1" applyFill="1" applyBorder="1" applyAlignment="1">
      <alignment horizontal="center" vertical="center"/>
    </xf>
    <xf numFmtId="0" fontId="14" fillId="8" borderId="24" xfId="0" applyFont="1" applyFill="1" applyBorder="1" applyAlignment="1">
      <alignment horizontal="center" vertical="center"/>
    </xf>
    <xf numFmtId="0" fontId="8" fillId="8" borderId="24" xfId="0" applyFont="1" applyFill="1" applyBorder="1" applyAlignment="1">
      <alignment horizontal="center"/>
    </xf>
    <xf numFmtId="0" fontId="11" fillId="0" borderId="0" xfId="0" applyFont="1"/>
    <xf numFmtId="0" fontId="0" fillId="11" borderId="0" xfId="0" applyFont="1" applyFill="1" applyAlignment="1">
      <alignment horizontal="center"/>
    </xf>
    <xf numFmtId="16" fontId="0" fillId="0" borderId="0" xfId="0" applyNumberFormat="1"/>
    <xf numFmtId="165" fontId="1" fillId="0" borderId="0" xfId="4" applyNumberFormat="1" applyFill="1" applyAlignment="1">
      <alignment horizontal="center"/>
    </xf>
    <xf numFmtId="0" fontId="15" fillId="0" borderId="0" xfId="0" applyFont="1" applyAlignment="1">
      <alignment horizontal="center"/>
    </xf>
    <xf numFmtId="0" fontId="1" fillId="0" borderId="0" xfId="0" applyNumberFormat="1" applyFont="1" applyAlignment="1">
      <alignment horizontal="center"/>
    </xf>
    <xf numFmtId="0" fontId="17" fillId="0" borderId="0" xfId="14" applyFont="1"/>
    <xf numFmtId="0" fontId="16" fillId="0" borderId="0" xfId="14"/>
    <xf numFmtId="0" fontId="16" fillId="0" borderId="0" xfId="14" applyAlignment="1">
      <alignment horizontal="center"/>
    </xf>
    <xf numFmtId="0" fontId="18" fillId="0" borderId="2" xfId="14" applyFont="1" applyBorder="1" applyAlignment="1">
      <alignment horizontal="center" vertical="center"/>
    </xf>
    <xf numFmtId="0" fontId="16" fillId="0" borderId="0" xfId="14" applyAlignment="1">
      <alignment horizontal="center" wrapText="1"/>
    </xf>
    <xf numFmtId="0" fontId="16" fillId="0" borderId="0" xfId="14" applyAlignment="1">
      <alignment wrapText="1"/>
    </xf>
    <xf numFmtId="0" fontId="17" fillId="15" borderId="28" xfId="14" applyFont="1" applyFill="1" applyBorder="1" applyAlignment="1">
      <alignment wrapText="1"/>
    </xf>
    <xf numFmtId="0" fontId="17" fillId="15" borderId="28" xfId="14" applyFont="1" applyFill="1" applyBorder="1"/>
    <xf numFmtId="0" fontId="17" fillId="15" borderId="28" xfId="14" applyFont="1" applyFill="1" applyBorder="1" applyAlignment="1">
      <alignment horizontal="center" wrapText="1"/>
    </xf>
    <xf numFmtId="0" fontId="17" fillId="15" borderId="29" xfId="14" applyFont="1" applyFill="1" applyBorder="1" applyAlignment="1">
      <alignment wrapText="1"/>
    </xf>
    <xf numFmtId="0" fontId="17" fillId="16" borderId="30" xfId="14" applyFont="1" applyFill="1" applyBorder="1" applyAlignment="1">
      <alignment horizontal="center" wrapText="1"/>
    </xf>
    <xf numFmtId="0" fontId="19" fillId="0" borderId="28" xfId="14" applyFont="1" applyBorder="1" applyAlignment="1">
      <alignment horizontal="left" vertical="center"/>
    </xf>
    <xf numFmtId="0" fontId="20" fillId="0" borderId="28" xfId="14" applyFont="1" applyBorder="1" applyAlignment="1">
      <alignment vertical="center" wrapText="1"/>
    </xf>
    <xf numFmtId="0" fontId="20" fillId="0" borderId="28" xfId="14" applyFont="1" applyBorder="1" applyAlignment="1">
      <alignment horizontal="center" vertical="center" wrapText="1"/>
    </xf>
    <xf numFmtId="0" fontId="20" fillId="0" borderId="28" xfId="14" applyFont="1" applyBorder="1" applyAlignment="1">
      <alignment vertical="center"/>
    </xf>
    <xf numFmtId="169" fontId="20" fillId="0" borderId="29" xfId="14" applyNumberFormat="1" applyFont="1" applyBorder="1" applyAlignment="1">
      <alignment horizontal="left" vertical="center"/>
    </xf>
    <xf numFmtId="0" fontId="19" fillId="16" borderId="29" xfId="14" applyFont="1" applyFill="1" applyBorder="1" applyAlignment="1">
      <alignment horizontal="center" vertical="center" wrapText="1"/>
    </xf>
    <xf numFmtId="0" fontId="20" fillId="0" borderId="28" xfId="14" applyFont="1" applyBorder="1" applyAlignment="1">
      <alignment horizontal="center" vertical="center"/>
    </xf>
    <xf numFmtId="14" fontId="20" fillId="0" borderId="28" xfId="14" applyNumberFormat="1" applyFont="1" applyBorder="1" applyAlignment="1">
      <alignment vertical="center" wrapText="1"/>
    </xf>
    <xf numFmtId="14" fontId="20" fillId="0" borderId="28" xfId="14" applyNumberFormat="1" applyFont="1" applyBorder="1" applyAlignment="1">
      <alignment horizontal="center" vertical="center" wrapText="1"/>
    </xf>
    <xf numFmtId="14" fontId="20" fillId="0" borderId="28" xfId="14" applyNumberFormat="1" applyFont="1" applyBorder="1" applyAlignment="1">
      <alignment horizontal="left" vertical="center" wrapText="1"/>
    </xf>
    <xf numFmtId="0" fontId="20" fillId="0" borderId="0" xfId="14" applyFont="1" applyAlignment="1">
      <alignment vertical="center"/>
    </xf>
    <xf numFmtId="0" fontId="20" fillId="16" borderId="29" xfId="14" applyFont="1" applyFill="1" applyBorder="1" applyAlignment="1">
      <alignment horizontal="center" vertical="center" wrapText="1"/>
    </xf>
    <xf numFmtId="0" fontId="20" fillId="16" borderId="31" xfId="14" applyFont="1" applyFill="1" applyBorder="1" applyAlignment="1">
      <alignment horizontal="center" vertical="center" wrapText="1"/>
    </xf>
    <xf numFmtId="0" fontId="20" fillId="5" borderId="29" xfId="14" applyFont="1" applyFill="1" applyBorder="1" applyAlignment="1">
      <alignment horizontal="center" vertical="center" wrapText="1"/>
    </xf>
    <xf numFmtId="0" fontId="20" fillId="5" borderId="31" xfId="14" applyFont="1" applyFill="1" applyBorder="1" applyAlignment="1">
      <alignment horizontal="center" vertical="center" wrapText="1"/>
    </xf>
    <xf numFmtId="0" fontId="20" fillId="0" borderId="28" xfId="14" applyFont="1" applyBorder="1" applyAlignment="1">
      <alignment horizontal="left" vertical="center"/>
    </xf>
    <xf numFmtId="0" fontId="21" fillId="0" borderId="28" xfId="14" applyFont="1" applyBorder="1" applyAlignment="1">
      <alignment horizontal="left" vertical="center"/>
    </xf>
    <xf numFmtId="1" fontId="21" fillId="0" borderId="29" xfId="14" applyNumberFormat="1" applyFont="1" applyBorder="1" applyAlignment="1">
      <alignment horizontal="center" vertical="center"/>
    </xf>
    <xf numFmtId="169" fontId="21" fillId="0" borderId="29" xfId="14" applyNumberFormat="1" applyFont="1" applyBorder="1" applyAlignment="1">
      <alignment horizontal="left" vertical="center"/>
    </xf>
    <xf numFmtId="169" fontId="16" fillId="0" borderId="0" xfId="14" applyNumberFormat="1"/>
    <xf numFmtId="169" fontId="16" fillId="0" borderId="0" xfId="14" applyNumberFormat="1" applyAlignment="1">
      <alignment horizontal="center"/>
    </xf>
    <xf numFmtId="14" fontId="17" fillId="0" borderId="0" xfId="14" applyNumberFormat="1" applyFont="1" applyAlignment="1">
      <alignment horizontal="left"/>
    </xf>
    <xf numFmtId="0" fontId="17" fillId="0" borderId="0" xfId="14" applyFont="1" applyAlignment="1">
      <alignment horizontal="center"/>
    </xf>
    <xf numFmtId="0" fontId="16" fillId="0" borderId="0" xfId="14" applyAlignment="1">
      <alignment horizontal="left"/>
    </xf>
    <xf numFmtId="169" fontId="17" fillId="0" borderId="0" xfId="14" applyNumberFormat="1" applyFont="1"/>
    <xf numFmtId="0" fontId="22" fillId="0" borderId="0" xfId="14" applyFont="1"/>
    <xf numFmtId="170" fontId="1" fillId="0" borderId="0" xfId="4" applyNumberFormat="1" applyAlignment="1">
      <alignment horizontal="center"/>
    </xf>
    <xf numFmtId="0" fontId="0" fillId="0" borderId="0" xfId="0"/>
    <xf numFmtId="0" fontId="0" fillId="0" borderId="0" xfId="0" applyAlignment="1">
      <alignment horizontal="center"/>
    </xf>
    <xf numFmtId="170" fontId="0" fillId="0" borderId="0" xfId="0" applyNumberFormat="1" applyAlignment="1">
      <alignment horizontal="center"/>
    </xf>
    <xf numFmtId="170" fontId="1" fillId="0" borderId="0" xfId="4" applyNumberFormat="1" applyFill="1" applyAlignment="1">
      <alignment horizontal="center"/>
    </xf>
    <xf numFmtId="166" fontId="0" fillId="0" borderId="0" xfId="1" applyNumberFormat="1" applyFont="1" applyAlignment="1">
      <alignment horizontal="center"/>
    </xf>
    <xf numFmtId="0" fontId="5" fillId="4" borderId="0" xfId="5" applyFill="1" applyAlignment="1">
      <alignment horizontal="center"/>
    </xf>
    <xf numFmtId="0" fontId="5" fillId="17" borderId="0" xfId="5" applyFill="1" applyAlignment="1">
      <alignment horizontal="center"/>
    </xf>
    <xf numFmtId="9" fontId="1" fillId="4" borderId="0" xfId="0" applyNumberFormat="1" applyFont="1" applyFill="1" applyAlignment="1">
      <alignment horizontal="center"/>
    </xf>
    <xf numFmtId="0" fontId="5" fillId="18" borderId="0" xfId="5" applyFill="1" applyAlignment="1">
      <alignment horizontal="center"/>
    </xf>
    <xf numFmtId="2" fontId="1" fillId="0" borderId="0" xfId="4" applyNumberFormat="1"/>
    <xf numFmtId="0" fontId="5" fillId="11" borderId="0" xfId="5" applyFill="1"/>
    <xf numFmtId="171" fontId="1" fillId="0" borderId="0" xfId="4" applyNumberFormat="1"/>
    <xf numFmtId="171" fontId="1" fillId="8" borderId="0" xfId="4" applyNumberFormat="1" applyFill="1" applyAlignment="1">
      <alignment horizontal="center" vertical="center" wrapText="1"/>
    </xf>
    <xf numFmtId="171" fontId="1" fillId="0" borderId="0" xfId="1" applyNumberFormat="1" applyFont="1"/>
    <xf numFmtId="171" fontId="0" fillId="0" borderId="0" xfId="0" applyNumberFormat="1"/>
    <xf numFmtId="171" fontId="0" fillId="0" borderId="0" xfId="1" applyNumberFormat="1" applyFont="1"/>
    <xf numFmtId="0" fontId="1" fillId="0" borderId="0" xfId="0" applyNumberFormat="1" applyFont="1" applyFill="1" applyAlignment="1">
      <alignment horizontal="center"/>
    </xf>
    <xf numFmtId="0" fontId="5" fillId="11" borderId="0" xfId="5"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5" fillId="19" borderId="0" xfId="4" applyNumberFormat="1" applyFont="1" applyFill="1" applyAlignment="1">
      <alignment horizontal="center" vertical="center" wrapText="1"/>
    </xf>
    <xf numFmtId="171" fontId="25" fillId="19" borderId="0" xfId="4" applyNumberFormat="1" applyFont="1" applyFill="1" applyAlignment="1">
      <alignment horizontal="center" vertical="center" wrapText="1"/>
    </xf>
    <xf numFmtId="171" fontId="1" fillId="0" borderId="0" xfId="4" applyNumberFormat="1" applyAlignment="1">
      <alignment horizontal="center"/>
    </xf>
    <xf numFmtId="2" fontId="0" fillId="0" borderId="0" xfId="7"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1" fillId="0" borderId="0" xfId="1" applyNumberFormat="1" applyFont="1" applyAlignment="1">
      <alignment horizontal="center"/>
    </xf>
    <xf numFmtId="171" fontId="1" fillId="0" borderId="0" xfId="1" applyNumberFormat="1" applyFont="1" applyAlignment="1">
      <alignment horizontal="center"/>
    </xf>
    <xf numFmtId="2" fontId="0" fillId="0" borderId="0" xfId="1" applyNumberFormat="1" applyFont="1" applyAlignment="1">
      <alignment horizontal="center"/>
    </xf>
    <xf numFmtId="171" fontId="0" fillId="0" borderId="0" xfId="1" applyNumberFormat="1" applyFont="1" applyAlignment="1">
      <alignment horizontal="center"/>
    </xf>
    <xf numFmtId="166" fontId="1" fillId="0" borderId="0" xfId="1" applyNumberFormat="1" applyFont="1" applyAlignment="1">
      <alignment horizontal="center"/>
    </xf>
    <xf numFmtId="0" fontId="0" fillId="0" borderId="0" xfId="0" applyFont="1" applyAlignment="1">
      <alignment horizontal="center"/>
    </xf>
    <xf numFmtId="0" fontId="5" fillId="0" borderId="0" xfId="5" applyFill="1"/>
    <xf numFmtId="0" fontId="5" fillId="11" borderId="0" xfId="5" applyFill="1" applyAlignment="1">
      <alignment vertical="center" wrapText="1"/>
    </xf>
    <xf numFmtId="166" fontId="0" fillId="0" borderId="0" xfId="7" applyNumberFormat="1" applyFont="1" applyFill="1"/>
    <xf numFmtId="9" fontId="0" fillId="4" borderId="0" xfId="0" applyNumberFormat="1" applyFont="1" applyFill="1" applyAlignment="1">
      <alignment horizontal="center"/>
    </xf>
    <xf numFmtId="0" fontId="1" fillId="0" borderId="0" xfId="4" applyFill="1" applyAlignment="1">
      <alignment horizontal="left"/>
    </xf>
    <xf numFmtId="2" fontId="1" fillId="0" borderId="0" xfId="4" quotePrefix="1" applyNumberFormat="1" applyAlignment="1">
      <alignment horizontal="center"/>
    </xf>
    <xf numFmtId="172" fontId="1" fillId="0" borderId="0" xfId="4" applyNumberFormat="1" applyAlignment="1">
      <alignment horizontal="center"/>
    </xf>
    <xf numFmtId="172" fontId="0" fillId="0" borderId="0" xfId="0" applyNumberFormat="1" applyAlignment="1">
      <alignment horizontal="center"/>
    </xf>
    <xf numFmtId="1" fontId="1" fillId="0" borderId="0" xfId="6" applyNumberFormat="1" applyFont="1" applyAlignment="1">
      <alignment horizontal="center"/>
    </xf>
    <xf numFmtId="1" fontId="0" fillId="0" borderId="0" xfId="0" applyNumberFormat="1" applyAlignment="1">
      <alignment horizontal="center"/>
    </xf>
    <xf numFmtId="1" fontId="1" fillId="0" borderId="0" xfId="6" applyNumberFormat="1" applyFont="1" applyFill="1" applyAlignment="1">
      <alignment horizontal="center"/>
    </xf>
    <xf numFmtId="0" fontId="5" fillId="11" borderId="0" xfId="5" applyFill="1" applyAlignment="1">
      <alignment horizontal="center" vertical="center"/>
    </xf>
    <xf numFmtId="44" fontId="0" fillId="0" borderId="0" xfId="0" applyNumberFormat="1"/>
    <xf numFmtId="0" fontId="1" fillId="20" borderId="0" xfId="0" applyFont="1" applyFill="1" applyAlignment="1">
      <alignment horizontal="center"/>
    </xf>
    <xf numFmtId="0" fontId="5" fillId="0" borderId="0" xfId="5"/>
    <xf numFmtId="0" fontId="0" fillId="0" borderId="0" xfId="0" applyBorder="1" applyAlignment="1">
      <alignment horizontal="center"/>
    </xf>
    <xf numFmtId="1" fontId="0" fillId="0" borderId="0" xfId="0" applyNumberFormat="1"/>
    <xf numFmtId="0" fontId="1" fillId="0" borderId="0" xfId="4" quotePrefix="1" applyAlignment="1">
      <alignment horizontal="left"/>
    </xf>
    <xf numFmtId="0" fontId="8" fillId="20" borderId="0" xfId="0" applyFont="1" applyFill="1" applyAlignment="1">
      <alignment horizontal="center"/>
    </xf>
    <xf numFmtId="0" fontId="0" fillId="20" borderId="0" xfId="0" applyFont="1" applyFill="1" applyAlignment="1">
      <alignment horizontal="center"/>
    </xf>
    <xf numFmtId="0" fontId="6" fillId="0" borderId="0" xfId="0" applyNumberFormat="1" applyFont="1" applyAlignment="1">
      <alignment horizontal="center"/>
    </xf>
    <xf numFmtId="0" fontId="0" fillId="0" borderId="0" xfId="0" applyAlignment="1">
      <alignment horizontal="center" vertical="top"/>
    </xf>
    <xf numFmtId="1" fontId="1" fillId="0" borderId="0" xfId="0" applyNumberFormat="1" applyFont="1" applyAlignment="1">
      <alignment horizontal="center"/>
    </xf>
    <xf numFmtId="1" fontId="6" fillId="0" borderId="0" xfId="0" applyNumberFormat="1" applyFont="1" applyAlignment="1">
      <alignment horizontal="center"/>
    </xf>
    <xf numFmtId="1" fontId="1" fillId="18" borderId="0" xfId="0" applyNumberFormat="1" applyFont="1" applyFill="1" applyAlignment="1">
      <alignment horizontal="center"/>
    </xf>
    <xf numFmtId="1" fontId="0" fillId="0" borderId="0" xfId="0" applyNumberFormat="1" applyFont="1" applyAlignment="1">
      <alignment horizontal="center"/>
    </xf>
    <xf numFmtId="9" fontId="0" fillId="11" borderId="0" xfId="0" applyNumberFormat="1" applyFont="1" applyFill="1" applyAlignment="1">
      <alignment horizontal="center"/>
    </xf>
    <xf numFmtId="0" fontId="2" fillId="0" borderId="0" xfId="2" applyAlignment="1">
      <alignment horizontal="center"/>
    </xf>
    <xf numFmtId="0" fontId="14" fillId="8" borderId="1" xfId="0" applyFont="1" applyFill="1" applyBorder="1" applyAlignment="1">
      <alignment horizontal="center" vertical="center"/>
    </xf>
    <xf numFmtId="0" fontId="14" fillId="8" borderId="22" xfId="0" applyFont="1" applyFill="1" applyBorder="1" applyAlignment="1">
      <alignment horizontal="center" vertical="center"/>
    </xf>
    <xf numFmtId="0" fontId="8" fillId="8" borderId="27" xfId="0" applyFont="1" applyFill="1" applyBorder="1" applyAlignment="1">
      <alignment horizontal="center"/>
    </xf>
    <xf numFmtId="0" fontId="8" fillId="8" borderId="25" xfId="0" applyFont="1" applyFill="1" applyBorder="1" applyAlignment="1">
      <alignment horizontal="center"/>
    </xf>
    <xf numFmtId="0" fontId="8" fillId="8" borderId="26" xfId="0" applyFont="1" applyFill="1" applyBorder="1" applyAlignment="1">
      <alignment horizontal="center"/>
    </xf>
  </cellXfs>
  <cellStyles count="15">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sheetMetadata" Target="metadata.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sharedStrings" Target="sharedString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esktop/conductor_pz_summary_hftd_23_release20201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s.utility.pge.com/sites/EpDistribPlanning/Reliability%20Updates/Grid%20Design/08W%20Program%20Initiation/Project%20List%20MAT%2008W.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or_pz_summary_hftd_23_re"/>
      <sheetName val="Probability Comparison"/>
      <sheetName val="Consequence Comparison"/>
    </sheetNames>
    <sheetDataSet>
      <sheetData sheetId="0">
        <row r="2">
          <cell r="B2" t="str">
            <v>ALHAMBRA 110213333</v>
          </cell>
          <cell r="C2">
            <v>14101102</v>
          </cell>
          <cell r="D2" t="str">
            <v>ALHAMBRA 1102</v>
          </cell>
          <cell r="E2">
            <v>13333</v>
          </cell>
          <cell r="F2" t="b">
            <v>1</v>
          </cell>
          <cell r="G2">
            <v>480.33892710418399</v>
          </cell>
          <cell r="H2">
            <v>70.786113934196194</v>
          </cell>
          <cell r="I2">
            <v>4</v>
          </cell>
          <cell r="J2">
            <v>1.89110694464034E-5</v>
          </cell>
          <cell r="K2">
            <v>3554</v>
          </cell>
          <cell r="L2">
            <v>6.5469081977119106E-2</v>
          </cell>
          <cell r="M2">
            <v>3382</v>
          </cell>
          <cell r="N2">
            <v>1.23984280795517E-6</v>
          </cell>
          <cell r="O2">
            <v>3572</v>
          </cell>
          <cell r="P2">
            <v>0.02</v>
          </cell>
          <cell r="Q2">
            <v>2476</v>
          </cell>
        </row>
        <row r="3">
          <cell r="B3" t="str">
            <v>ALHAMBRA 1102CB</v>
          </cell>
          <cell r="C3">
            <v>14101102</v>
          </cell>
          <cell r="D3" t="str">
            <v>ALHAMBRA 1102</v>
          </cell>
          <cell r="E3" t="str">
            <v>CB</v>
          </cell>
          <cell r="F3" t="b">
            <v>1</v>
          </cell>
          <cell r="G3">
            <v>9244.13915179385</v>
          </cell>
          <cell r="H3">
            <v>431.11511610011001</v>
          </cell>
          <cell r="I3">
            <v>75</v>
          </cell>
          <cell r="J3">
            <v>2.73072874484888E-5</v>
          </cell>
          <cell r="K3">
            <v>3468</v>
          </cell>
          <cell r="L3">
            <v>6.5216646754019697E-2</v>
          </cell>
          <cell r="M3">
            <v>3501</v>
          </cell>
          <cell r="N3">
            <v>1.7835008882633201E-6</v>
          </cell>
          <cell r="O3">
            <v>3526</v>
          </cell>
          <cell r="P3">
            <v>0.02</v>
          </cell>
          <cell r="Q3">
            <v>2558</v>
          </cell>
        </row>
        <row r="4">
          <cell r="B4" t="str">
            <v>ALHAMBRA 110581514</v>
          </cell>
          <cell r="C4">
            <v>14101105</v>
          </cell>
          <cell r="D4" t="str">
            <v>ALHAMBRA 1105</v>
          </cell>
          <cell r="E4">
            <v>81514</v>
          </cell>
          <cell r="F4" t="b">
            <v>0</v>
          </cell>
          <cell r="G4">
            <v>7697.83923278984</v>
          </cell>
          <cell r="H4">
            <v>4781.2860297529996</v>
          </cell>
          <cell r="I4">
            <v>65</v>
          </cell>
          <cell r="J4">
            <v>8.7031549964404598E-5</v>
          </cell>
          <cell r="K4">
            <v>2011</v>
          </cell>
          <cell r="L4">
            <v>13.7396192089554</v>
          </cell>
          <cell r="M4">
            <v>2556</v>
          </cell>
          <cell r="N4">
            <v>1.2524583531787E-3</v>
          </cell>
          <cell r="O4">
            <v>2593</v>
          </cell>
          <cell r="P4">
            <v>0.04</v>
          </cell>
          <cell r="Q4">
            <v>2121</v>
          </cell>
        </row>
        <row r="5">
          <cell r="B5" t="str">
            <v>ALHAMBRA 110582622</v>
          </cell>
          <cell r="C5">
            <v>14101105</v>
          </cell>
          <cell r="D5" t="str">
            <v>ALHAMBRA 1105</v>
          </cell>
          <cell r="E5">
            <v>82622</v>
          </cell>
          <cell r="F5" t="b">
            <v>0</v>
          </cell>
          <cell r="G5">
            <v>41703.381551213097</v>
          </cell>
          <cell r="H5">
            <v>41703.381551213097</v>
          </cell>
          <cell r="I5">
            <v>254</v>
          </cell>
          <cell r="J5">
            <v>8.8105857324239498E-5</v>
          </cell>
          <cell r="K5">
            <v>1980</v>
          </cell>
          <cell r="L5">
            <v>753.43272467741201</v>
          </cell>
          <cell r="M5">
            <v>972</v>
          </cell>
          <cell r="N5">
            <v>5.8507675369862698E-2</v>
          </cell>
          <cell r="O5">
            <v>1074</v>
          </cell>
          <cell r="P5">
            <v>0.2</v>
          </cell>
          <cell r="Q5">
            <v>1166</v>
          </cell>
        </row>
        <row r="6">
          <cell r="B6" t="str">
            <v>ALHAMBRA 11058302</v>
          </cell>
          <cell r="C6">
            <v>14101105</v>
          </cell>
          <cell r="D6" t="str">
            <v>ALHAMBRA 1105</v>
          </cell>
          <cell r="E6">
            <v>8302</v>
          </cell>
          <cell r="F6" t="b">
            <v>0</v>
          </cell>
          <cell r="G6">
            <v>13154.222431211499</v>
          </cell>
          <cell r="H6">
            <v>13154.222431211499</v>
          </cell>
          <cell r="I6">
            <v>83</v>
          </cell>
          <cell r="J6">
            <v>9.5232177666663796E-5</v>
          </cell>
          <cell r="K6">
            <v>1760</v>
          </cell>
          <cell r="L6">
            <v>244.77943168254799</v>
          </cell>
          <cell r="M6">
            <v>1556</v>
          </cell>
          <cell r="N6">
            <v>2.32059202555479E-2</v>
          </cell>
          <cell r="O6">
            <v>1597</v>
          </cell>
          <cell r="P6">
            <v>0.09</v>
          </cell>
          <cell r="Q6">
            <v>1552</v>
          </cell>
        </row>
        <row r="7">
          <cell r="B7" t="str">
            <v>ALHAMBRA 110595016</v>
          </cell>
          <cell r="C7">
            <v>14101105</v>
          </cell>
          <cell r="D7" t="str">
            <v>ALHAMBRA 1105</v>
          </cell>
          <cell r="E7">
            <v>95016</v>
          </cell>
          <cell r="F7" t="b">
            <v>0</v>
          </cell>
          <cell r="G7">
            <v>7771.8455247162501</v>
          </cell>
          <cell r="H7">
            <v>1223.0109167552901</v>
          </cell>
          <cell r="I7">
            <v>69</v>
          </cell>
          <cell r="J7">
            <v>5.7126263521016499E-5</v>
          </cell>
          <cell r="K7">
            <v>2857</v>
          </cell>
          <cell r="L7">
            <v>109.098335478788</v>
          </cell>
          <cell r="M7">
            <v>1914</v>
          </cell>
          <cell r="N7">
            <v>1.00664457114916E-2</v>
          </cell>
          <cell r="O7">
            <v>1957</v>
          </cell>
          <cell r="P7">
            <v>0.02</v>
          </cell>
          <cell r="Q7">
            <v>2499</v>
          </cell>
        </row>
        <row r="8">
          <cell r="B8" t="str">
            <v>ALHAMBRA 1105CB</v>
          </cell>
          <cell r="C8">
            <v>14101105</v>
          </cell>
          <cell r="D8" t="str">
            <v>ALHAMBRA 1105</v>
          </cell>
          <cell r="E8" t="str">
            <v>CB</v>
          </cell>
          <cell r="F8" t="b">
            <v>0</v>
          </cell>
          <cell r="G8">
            <v>3053.2386592745002</v>
          </cell>
          <cell r="H8">
            <v>1333.5261714676999</v>
          </cell>
          <cell r="I8">
            <v>33</v>
          </cell>
          <cell r="J8">
            <v>7.2893212911201902E-5</v>
          </cell>
          <cell r="K8">
            <v>2396</v>
          </cell>
          <cell r="L8">
            <v>1.98616677300014</v>
          </cell>
          <cell r="M8">
            <v>2843</v>
          </cell>
          <cell r="N8">
            <v>1.88647189354837E-4</v>
          </cell>
          <cell r="O8">
            <v>2843</v>
          </cell>
          <cell r="P8">
            <v>0.02</v>
          </cell>
          <cell r="Q8">
            <v>2444</v>
          </cell>
        </row>
        <row r="9">
          <cell r="B9" t="str">
            <v>ALLEGHANY 11011101/2</v>
          </cell>
          <cell r="C9">
            <v>152101101</v>
          </cell>
          <cell r="D9" t="str">
            <v>ALLEGHANY 1101</v>
          </cell>
          <cell r="E9" t="str">
            <v>1101/2</v>
          </cell>
          <cell r="F9" t="b">
            <v>1</v>
          </cell>
          <cell r="G9">
            <v>32.882416896660999</v>
          </cell>
          <cell r="H9">
            <v>32.882416896660999</v>
          </cell>
          <cell r="I9">
            <v>1</v>
          </cell>
          <cell r="J9">
            <v>2.6848874404095102E-4</v>
          </cell>
          <cell r="K9">
            <v>175</v>
          </cell>
          <cell r="L9">
            <v>6.6431305302790802E-2</v>
          </cell>
          <cell r="M9">
            <v>3046</v>
          </cell>
          <cell r="N9">
            <v>1.78360577257472E-5</v>
          </cell>
          <cell r="O9">
            <v>2977</v>
          </cell>
          <cell r="Q9">
            <v>3493</v>
          </cell>
        </row>
        <row r="10">
          <cell r="B10" t="str">
            <v>ALLEGHANY 11011101/2</v>
          </cell>
          <cell r="C10">
            <v>152101101</v>
          </cell>
          <cell r="D10" t="str">
            <v>ALLEGHANY 1101</v>
          </cell>
          <cell r="E10" t="str">
            <v>1101/2</v>
          </cell>
          <cell r="F10" t="b">
            <v>1</v>
          </cell>
          <cell r="G10">
            <v>36.983949396378897</v>
          </cell>
          <cell r="H10">
            <v>36.983949396378897</v>
          </cell>
          <cell r="I10">
            <v>1</v>
          </cell>
          <cell r="J10">
            <v>1.2061490269843399E-4</v>
          </cell>
          <cell r="K10">
            <v>1175</v>
          </cell>
          <cell r="L10">
            <v>6.6431305302790802E-2</v>
          </cell>
          <cell r="M10">
            <v>3045</v>
          </cell>
          <cell r="N10">
            <v>8.0126054252261407E-6</v>
          </cell>
          <cell r="O10">
            <v>3124</v>
          </cell>
          <cell r="Q10">
            <v>3540</v>
          </cell>
        </row>
        <row r="11">
          <cell r="B11" t="str">
            <v>ALLEGHANY 1101804</v>
          </cell>
          <cell r="C11">
            <v>152101101</v>
          </cell>
          <cell r="D11" t="str">
            <v>ALLEGHANY 1101</v>
          </cell>
          <cell r="E11">
            <v>804</v>
          </cell>
          <cell r="F11" t="b">
            <v>0</v>
          </cell>
          <cell r="G11">
            <v>35223.487763612</v>
          </cell>
          <cell r="H11">
            <v>35223.487763612</v>
          </cell>
          <cell r="I11">
            <v>163</v>
          </cell>
          <cell r="J11">
            <v>9.1105501418061995E-5</v>
          </cell>
          <cell r="K11">
            <v>1878</v>
          </cell>
          <cell r="L11">
            <v>209.493325088527</v>
          </cell>
          <cell r="M11">
            <v>1620</v>
          </cell>
          <cell r="N11">
            <v>1.6525043058226101E-2</v>
          </cell>
          <cell r="O11">
            <v>1753</v>
          </cell>
          <cell r="P11">
            <v>22.85</v>
          </cell>
          <cell r="Q11">
            <v>291</v>
          </cell>
        </row>
        <row r="12">
          <cell r="B12" t="str">
            <v>ALLEGHANY 1101806</v>
          </cell>
          <cell r="C12">
            <v>152101101</v>
          </cell>
          <cell r="D12" t="str">
            <v>ALLEGHANY 1101</v>
          </cell>
          <cell r="E12">
            <v>806</v>
          </cell>
          <cell r="F12" t="b">
            <v>0</v>
          </cell>
          <cell r="G12">
            <v>18143.391548773201</v>
          </cell>
          <cell r="H12">
            <v>18143.391548773201</v>
          </cell>
          <cell r="I12">
            <v>65</v>
          </cell>
          <cell r="J12">
            <v>1.21681741092061E-4</v>
          </cell>
          <cell r="K12">
            <v>1154</v>
          </cell>
          <cell r="L12">
            <v>338.72736778467402</v>
          </cell>
          <cell r="M12">
            <v>1390</v>
          </cell>
          <cell r="N12">
            <v>3.0866576962287499E-2</v>
          </cell>
          <cell r="O12">
            <v>1446</v>
          </cell>
          <cell r="P12">
            <v>48.53</v>
          </cell>
          <cell r="Q12">
            <v>127</v>
          </cell>
        </row>
        <row r="13">
          <cell r="B13" t="str">
            <v>ALLEGHANY 1101808</v>
          </cell>
          <cell r="C13">
            <v>152101101</v>
          </cell>
          <cell r="D13" t="str">
            <v>ALLEGHANY 1101</v>
          </cell>
          <cell r="E13">
            <v>808</v>
          </cell>
          <cell r="F13" t="b">
            <v>0</v>
          </cell>
          <cell r="G13">
            <v>9941.3745219259599</v>
          </cell>
          <cell r="H13">
            <v>9941.3745219259599</v>
          </cell>
          <cell r="I13">
            <v>23</v>
          </cell>
          <cell r="J13">
            <v>8.8813584377269494E-5</v>
          </cell>
          <cell r="K13">
            <v>1958</v>
          </cell>
          <cell r="L13">
            <v>107.55248367168601</v>
          </cell>
          <cell r="M13">
            <v>1920</v>
          </cell>
          <cell r="N13">
            <v>1.03605425493266E-2</v>
          </cell>
          <cell r="O13">
            <v>1944</v>
          </cell>
          <cell r="P13">
            <v>0.23</v>
          </cell>
          <cell r="Q13">
            <v>1116</v>
          </cell>
        </row>
        <row r="14">
          <cell r="B14" t="str">
            <v>ALLEGHANY 1101978</v>
          </cell>
          <cell r="C14">
            <v>152101101</v>
          </cell>
          <cell r="D14" t="str">
            <v>ALLEGHANY 1101</v>
          </cell>
          <cell r="E14">
            <v>978</v>
          </cell>
          <cell r="F14" t="b">
            <v>0</v>
          </cell>
          <cell r="G14">
            <v>47571.500979636599</v>
          </cell>
          <cell r="H14">
            <v>22458.202142680198</v>
          </cell>
          <cell r="I14">
            <v>130</v>
          </cell>
          <cell r="J14">
            <v>3.63768591041017E-5</v>
          </cell>
          <cell r="K14">
            <v>3326</v>
          </cell>
          <cell r="L14">
            <v>24.864425332283499</v>
          </cell>
          <cell r="M14">
            <v>2391</v>
          </cell>
          <cell r="N14">
            <v>5.5147912476888198E-4</v>
          </cell>
          <cell r="O14">
            <v>2720</v>
          </cell>
          <cell r="P14">
            <v>7.0000000000000007E-2</v>
          </cell>
          <cell r="Q14">
            <v>1680</v>
          </cell>
        </row>
        <row r="15">
          <cell r="B15" t="str">
            <v>ALLEGHANY 1101CB</v>
          </cell>
          <cell r="C15">
            <v>152101101</v>
          </cell>
          <cell r="D15" t="str">
            <v>ALLEGHANY 1101</v>
          </cell>
          <cell r="E15" t="str">
            <v>CB</v>
          </cell>
          <cell r="F15" t="b">
            <v>0</v>
          </cell>
          <cell r="G15">
            <v>7034.6563030327598</v>
          </cell>
          <cell r="H15">
            <v>7034.6563030327598</v>
          </cell>
          <cell r="I15">
            <v>40</v>
          </cell>
          <cell r="J15">
            <v>1.2823654060412001E-4</v>
          </cell>
          <cell r="K15">
            <v>1044</v>
          </cell>
          <cell r="L15">
            <v>93.966919526177406</v>
          </cell>
          <cell r="M15">
            <v>1986</v>
          </cell>
          <cell r="N15">
            <v>1.40573980457647E-2</v>
          </cell>
          <cell r="O15">
            <v>1817</v>
          </cell>
          <cell r="P15">
            <v>38.69</v>
          </cell>
          <cell r="Q15">
            <v>195</v>
          </cell>
        </row>
        <row r="16">
          <cell r="B16" t="str">
            <v>ALLEGHANY 1101VR816</v>
          </cell>
          <cell r="C16">
            <v>152101101</v>
          </cell>
          <cell r="D16" t="str">
            <v>ALLEGHANY 1101</v>
          </cell>
          <cell r="E16" t="str">
            <v>VR816</v>
          </cell>
          <cell r="F16" t="b">
            <v>0</v>
          </cell>
          <cell r="G16">
            <v>6675.89352232279</v>
          </cell>
          <cell r="H16">
            <v>6675.89352232279</v>
          </cell>
          <cell r="I16">
            <v>49</v>
          </cell>
          <cell r="J16">
            <v>2.10024129120604E-4</v>
          </cell>
          <cell r="K16">
            <v>359</v>
          </cell>
          <cell r="L16">
            <v>34.026484742387403</v>
          </cell>
          <cell r="M16">
            <v>2312</v>
          </cell>
          <cell r="N16">
            <v>8.8541015381864707E-3</v>
          </cell>
          <cell r="O16">
            <v>2010</v>
          </cell>
          <cell r="P16">
            <v>78.58</v>
          </cell>
          <cell r="Q16">
            <v>51</v>
          </cell>
        </row>
        <row r="17">
          <cell r="B17" t="str">
            <v>ALLEGHANY 11021101/2</v>
          </cell>
          <cell r="C17">
            <v>152101102</v>
          </cell>
          <cell r="D17" t="str">
            <v>ALLEGHANY 1102</v>
          </cell>
          <cell r="E17" t="str">
            <v>1101/2</v>
          </cell>
          <cell r="F17" t="b">
            <v>1</v>
          </cell>
          <cell r="G17">
            <v>31.189663899521801</v>
          </cell>
          <cell r="H17">
            <v>31.189663899521801</v>
          </cell>
          <cell r="I17">
            <v>1</v>
          </cell>
          <cell r="J17">
            <v>1.61413074238225E-4</v>
          </cell>
          <cell r="K17">
            <v>627</v>
          </cell>
          <cell r="L17">
            <v>6.6431305302790802E-2</v>
          </cell>
          <cell r="M17">
            <v>3050</v>
          </cell>
          <cell r="N17">
            <v>1.0722881214581599E-5</v>
          </cell>
          <cell r="O17">
            <v>3054</v>
          </cell>
          <cell r="Q17">
            <v>3431</v>
          </cell>
        </row>
        <row r="18">
          <cell r="B18" t="str">
            <v>ALLEGHANY 1102CB</v>
          </cell>
          <cell r="C18">
            <v>152101102</v>
          </cell>
          <cell r="D18" t="str">
            <v>ALLEGHANY 1102</v>
          </cell>
          <cell r="E18" t="str">
            <v>CB</v>
          </cell>
          <cell r="F18" t="b">
            <v>0</v>
          </cell>
          <cell r="G18">
            <v>28981.299213656501</v>
          </cell>
          <cell r="H18">
            <v>28981.299213656501</v>
          </cell>
          <cell r="I18">
            <v>104</v>
          </cell>
          <cell r="J18">
            <v>1.2952794226618001E-4</v>
          </cell>
          <cell r="K18">
            <v>1019</v>
          </cell>
          <cell r="L18">
            <v>141.791463766665</v>
          </cell>
          <cell r="M18">
            <v>1804</v>
          </cell>
          <cell r="N18">
            <v>1.8203862699012099E-2</v>
          </cell>
          <cell r="O18">
            <v>1700</v>
          </cell>
          <cell r="P18">
            <v>44.04</v>
          </cell>
          <cell r="Q18">
            <v>162</v>
          </cell>
        </row>
        <row r="19">
          <cell r="B19" t="str">
            <v>ALTO 11201214</v>
          </cell>
          <cell r="C19">
            <v>42031120</v>
          </cell>
          <cell r="D19" t="str">
            <v>ALTO 1120</v>
          </cell>
          <cell r="E19">
            <v>1214</v>
          </cell>
          <cell r="F19" t="b">
            <v>0</v>
          </cell>
          <cell r="G19">
            <v>7293.1720657382002</v>
          </cell>
          <cell r="H19">
            <v>5549.8667741443896</v>
          </cell>
          <cell r="I19">
            <v>45</v>
          </cell>
          <cell r="J19">
            <v>4.7943712216793799E-5</v>
          </cell>
          <cell r="K19">
            <v>3095</v>
          </cell>
          <cell r="L19">
            <v>64.013058329787498</v>
          </cell>
          <cell r="M19">
            <v>2129</v>
          </cell>
          <cell r="N19">
            <v>4.1320010123212696E-3</v>
          </cell>
          <cell r="O19">
            <v>2251</v>
          </cell>
          <cell r="P19">
            <v>0.05</v>
          </cell>
          <cell r="Q19">
            <v>2016</v>
          </cell>
        </row>
        <row r="20">
          <cell r="B20" t="str">
            <v>ALTO 1120500</v>
          </cell>
          <cell r="C20">
            <v>42031120</v>
          </cell>
          <cell r="D20" t="str">
            <v>ALTO 1120</v>
          </cell>
          <cell r="E20">
            <v>500</v>
          </cell>
          <cell r="F20" t="b">
            <v>1</v>
          </cell>
          <cell r="G20">
            <v>5066.4275080494499</v>
          </cell>
          <cell r="H20">
            <v>426.221075069856</v>
          </cell>
          <cell r="I20">
            <v>39</v>
          </cell>
          <cell r="J20">
            <v>1.6529061729040801E-5</v>
          </cell>
          <cell r="K20">
            <v>3573</v>
          </cell>
          <cell r="L20">
            <v>6.5311723412611503E-2</v>
          </cell>
          <cell r="M20">
            <v>3454</v>
          </cell>
          <cell r="N20">
            <v>1.07769317181035E-6</v>
          </cell>
          <cell r="O20">
            <v>3585</v>
          </cell>
          <cell r="Q20">
            <v>2856</v>
          </cell>
        </row>
        <row r="21">
          <cell r="B21" t="str">
            <v>ALTO 112081716</v>
          </cell>
          <cell r="C21">
            <v>42031120</v>
          </cell>
          <cell r="D21" t="str">
            <v>ALTO 1120</v>
          </cell>
          <cell r="E21">
            <v>81716</v>
          </cell>
          <cell r="F21" t="b">
            <v>1</v>
          </cell>
          <cell r="G21">
            <v>406.75047741699501</v>
          </cell>
          <cell r="H21">
            <v>406.75047741699501</v>
          </cell>
          <cell r="I21">
            <v>5</v>
          </cell>
          <cell r="J21">
            <v>4.9207363008463199E-5</v>
          </cell>
          <cell r="K21">
            <v>3059</v>
          </cell>
          <cell r="L21">
            <v>6.6431909799575806E-2</v>
          </cell>
          <cell r="M21">
            <v>2971</v>
          </cell>
          <cell r="N21">
            <v>3.2689391008532101E-6</v>
          </cell>
          <cell r="O21">
            <v>3384</v>
          </cell>
          <cell r="Q21">
            <v>3512</v>
          </cell>
        </row>
        <row r="22">
          <cell r="B22" t="str">
            <v>ALTO 112088190</v>
          </cell>
          <cell r="C22">
            <v>42031120</v>
          </cell>
          <cell r="D22" t="str">
            <v>ALTO 1120</v>
          </cell>
          <cell r="E22">
            <v>88190</v>
          </cell>
          <cell r="F22" t="b">
            <v>1</v>
          </cell>
          <cell r="G22">
            <v>4658.76368283791</v>
          </cell>
          <cell r="H22">
            <v>163.03482307986201</v>
          </cell>
          <cell r="I22">
            <v>34</v>
          </cell>
          <cell r="J22">
            <v>1.31436308412744E-5</v>
          </cell>
          <cell r="K22">
            <v>3598</v>
          </cell>
          <cell r="L22">
            <v>6.5222679479895601E-2</v>
          </cell>
          <cell r="M22">
            <v>3499</v>
          </cell>
          <cell r="N22">
            <v>8.5762715721742996E-7</v>
          </cell>
          <cell r="O22">
            <v>3602</v>
          </cell>
          <cell r="P22">
            <v>0.01</v>
          </cell>
          <cell r="Q22">
            <v>2609</v>
          </cell>
        </row>
        <row r="23">
          <cell r="B23" t="str">
            <v>ALTO 11221212</v>
          </cell>
          <cell r="C23">
            <v>42031122</v>
          </cell>
          <cell r="D23" t="str">
            <v>ALTO 1122</v>
          </cell>
          <cell r="E23">
            <v>1212</v>
          </cell>
          <cell r="F23" t="b">
            <v>0</v>
          </cell>
          <cell r="G23">
            <v>3797.01711902341</v>
          </cell>
          <cell r="H23">
            <v>2977.1940924287101</v>
          </cell>
          <cell r="I23">
            <v>25</v>
          </cell>
          <cell r="J23">
            <v>1.0852753315703E-4</v>
          </cell>
          <cell r="K23">
            <v>1436</v>
          </cell>
          <cell r="L23">
            <v>197.82438996099299</v>
          </cell>
          <cell r="M23">
            <v>1646</v>
          </cell>
          <cell r="N23">
            <v>4.3056301426827301E-2</v>
          </cell>
          <cell r="O23">
            <v>1255</v>
          </cell>
          <cell r="P23">
            <v>28.71</v>
          </cell>
          <cell r="Q23">
            <v>247</v>
          </cell>
        </row>
        <row r="24">
          <cell r="B24" t="str">
            <v>ALTO 11221260</v>
          </cell>
          <cell r="C24">
            <v>42031122</v>
          </cell>
          <cell r="D24" t="str">
            <v>ALTO 1122</v>
          </cell>
          <cell r="E24">
            <v>1260</v>
          </cell>
          <cell r="F24" t="b">
            <v>0</v>
          </cell>
          <cell r="G24">
            <v>4901.8674250412996</v>
          </cell>
          <cell r="H24">
            <v>4807.0968629156796</v>
          </cell>
          <cell r="I24">
            <v>36</v>
          </cell>
          <cell r="J24">
            <v>2.3996172745278699E-4</v>
          </cell>
          <cell r="K24">
            <v>246</v>
          </cell>
          <cell r="L24">
            <v>168.43140960648</v>
          </cell>
          <cell r="M24">
            <v>1724</v>
          </cell>
          <cell r="N24">
            <v>3.8664789242379101E-2</v>
          </cell>
          <cell r="O24">
            <v>1323</v>
          </cell>
          <cell r="Q24">
            <v>2682</v>
          </cell>
        </row>
        <row r="25">
          <cell r="B25" t="str">
            <v>ALTO 1122591122</v>
          </cell>
          <cell r="C25">
            <v>42031122</v>
          </cell>
          <cell r="D25" t="str">
            <v>ALTO 1122</v>
          </cell>
          <cell r="E25">
            <v>591122</v>
          </cell>
          <cell r="F25" t="b">
            <v>1</v>
          </cell>
          <cell r="G25">
            <v>748.68206863518003</v>
          </cell>
          <cell r="H25">
            <v>748.68206863518003</v>
          </cell>
          <cell r="I25">
            <v>7</v>
          </cell>
          <cell r="J25">
            <v>2.20327829343399E-4</v>
          </cell>
          <cell r="K25">
            <v>319</v>
          </cell>
          <cell r="L25">
            <v>51.000073453437203</v>
          </cell>
          <cell r="M25">
            <v>2207</v>
          </cell>
          <cell r="N25">
            <v>1.06488231083422E-2</v>
          </cell>
          <cell r="O25">
            <v>1935</v>
          </cell>
          <cell r="Q25">
            <v>3085</v>
          </cell>
        </row>
        <row r="26">
          <cell r="B26" t="str">
            <v>ALTO 112265474</v>
          </cell>
          <cell r="C26">
            <v>42031122</v>
          </cell>
          <cell r="D26" t="str">
            <v>ALTO 1122</v>
          </cell>
          <cell r="E26">
            <v>65474</v>
          </cell>
          <cell r="F26" t="b">
            <v>0</v>
          </cell>
          <cell r="G26">
            <v>5862.68164849608</v>
          </cell>
          <cell r="H26">
            <v>3837.7425075358201</v>
          </cell>
          <cell r="I26">
            <v>47</v>
          </cell>
          <cell r="J26">
            <v>6.4375943227477805E-5</v>
          </cell>
          <cell r="K26">
            <v>2630</v>
          </cell>
          <cell r="L26">
            <v>6.5968332668886104E-2</v>
          </cell>
          <cell r="M26">
            <v>3227</v>
          </cell>
          <cell r="N26">
            <v>4.26376613586621E-6</v>
          </cell>
          <cell r="O26">
            <v>3315</v>
          </cell>
          <cell r="P26">
            <v>0.05</v>
          </cell>
          <cell r="Q26">
            <v>2056</v>
          </cell>
        </row>
        <row r="27">
          <cell r="B27" t="str">
            <v>ALTO 112278672</v>
          </cell>
          <cell r="C27">
            <v>42031122</v>
          </cell>
          <cell r="D27" t="str">
            <v>ALTO 1122</v>
          </cell>
          <cell r="E27">
            <v>78672</v>
          </cell>
          <cell r="F27" t="b">
            <v>0</v>
          </cell>
          <cell r="G27">
            <v>14393.478723009201</v>
          </cell>
          <cell r="H27">
            <v>6078.7897714523997</v>
          </cell>
          <cell r="I27">
            <v>123</v>
          </cell>
          <cell r="J27">
            <v>7.9821269071183703E-5</v>
          </cell>
          <cell r="K27">
            <v>2211</v>
          </cell>
          <cell r="L27">
            <v>9.5345842784359895</v>
          </cell>
          <cell r="M27">
            <v>2635</v>
          </cell>
          <cell r="N27">
            <v>2.18826214215409E-3</v>
          </cell>
          <cell r="O27">
            <v>2452</v>
          </cell>
          <cell r="P27">
            <v>0.15</v>
          </cell>
          <cell r="Q27">
            <v>1304</v>
          </cell>
        </row>
        <row r="28">
          <cell r="B28" t="str">
            <v>ALTO 1122CB</v>
          </cell>
          <cell r="C28">
            <v>42031122</v>
          </cell>
          <cell r="D28" t="str">
            <v>ALTO 1122</v>
          </cell>
          <cell r="E28" t="str">
            <v>CB</v>
          </cell>
          <cell r="F28" t="b">
            <v>0</v>
          </cell>
          <cell r="G28">
            <v>5576.1235687900298</v>
          </cell>
          <cell r="H28">
            <v>3611.6831317964202</v>
          </cell>
          <cell r="I28">
            <v>46</v>
          </cell>
          <cell r="J28">
            <v>5.0453095433983002E-5</v>
          </cell>
          <cell r="K28">
            <v>3026</v>
          </cell>
          <cell r="L28">
            <v>6.5846945355088699E-2</v>
          </cell>
          <cell r="M28">
            <v>3255</v>
          </cell>
          <cell r="N28">
            <v>3.3325146327895101E-6</v>
          </cell>
          <cell r="O28">
            <v>3380</v>
          </cell>
          <cell r="P28">
            <v>0.18</v>
          </cell>
          <cell r="Q28">
            <v>1221</v>
          </cell>
        </row>
        <row r="29">
          <cell r="B29" t="str">
            <v>ALTO 1123820379</v>
          </cell>
          <cell r="C29">
            <v>42031123</v>
          </cell>
          <cell r="D29" t="str">
            <v>ALTO 1123</v>
          </cell>
          <cell r="E29">
            <v>820379</v>
          </cell>
          <cell r="F29" t="b">
            <v>1</v>
          </cell>
          <cell r="G29">
            <v>298.22277074662497</v>
          </cell>
          <cell r="H29">
            <v>245.29113302261899</v>
          </cell>
          <cell r="I29">
            <v>2</v>
          </cell>
          <cell r="J29">
            <v>2.6135600592169699E-5</v>
          </cell>
          <cell r="K29">
            <v>3485</v>
          </cell>
          <cell r="L29">
            <v>6.6431380861030107E-2</v>
          </cell>
          <cell r="M29">
            <v>3032</v>
          </cell>
          <cell r="N29">
            <v>1.73622403697019E-6</v>
          </cell>
          <cell r="O29">
            <v>3533</v>
          </cell>
          <cell r="Q29">
            <v>3139</v>
          </cell>
        </row>
        <row r="30">
          <cell r="B30" t="str">
            <v>ALTO 1123CB</v>
          </cell>
          <cell r="C30">
            <v>42031123</v>
          </cell>
          <cell r="D30" t="str">
            <v>ALTO 1123</v>
          </cell>
          <cell r="E30" t="str">
            <v>CB</v>
          </cell>
          <cell r="F30" t="b">
            <v>1</v>
          </cell>
          <cell r="G30">
            <v>9405.5467531950399</v>
          </cell>
          <cell r="H30">
            <v>893.64617118189994</v>
          </cell>
          <cell r="I30">
            <v>84</v>
          </cell>
          <cell r="J30">
            <v>1.7812694534912101E-5</v>
          </cell>
          <cell r="K30">
            <v>3561</v>
          </cell>
          <cell r="L30">
            <v>6.5257871472116105E-2</v>
          </cell>
          <cell r="M30">
            <v>3477</v>
          </cell>
          <cell r="N30">
            <v>1.1647545311853901E-6</v>
          </cell>
          <cell r="O30">
            <v>3575</v>
          </cell>
          <cell r="P30">
            <v>0.03</v>
          </cell>
          <cell r="Q30">
            <v>2356</v>
          </cell>
        </row>
        <row r="31">
          <cell r="B31" t="str">
            <v>ALTO 1124246034</v>
          </cell>
          <cell r="C31">
            <v>42031124</v>
          </cell>
          <cell r="D31" t="str">
            <v>ALTO 1124</v>
          </cell>
          <cell r="E31">
            <v>246034</v>
          </cell>
          <cell r="F31" t="b">
            <v>1</v>
          </cell>
          <cell r="G31">
            <v>413.53554782104999</v>
          </cell>
          <cell r="H31">
            <v>202.275808357443</v>
          </cell>
          <cell r="I31">
            <v>4</v>
          </cell>
          <cell r="J31">
            <v>1.9193302932762799E-5</v>
          </cell>
          <cell r="K31">
            <v>3549</v>
          </cell>
          <cell r="L31">
            <v>6.5471236815555001E-2</v>
          </cell>
          <cell r="M31">
            <v>3380</v>
          </cell>
          <cell r="N31">
            <v>1.25784810383374E-6</v>
          </cell>
          <cell r="O31">
            <v>3567</v>
          </cell>
          <cell r="Q31">
            <v>3188</v>
          </cell>
        </row>
        <row r="32">
          <cell r="B32" t="str">
            <v>ALTO 11243121</v>
          </cell>
          <cell r="C32">
            <v>42031124</v>
          </cell>
          <cell r="D32" t="str">
            <v>ALTO 1124</v>
          </cell>
          <cell r="E32">
            <v>3121</v>
          </cell>
          <cell r="F32" t="b">
            <v>0</v>
          </cell>
          <cell r="G32">
            <v>4501.3903878763003</v>
          </cell>
          <cell r="H32">
            <v>4501.3903878763003</v>
          </cell>
          <cell r="I32">
            <v>36</v>
          </cell>
          <cell r="J32">
            <v>1.37795315216256E-4</v>
          </cell>
          <cell r="K32">
            <v>897</v>
          </cell>
          <cell r="L32">
            <v>129.41678146722001</v>
          </cell>
          <cell r="M32">
            <v>1846</v>
          </cell>
          <cell r="N32">
            <v>1.6885453385444799E-2</v>
          </cell>
          <cell r="O32">
            <v>1741</v>
          </cell>
          <cell r="P32">
            <v>54.14</v>
          </cell>
          <cell r="Q32">
            <v>108</v>
          </cell>
        </row>
        <row r="33">
          <cell r="B33" t="str">
            <v>ALTO 1124319320</v>
          </cell>
          <cell r="C33">
            <v>42031124</v>
          </cell>
          <cell r="D33" t="str">
            <v>ALTO 1124</v>
          </cell>
          <cell r="E33">
            <v>319320</v>
          </cell>
          <cell r="F33" t="b">
            <v>1</v>
          </cell>
          <cell r="G33">
            <v>221.625213271635</v>
          </cell>
          <cell r="H33">
            <v>210.617232935462</v>
          </cell>
          <cell r="I33">
            <v>3</v>
          </cell>
          <cell r="J33">
            <v>7.0010156681140205E-5</v>
          </cell>
          <cell r="K33">
            <v>2472</v>
          </cell>
          <cell r="L33">
            <v>6.55779194872744E-2</v>
          </cell>
          <cell r="M33">
            <v>3340</v>
          </cell>
          <cell r="N33">
            <v>4.6147668289271697E-6</v>
          </cell>
          <cell r="O33">
            <v>3287</v>
          </cell>
          <cell r="Q33">
            <v>3552</v>
          </cell>
        </row>
        <row r="34">
          <cell r="B34" t="str">
            <v>ALTO 11243745</v>
          </cell>
          <cell r="C34">
            <v>42031124</v>
          </cell>
          <cell r="D34" t="str">
            <v>ALTO 1124</v>
          </cell>
          <cell r="E34">
            <v>3745</v>
          </cell>
          <cell r="F34" t="b">
            <v>0</v>
          </cell>
          <cell r="G34">
            <v>7247.2343248194702</v>
          </cell>
          <cell r="H34">
            <v>7247.2343248194702</v>
          </cell>
          <cell r="I34">
            <v>52</v>
          </cell>
          <cell r="J34">
            <v>1.83266722720313E-4</v>
          </cell>
          <cell r="K34">
            <v>486</v>
          </cell>
          <cell r="L34">
            <v>535.78149433009901</v>
          </cell>
          <cell r="M34">
            <v>1164</v>
          </cell>
          <cell r="N34">
            <v>5.7415175208607103E-2</v>
          </cell>
          <cell r="O34">
            <v>1087</v>
          </cell>
          <cell r="P34">
            <v>1.01</v>
          </cell>
          <cell r="Q34">
            <v>730</v>
          </cell>
        </row>
        <row r="35">
          <cell r="B35" t="str">
            <v>ALTO 1124428</v>
          </cell>
          <cell r="C35">
            <v>42031124</v>
          </cell>
          <cell r="D35" t="str">
            <v>ALTO 1124</v>
          </cell>
          <cell r="E35">
            <v>428</v>
          </cell>
          <cell r="F35" t="b">
            <v>1</v>
          </cell>
          <cell r="G35">
            <v>2739.6912435723698</v>
          </cell>
          <cell r="H35">
            <v>0</v>
          </cell>
          <cell r="I35">
            <v>21</v>
          </cell>
          <cell r="J35">
            <v>5.3943857156333401E-5</v>
          </cell>
          <cell r="K35">
            <v>2943</v>
          </cell>
          <cell r="L35">
            <v>6.5212150327093404E-2</v>
          </cell>
          <cell r="M35">
            <v>3505</v>
          </cell>
          <cell r="N35">
            <v>3.5167451317916002E-6</v>
          </cell>
          <cell r="O35">
            <v>3365</v>
          </cell>
          <cell r="P35">
            <v>0.37</v>
          </cell>
          <cell r="Q35">
            <v>964</v>
          </cell>
        </row>
        <row r="36">
          <cell r="B36" t="str">
            <v>ALTO 1124430</v>
          </cell>
          <cell r="C36">
            <v>42031124</v>
          </cell>
          <cell r="D36" t="str">
            <v>ALTO 1124</v>
          </cell>
          <cell r="E36">
            <v>430</v>
          </cell>
          <cell r="F36" t="b">
            <v>0</v>
          </cell>
          <cell r="G36">
            <v>11355.597944986301</v>
          </cell>
          <cell r="H36">
            <v>11355.597944986301</v>
          </cell>
          <cell r="I36">
            <v>92</v>
          </cell>
          <cell r="J36">
            <v>1.37843809457278E-4</v>
          </cell>
          <cell r="K36">
            <v>896</v>
          </cell>
          <cell r="L36">
            <v>143.44768672535099</v>
          </cell>
          <cell r="M36">
            <v>1796</v>
          </cell>
          <cell r="N36">
            <v>1.6310573384325601E-2</v>
          </cell>
          <cell r="O36">
            <v>1759</v>
          </cell>
          <cell r="P36">
            <v>1.1399999999999999</v>
          </cell>
          <cell r="Q36">
            <v>709</v>
          </cell>
        </row>
        <row r="37">
          <cell r="B37" t="str">
            <v>ALTO 1124432</v>
          </cell>
          <cell r="C37">
            <v>42031124</v>
          </cell>
          <cell r="D37" t="str">
            <v>ALTO 1124</v>
          </cell>
          <cell r="E37">
            <v>432</v>
          </cell>
          <cell r="F37" t="b">
            <v>0</v>
          </cell>
          <cell r="G37">
            <v>12624.335090630701</v>
          </cell>
          <cell r="H37">
            <v>12624.335090630701</v>
          </cell>
          <cell r="I37">
            <v>72</v>
          </cell>
          <cell r="J37">
            <v>1.7278435279877101E-4</v>
          </cell>
          <cell r="K37">
            <v>544</v>
          </cell>
          <cell r="L37">
            <v>132.451097102028</v>
          </cell>
          <cell r="M37">
            <v>1841</v>
          </cell>
          <cell r="N37">
            <v>1.7729499104270598E-2</v>
          </cell>
          <cell r="O37">
            <v>1714</v>
          </cell>
          <cell r="P37">
            <v>0.96</v>
          </cell>
          <cell r="Q37">
            <v>740</v>
          </cell>
        </row>
        <row r="38">
          <cell r="B38" t="str">
            <v>ALTO 1124526955</v>
          </cell>
          <cell r="C38">
            <v>42031124</v>
          </cell>
          <cell r="D38" t="str">
            <v>ALTO 1124</v>
          </cell>
          <cell r="E38">
            <v>526955</v>
          </cell>
          <cell r="F38" t="b">
            <v>1</v>
          </cell>
          <cell r="G38">
            <v>753.54694508769001</v>
          </cell>
          <cell r="H38">
            <v>713.96112822803298</v>
          </cell>
          <cell r="I38">
            <v>6</v>
          </cell>
          <cell r="J38">
            <v>9.0519043927391298E-5</v>
          </cell>
          <cell r="K38">
            <v>1897</v>
          </cell>
          <cell r="L38">
            <v>6.6431380861030107E-2</v>
          </cell>
          <cell r="M38">
            <v>3022</v>
          </cell>
          <cell r="N38">
            <v>6.0133050823168497E-6</v>
          </cell>
          <cell r="O38">
            <v>3209</v>
          </cell>
          <cell r="Q38">
            <v>3070</v>
          </cell>
        </row>
        <row r="39">
          <cell r="B39" t="str">
            <v>ALTO 1124553571</v>
          </cell>
          <cell r="C39">
            <v>42031124</v>
          </cell>
          <cell r="D39" t="str">
            <v>ALTO 1124</v>
          </cell>
          <cell r="E39">
            <v>553571</v>
          </cell>
          <cell r="F39" t="b">
            <v>1</v>
          </cell>
          <cell r="G39">
            <v>319.906117302891</v>
          </cell>
          <cell r="H39">
            <v>174.902858445513</v>
          </cell>
          <cell r="I39">
            <v>4</v>
          </cell>
          <cell r="J39">
            <v>1.16159990284359E-4</v>
          </cell>
          <cell r="K39">
            <v>1267</v>
          </cell>
          <cell r="L39">
            <v>6.5791284830713295E-2</v>
          </cell>
          <cell r="M39">
            <v>3271</v>
          </cell>
          <cell r="N39">
            <v>7.6617366969684805E-6</v>
          </cell>
          <cell r="O39">
            <v>3135</v>
          </cell>
          <cell r="Q39">
            <v>3296</v>
          </cell>
        </row>
        <row r="40">
          <cell r="B40" t="str">
            <v>ALTO 1124810594</v>
          </cell>
          <cell r="C40">
            <v>42031124</v>
          </cell>
          <cell r="D40" t="str">
            <v>ALTO 1124</v>
          </cell>
          <cell r="E40">
            <v>810594</v>
          </cell>
          <cell r="F40" t="b">
            <v>1</v>
          </cell>
          <cell r="G40">
            <v>1080.6363760444799</v>
          </cell>
          <cell r="H40">
            <v>899.40733262299796</v>
          </cell>
          <cell r="I40">
            <v>6</v>
          </cell>
          <cell r="J40">
            <v>1.14503624596788E-4</v>
          </cell>
          <cell r="K40">
            <v>1307</v>
          </cell>
          <cell r="L40">
            <v>459.600835369751</v>
          </cell>
          <cell r="M40">
            <v>1235</v>
          </cell>
          <cell r="N40">
            <v>7.2683502971568698E-2</v>
          </cell>
          <cell r="O40">
            <v>959</v>
          </cell>
          <cell r="Q40">
            <v>3228</v>
          </cell>
        </row>
        <row r="41">
          <cell r="B41" t="str">
            <v>ALTO 1124870444</v>
          </cell>
          <cell r="C41">
            <v>42031124</v>
          </cell>
          <cell r="D41" t="str">
            <v>ALTO 1124</v>
          </cell>
          <cell r="E41">
            <v>870444</v>
          </cell>
          <cell r="F41" t="b">
            <v>0</v>
          </cell>
          <cell r="G41">
            <v>4770.1260523486098</v>
          </cell>
          <cell r="H41">
            <v>4746.5040357216903</v>
          </cell>
          <cell r="I41">
            <v>35</v>
          </cell>
          <cell r="J41">
            <v>1.27869599600671E-4</v>
          </cell>
          <cell r="K41">
            <v>1050</v>
          </cell>
          <cell r="L41">
            <v>122.30712025751799</v>
          </cell>
          <cell r="M41">
            <v>1864</v>
          </cell>
          <cell r="N41">
            <v>1.16658781011146E-2</v>
          </cell>
          <cell r="O41">
            <v>1894</v>
          </cell>
          <cell r="Q41">
            <v>3038</v>
          </cell>
        </row>
        <row r="42">
          <cell r="B42" t="str">
            <v>ALTO 1124884949</v>
          </cell>
          <cell r="C42">
            <v>42031124</v>
          </cell>
          <cell r="D42" t="str">
            <v>ALTO 1124</v>
          </cell>
          <cell r="E42">
            <v>884949</v>
          </cell>
          <cell r="F42" t="b">
            <v>1</v>
          </cell>
          <cell r="G42">
            <v>693.00996223508196</v>
          </cell>
          <cell r="H42">
            <v>312.73354542463397</v>
          </cell>
          <cell r="I42">
            <v>5</v>
          </cell>
          <cell r="J42">
            <v>2.8568915513460501E-5</v>
          </cell>
          <cell r="K42">
            <v>3443</v>
          </cell>
          <cell r="L42">
            <v>6.5663265624649997E-2</v>
          </cell>
          <cell r="M42">
            <v>3319</v>
          </cell>
          <cell r="N42">
            <v>1.87682630342992E-6</v>
          </cell>
          <cell r="O42">
            <v>3518</v>
          </cell>
          <cell r="Q42">
            <v>3352</v>
          </cell>
        </row>
        <row r="43">
          <cell r="B43" t="str">
            <v>ALTO 1124965060</v>
          </cell>
          <cell r="C43">
            <v>42031124</v>
          </cell>
          <cell r="D43" t="str">
            <v>ALTO 1124</v>
          </cell>
          <cell r="E43">
            <v>965060</v>
          </cell>
          <cell r="F43" t="b">
            <v>1</v>
          </cell>
          <cell r="G43">
            <v>112.517080709665</v>
          </cell>
          <cell r="H43">
            <v>99.654286677371402</v>
          </cell>
          <cell r="I43">
            <v>1</v>
          </cell>
          <cell r="J43">
            <v>3.6723318771691898E-5</v>
          </cell>
          <cell r="K43">
            <v>3320</v>
          </cell>
          <cell r="L43">
            <v>6.6431380861030107E-2</v>
          </cell>
          <cell r="M43">
            <v>3036</v>
          </cell>
          <cell r="N43">
            <v>2.43958077580328E-6</v>
          </cell>
          <cell r="O43">
            <v>3472</v>
          </cell>
          <cell r="Q43">
            <v>3624</v>
          </cell>
        </row>
        <row r="44">
          <cell r="B44" t="str">
            <v>ALTO 1124994213</v>
          </cell>
          <cell r="C44">
            <v>42031124</v>
          </cell>
          <cell r="D44" t="str">
            <v>ALTO 1124</v>
          </cell>
          <cell r="E44">
            <v>994213</v>
          </cell>
          <cell r="F44" t="b">
            <v>1</v>
          </cell>
          <cell r="G44">
            <v>860.15344111585102</v>
          </cell>
          <cell r="H44">
            <v>198.779844536751</v>
          </cell>
          <cell r="I44">
            <v>8</v>
          </cell>
          <cell r="J44">
            <v>2.9166656986490101E-5</v>
          </cell>
          <cell r="K44">
            <v>3437</v>
          </cell>
          <cell r="L44">
            <v>6.5311212807975805E-2</v>
          </cell>
          <cell r="M44">
            <v>3455</v>
          </cell>
          <cell r="N44">
            <v>1.9051168178587401E-6</v>
          </cell>
          <cell r="O44">
            <v>3515</v>
          </cell>
          <cell r="Q44">
            <v>3071</v>
          </cell>
        </row>
        <row r="45">
          <cell r="B45" t="str">
            <v>ALTO 1124CB</v>
          </cell>
          <cell r="C45">
            <v>42031124</v>
          </cell>
          <cell r="D45" t="str">
            <v>ALTO 1124</v>
          </cell>
          <cell r="E45" t="str">
            <v>CB</v>
          </cell>
          <cell r="F45" t="b">
            <v>0</v>
          </cell>
          <cell r="G45">
            <v>9084.5964910744606</v>
          </cell>
          <cell r="H45">
            <v>2733.3479990057599</v>
          </cell>
          <cell r="I45">
            <v>81</v>
          </cell>
          <cell r="J45">
            <v>3.9254808063008E-5</v>
          </cell>
          <cell r="K45">
            <v>3280</v>
          </cell>
          <cell r="L45">
            <v>6.5514705723543301E-2</v>
          </cell>
          <cell r="M45">
            <v>3364</v>
          </cell>
          <cell r="N45">
            <v>2.5837721180018902E-6</v>
          </cell>
          <cell r="O45">
            <v>3456</v>
          </cell>
          <cell r="P45">
            <v>0.24</v>
          </cell>
          <cell r="Q45">
            <v>1096</v>
          </cell>
        </row>
        <row r="46">
          <cell r="B46" t="str">
            <v>ALTO 11251158</v>
          </cell>
          <cell r="C46">
            <v>42031125</v>
          </cell>
          <cell r="D46" t="str">
            <v>ALTO 1125</v>
          </cell>
          <cell r="E46">
            <v>1158</v>
          </cell>
          <cell r="F46" t="b">
            <v>0</v>
          </cell>
          <cell r="G46">
            <v>8353.2531254057994</v>
          </cell>
          <cell r="H46">
            <v>3588.3988869251598</v>
          </cell>
          <cell r="I46">
            <v>65</v>
          </cell>
          <cell r="J46">
            <v>5.6862709440489799E-5</v>
          </cell>
          <cell r="K46">
            <v>2865</v>
          </cell>
          <cell r="L46">
            <v>5.9151754877717497</v>
          </cell>
          <cell r="M46">
            <v>2715</v>
          </cell>
          <cell r="N46">
            <v>1.89807074838209E-3</v>
          </cell>
          <cell r="O46">
            <v>2491</v>
          </cell>
          <cell r="P46">
            <v>0.17</v>
          </cell>
          <cell r="Q46">
            <v>1241</v>
          </cell>
        </row>
        <row r="47">
          <cell r="B47" t="str">
            <v>ALTO 11251226</v>
          </cell>
          <cell r="C47">
            <v>42031125</v>
          </cell>
          <cell r="D47" t="str">
            <v>ALTO 1125</v>
          </cell>
          <cell r="E47">
            <v>1226</v>
          </cell>
          <cell r="F47" t="b">
            <v>0</v>
          </cell>
          <cell r="G47">
            <v>12605.0062287075</v>
          </cell>
          <cell r="H47">
            <v>12282.9745054541</v>
          </cell>
          <cell r="I47">
            <v>96</v>
          </cell>
          <cell r="J47">
            <v>1.20730297813527E-4</v>
          </cell>
          <cell r="K47">
            <v>1171</v>
          </cell>
          <cell r="L47">
            <v>0.808953366421862</v>
          </cell>
          <cell r="M47">
            <v>2902</v>
          </cell>
          <cell r="N47">
            <v>2.09164330647288E-4</v>
          </cell>
          <cell r="O47">
            <v>2832</v>
          </cell>
          <cell r="P47">
            <v>1.01</v>
          </cell>
          <cell r="Q47">
            <v>728</v>
          </cell>
        </row>
        <row r="48">
          <cell r="B48" t="str">
            <v>ALTO 11251256</v>
          </cell>
          <cell r="C48">
            <v>42031125</v>
          </cell>
          <cell r="D48" t="str">
            <v>ALTO 1125</v>
          </cell>
          <cell r="E48">
            <v>1256</v>
          </cell>
          <cell r="F48" t="b">
            <v>0</v>
          </cell>
          <cell r="G48">
            <v>12257.9124023884</v>
          </cell>
          <cell r="H48">
            <v>12003.1717853542</v>
          </cell>
          <cell r="I48">
            <v>88</v>
          </cell>
          <cell r="J48">
            <v>4.6725567590948902E-5</v>
          </cell>
          <cell r="K48">
            <v>3121</v>
          </cell>
          <cell r="L48">
            <v>6.6358902999623201E-2</v>
          </cell>
          <cell r="M48">
            <v>3134</v>
          </cell>
          <cell r="N48">
            <v>3.09801894982071E-6</v>
          </cell>
          <cell r="O48">
            <v>3404</v>
          </cell>
          <cell r="P48">
            <v>7.0000000000000007E-2</v>
          </cell>
          <cell r="Q48">
            <v>1720</v>
          </cell>
        </row>
        <row r="49">
          <cell r="B49" t="str">
            <v>ALTO 1125291744</v>
          </cell>
          <cell r="C49">
            <v>42031125</v>
          </cell>
          <cell r="D49" t="str">
            <v>ALTO 1125</v>
          </cell>
          <cell r="E49">
            <v>291744</v>
          </cell>
          <cell r="F49" t="b">
            <v>1</v>
          </cell>
          <cell r="G49">
            <v>231.131413735705</v>
          </cell>
          <cell r="H49">
            <v>195.79086184995199</v>
          </cell>
          <cell r="I49">
            <v>3</v>
          </cell>
          <cell r="J49">
            <v>9.00723171071149E-5</v>
          </cell>
          <cell r="K49">
            <v>1908</v>
          </cell>
          <cell r="L49">
            <v>6.60043022396931E-2</v>
          </cell>
          <cell r="M49">
            <v>3218</v>
          </cell>
          <cell r="N49">
            <v>5.9276460498567097E-6</v>
          </cell>
          <cell r="O49">
            <v>3214</v>
          </cell>
          <cell r="Q49">
            <v>3455</v>
          </cell>
        </row>
        <row r="50">
          <cell r="B50" t="str">
            <v>ALTO 1125296476</v>
          </cell>
          <cell r="C50">
            <v>42031125</v>
          </cell>
          <cell r="D50" t="str">
            <v>ALTO 1125</v>
          </cell>
          <cell r="E50">
            <v>296476</v>
          </cell>
          <cell r="F50" t="b">
            <v>0</v>
          </cell>
          <cell r="G50">
            <v>1196.64430358304</v>
          </cell>
          <cell r="H50">
            <v>1061.0327958482701</v>
          </cell>
          <cell r="I50">
            <v>11</v>
          </cell>
          <cell r="J50">
            <v>1.4202909369487299E-4</v>
          </cell>
          <cell r="K50">
            <v>839</v>
          </cell>
          <cell r="L50">
            <v>6.5848918490060304E-2</v>
          </cell>
          <cell r="M50">
            <v>3254</v>
          </cell>
          <cell r="N50">
            <v>9.3993303029135106E-6</v>
          </cell>
          <cell r="O50">
            <v>3083</v>
          </cell>
          <cell r="Q50">
            <v>3030</v>
          </cell>
        </row>
        <row r="51">
          <cell r="B51" t="str">
            <v>ALTO 1125510</v>
          </cell>
          <cell r="C51">
            <v>42031125</v>
          </cell>
          <cell r="D51" t="str">
            <v>ALTO 1125</v>
          </cell>
          <cell r="E51">
            <v>510</v>
          </cell>
          <cell r="F51" t="b">
            <v>0</v>
          </cell>
          <cell r="G51">
            <v>11861.6385071605</v>
          </cell>
          <cell r="H51">
            <v>11861.6385071605</v>
          </cell>
          <cell r="I51">
            <v>77</v>
          </cell>
          <cell r="J51">
            <v>1.75493804435015E-4</v>
          </cell>
          <cell r="K51">
            <v>525</v>
          </cell>
          <cell r="L51">
            <v>112.752502739817</v>
          </cell>
          <cell r="M51">
            <v>1903</v>
          </cell>
          <cell r="N51">
            <v>1.34655918156608E-2</v>
          </cell>
          <cell r="O51">
            <v>1834</v>
          </cell>
          <cell r="P51">
            <v>48.83</v>
          </cell>
          <cell r="Q51">
            <v>124</v>
          </cell>
        </row>
        <row r="52">
          <cell r="B52" t="str">
            <v>ALTO 1125781759</v>
          </cell>
          <cell r="C52">
            <v>42031125</v>
          </cell>
          <cell r="D52" t="str">
            <v>ALTO 1125</v>
          </cell>
          <cell r="E52">
            <v>781759</v>
          </cell>
          <cell r="F52" t="b">
            <v>1</v>
          </cell>
          <cell r="G52">
            <v>264.55613881699799</v>
          </cell>
          <cell r="H52">
            <v>210.488708995857</v>
          </cell>
          <cell r="I52">
            <v>4</v>
          </cell>
          <cell r="J52">
            <v>3.0571854267691297E-5</v>
          </cell>
          <cell r="K52">
            <v>3422</v>
          </cell>
          <cell r="L52">
            <v>6.5789449959993307E-2</v>
          </cell>
          <cell r="M52">
            <v>3288</v>
          </cell>
          <cell r="N52">
            <v>2.0026326649903501E-6</v>
          </cell>
          <cell r="O52">
            <v>3511</v>
          </cell>
          <cell r="Q52">
            <v>3469</v>
          </cell>
        </row>
        <row r="53">
          <cell r="B53" t="str">
            <v>ALTO 1125902</v>
          </cell>
          <cell r="C53">
            <v>42031125</v>
          </cell>
          <cell r="D53" t="str">
            <v>ALTO 1125</v>
          </cell>
          <cell r="E53">
            <v>902</v>
          </cell>
          <cell r="F53" t="b">
            <v>0</v>
          </cell>
          <cell r="G53">
            <v>19453.8935345707</v>
          </cell>
          <cell r="H53">
            <v>19453.8935345707</v>
          </cell>
          <cell r="I53">
            <v>83</v>
          </cell>
          <cell r="J53">
            <v>9.1472917119972394E-5</v>
          </cell>
          <cell r="K53">
            <v>1858</v>
          </cell>
          <cell r="L53">
            <v>227.24397469458199</v>
          </cell>
          <cell r="M53">
            <v>1592</v>
          </cell>
          <cell r="N53">
            <v>2.0904966997276401E-2</v>
          </cell>
          <cell r="O53">
            <v>1654</v>
          </cell>
          <cell r="P53">
            <v>0.72</v>
          </cell>
          <cell r="Q53">
            <v>798</v>
          </cell>
        </row>
        <row r="54">
          <cell r="B54" t="str">
            <v>ANDERSON 11011752</v>
          </cell>
          <cell r="C54">
            <v>103261101</v>
          </cell>
          <cell r="D54" t="str">
            <v>ANDERSON 1101</v>
          </cell>
          <cell r="E54">
            <v>1752</v>
          </cell>
          <cell r="F54" t="b">
            <v>0</v>
          </cell>
          <cell r="G54">
            <v>16018.613374483601</v>
          </cell>
          <cell r="H54">
            <v>13551.3972770899</v>
          </cell>
          <cell r="I54">
            <v>96</v>
          </cell>
          <cell r="J54">
            <v>9.1598333682141894E-5</v>
          </cell>
          <cell r="K54">
            <v>1854</v>
          </cell>
          <cell r="L54">
            <v>2012.9288313119</v>
          </cell>
          <cell r="M54">
            <v>453</v>
          </cell>
          <cell r="N54">
            <v>0.16095978826906199</v>
          </cell>
          <cell r="O54">
            <v>465</v>
          </cell>
          <cell r="P54">
            <v>0.04</v>
          </cell>
          <cell r="Q54">
            <v>2161</v>
          </cell>
        </row>
        <row r="55">
          <cell r="B55" t="str">
            <v>ANDERSON 1101426745</v>
          </cell>
          <cell r="C55">
            <v>103261101</v>
          </cell>
          <cell r="D55" t="str">
            <v>ANDERSON 1101</v>
          </cell>
          <cell r="E55">
            <v>426745</v>
          </cell>
          <cell r="F55" t="b">
            <v>1</v>
          </cell>
          <cell r="G55">
            <v>328.85614512968698</v>
          </cell>
          <cell r="H55">
            <v>328.85614512968698</v>
          </cell>
          <cell r="I55">
            <v>3</v>
          </cell>
          <cell r="J55">
            <v>2.0047595414022601E-4</v>
          </cell>
          <cell r="K55">
            <v>394</v>
          </cell>
          <cell r="L55">
            <v>1570.5842684757999</v>
          </cell>
          <cell r="M55">
            <v>571</v>
          </cell>
          <cell r="N55">
            <v>0.32224486043686301</v>
          </cell>
          <cell r="O55">
            <v>114</v>
          </cell>
          <cell r="Q55">
            <v>3365</v>
          </cell>
        </row>
        <row r="56">
          <cell r="B56" t="str">
            <v>ANDERSON 1101514412</v>
          </cell>
          <cell r="C56">
            <v>103261101</v>
          </cell>
          <cell r="D56" t="str">
            <v>ANDERSON 1101</v>
          </cell>
          <cell r="E56">
            <v>514412</v>
          </cell>
          <cell r="F56" t="b">
            <v>0</v>
          </cell>
          <cell r="G56">
            <v>1675.5187622716901</v>
          </cell>
          <cell r="H56">
            <v>1659.51678548051</v>
          </cell>
          <cell r="I56">
            <v>5</v>
          </cell>
          <cell r="J56">
            <v>8.0593748134560804E-5</v>
          </cell>
          <cell r="K56">
            <v>2190</v>
          </cell>
          <cell r="L56">
            <v>2318.44584040064</v>
          </cell>
          <cell r="M56">
            <v>382</v>
          </cell>
          <cell r="N56">
            <v>0.16404741485181901</v>
          </cell>
          <cell r="O56">
            <v>452</v>
          </cell>
          <cell r="Q56">
            <v>3090</v>
          </cell>
        </row>
        <row r="57">
          <cell r="B57" t="str">
            <v>ANDERSON 1101561686</v>
          </cell>
          <cell r="C57">
            <v>103261101</v>
          </cell>
          <cell r="D57" t="str">
            <v>ANDERSON 1101</v>
          </cell>
          <cell r="E57">
            <v>561686</v>
          </cell>
          <cell r="F57" t="b">
            <v>1</v>
          </cell>
          <cell r="G57">
            <v>147.20291916852901</v>
          </cell>
          <cell r="H57">
            <v>147.20291916852901</v>
          </cell>
          <cell r="I57">
            <v>1</v>
          </cell>
          <cell r="J57">
            <v>4.4668841292150302E-4</v>
          </cell>
          <cell r="K57">
            <v>47</v>
          </cell>
          <cell r="L57">
            <v>6.6430700806005896E-2</v>
          </cell>
          <cell r="M57">
            <v>3105</v>
          </cell>
          <cell r="N57">
            <v>2.9673824312298001E-5</v>
          </cell>
          <cell r="O57">
            <v>2934</v>
          </cell>
          <cell r="Q57">
            <v>3430</v>
          </cell>
        </row>
        <row r="58">
          <cell r="B58" t="str">
            <v>ANDERSON 1101583708</v>
          </cell>
          <cell r="C58">
            <v>103261101</v>
          </cell>
          <cell r="D58" t="str">
            <v>ANDERSON 1101</v>
          </cell>
          <cell r="E58">
            <v>583708</v>
          </cell>
          <cell r="F58" t="b">
            <v>0</v>
          </cell>
          <cell r="G58">
            <v>1263.07938259759</v>
          </cell>
          <cell r="H58">
            <v>1011.36412481073</v>
          </cell>
          <cell r="I58">
            <v>11</v>
          </cell>
          <cell r="J58">
            <v>9.3797500912015395E-5</v>
          </cell>
          <cell r="K58">
            <v>1800</v>
          </cell>
          <cell r="L58">
            <v>952.22433594525205</v>
          </cell>
          <cell r="M58">
            <v>858</v>
          </cell>
          <cell r="N58">
            <v>6.7761908333982004E-2</v>
          </cell>
          <cell r="O58">
            <v>996</v>
          </cell>
          <cell r="Q58">
            <v>3189</v>
          </cell>
        </row>
        <row r="59">
          <cell r="B59" t="str">
            <v>ANDERSON 1101909424</v>
          </cell>
          <cell r="C59">
            <v>103261101</v>
          </cell>
          <cell r="D59" t="str">
            <v>ANDERSON 1101</v>
          </cell>
          <cell r="E59">
            <v>909424</v>
          </cell>
          <cell r="F59" t="b">
            <v>1</v>
          </cell>
          <cell r="G59">
            <v>642.31557812182905</v>
          </cell>
          <cell r="H59">
            <v>642.31557812182905</v>
          </cell>
          <cell r="I59">
            <v>8</v>
          </cell>
          <cell r="J59">
            <v>1.0292367869624201E-4</v>
          </cell>
          <cell r="K59">
            <v>1571</v>
          </cell>
          <cell r="L59">
            <v>136.92045526198601</v>
          </cell>
          <cell r="M59">
            <v>1825</v>
          </cell>
          <cell r="N59">
            <v>1.4887749662276999E-2</v>
          </cell>
          <cell r="O59">
            <v>1786</v>
          </cell>
          <cell r="Q59">
            <v>3602</v>
          </cell>
        </row>
        <row r="60">
          <cell r="B60" t="str">
            <v>ANDERSON 1101CB</v>
          </cell>
          <cell r="C60">
            <v>103261101</v>
          </cell>
          <cell r="D60" t="str">
            <v>ANDERSON 1101</v>
          </cell>
          <cell r="E60" t="str">
            <v>CB</v>
          </cell>
          <cell r="F60" t="b">
            <v>0</v>
          </cell>
          <cell r="G60">
            <v>10780.8576647564</v>
          </cell>
          <cell r="H60">
            <v>1904.2008550826899</v>
          </cell>
          <cell r="I60">
            <v>85</v>
          </cell>
          <cell r="J60">
            <v>9.0040656720736506E-5</v>
          </cell>
          <cell r="K60">
            <v>1911</v>
          </cell>
          <cell r="L60">
            <v>158.10868562849899</v>
          </cell>
          <cell r="M60">
            <v>1753</v>
          </cell>
          <cell r="N60">
            <v>1.3117254368851999E-2</v>
          </cell>
          <cell r="O60">
            <v>1842</v>
          </cell>
          <cell r="P60">
            <v>0.05</v>
          </cell>
          <cell r="Q60">
            <v>2028</v>
          </cell>
        </row>
        <row r="61">
          <cell r="B61" t="str">
            <v>ANDERSON 11031600</v>
          </cell>
          <cell r="C61">
            <v>103261103</v>
          </cell>
          <cell r="D61" t="str">
            <v>ANDERSON 1103</v>
          </cell>
          <cell r="E61">
            <v>1600</v>
          </cell>
          <cell r="F61" t="b">
            <v>0</v>
          </cell>
          <cell r="G61">
            <v>17254.9785020907</v>
          </cell>
          <cell r="H61">
            <v>7231.4681876778704</v>
          </cell>
          <cell r="I61">
            <v>106</v>
          </cell>
          <cell r="J61">
            <v>9.33107969536823E-5</v>
          </cell>
          <cell r="K61">
            <v>1813</v>
          </cell>
          <cell r="L61">
            <v>3227.6770797181898</v>
          </cell>
          <cell r="M61">
            <v>231</v>
          </cell>
          <cell r="N61">
            <v>0.28889782126121499</v>
          </cell>
          <cell r="O61">
            <v>143</v>
          </cell>
          <cell r="P61">
            <v>0.04</v>
          </cell>
          <cell r="Q61">
            <v>2087</v>
          </cell>
        </row>
        <row r="62">
          <cell r="B62" t="str">
            <v>ANDERSON 1103226050</v>
          </cell>
          <cell r="C62">
            <v>103261103</v>
          </cell>
          <cell r="D62" t="str">
            <v>ANDERSON 1103</v>
          </cell>
          <cell r="E62">
            <v>226050</v>
          </cell>
          <cell r="F62" t="b">
            <v>0</v>
          </cell>
          <cell r="G62">
            <v>24153.200431203401</v>
          </cell>
          <cell r="H62">
            <v>7845.4548676105696</v>
          </cell>
          <cell r="I62">
            <v>160</v>
          </cell>
          <cell r="J62">
            <v>1.2494325099998899E-4</v>
          </cell>
          <cell r="K62">
            <v>1099</v>
          </cell>
          <cell r="L62">
            <v>1958.13771406559</v>
          </cell>
          <cell r="M62">
            <v>463</v>
          </cell>
          <cell r="N62">
            <v>0.22912548452930701</v>
          </cell>
          <cell r="O62">
            <v>262</v>
          </cell>
          <cell r="Q62">
            <v>2875</v>
          </cell>
        </row>
        <row r="63">
          <cell r="B63" t="str">
            <v>ANITA 1106552724</v>
          </cell>
          <cell r="C63">
            <v>102841106</v>
          </cell>
          <cell r="D63" t="str">
            <v>ANITA 1106</v>
          </cell>
          <cell r="E63">
            <v>552724</v>
          </cell>
          <cell r="F63" t="b">
            <v>0</v>
          </cell>
          <cell r="G63">
            <v>23613.9533635062</v>
          </cell>
          <cell r="H63">
            <v>2363.81762627744</v>
          </cell>
          <cell r="I63">
            <v>77</v>
          </cell>
          <cell r="J63">
            <v>7.2387482563302695E-5</v>
          </cell>
          <cell r="K63">
            <v>2405</v>
          </cell>
          <cell r="L63">
            <v>63.510044568870399</v>
          </cell>
          <cell r="M63">
            <v>2130</v>
          </cell>
          <cell r="N63">
            <v>3.8689111127336198E-3</v>
          </cell>
          <cell r="O63">
            <v>2263</v>
          </cell>
          <cell r="Q63">
            <v>3158</v>
          </cell>
        </row>
        <row r="64">
          <cell r="B64" t="str">
            <v>ANNAPOLIS 1101528344</v>
          </cell>
          <cell r="C64">
            <v>42861101</v>
          </cell>
          <cell r="D64" t="str">
            <v>ANNAPOLIS 1101</v>
          </cell>
          <cell r="E64">
            <v>528344</v>
          </cell>
          <cell r="F64" t="b">
            <v>0</v>
          </cell>
          <cell r="G64">
            <v>43372.083839683597</v>
          </cell>
          <cell r="H64">
            <v>43372.083839683597</v>
          </cell>
          <cell r="I64">
            <v>171</v>
          </cell>
          <cell r="J64">
            <v>9.68698066144607E-5</v>
          </cell>
          <cell r="K64">
            <v>1717</v>
          </cell>
          <cell r="L64">
            <v>60.446937055766497</v>
          </cell>
          <cell r="M64">
            <v>2152</v>
          </cell>
          <cell r="N64">
            <v>4.9998653796603804E-3</v>
          </cell>
          <cell r="O64">
            <v>2204</v>
          </cell>
          <cell r="Q64">
            <v>2950</v>
          </cell>
        </row>
        <row r="65">
          <cell r="B65" t="str">
            <v>ANNAPOLIS 1101608</v>
          </cell>
          <cell r="C65">
            <v>42861101</v>
          </cell>
          <cell r="D65" t="str">
            <v>ANNAPOLIS 1101</v>
          </cell>
          <cell r="E65">
            <v>608</v>
          </cell>
          <cell r="F65" t="b">
            <v>0</v>
          </cell>
          <cell r="G65">
            <v>28658.117485426501</v>
          </cell>
          <cell r="H65">
            <v>28658.117485426501</v>
          </cell>
          <cell r="I65">
            <v>74</v>
          </cell>
          <cell r="J65">
            <v>9.5295248840037404E-5</v>
          </cell>
          <cell r="K65">
            <v>1755</v>
          </cell>
          <cell r="L65">
            <v>248.481612196009</v>
          </cell>
          <cell r="M65">
            <v>1545</v>
          </cell>
          <cell r="N65">
            <v>2.5135423897089702E-2</v>
          </cell>
          <cell r="O65">
            <v>1557</v>
          </cell>
          <cell r="P65">
            <v>0.18</v>
          </cell>
          <cell r="Q65">
            <v>1210</v>
          </cell>
        </row>
        <row r="66">
          <cell r="B66" t="str">
            <v>ANNAPOLIS 110176842</v>
          </cell>
          <cell r="C66">
            <v>42861101</v>
          </cell>
          <cell r="D66" t="str">
            <v>ANNAPOLIS 1101</v>
          </cell>
          <cell r="E66">
            <v>76842</v>
          </cell>
          <cell r="F66" t="b">
            <v>0</v>
          </cell>
          <cell r="G66">
            <v>9156.7063989070903</v>
          </cell>
          <cell r="H66">
            <v>9156.7063989070903</v>
          </cell>
          <cell r="I66">
            <v>33</v>
          </cell>
          <cell r="J66">
            <v>1.2447615494414499E-4</v>
          </cell>
          <cell r="K66">
            <v>1109</v>
          </cell>
          <cell r="L66">
            <v>276.91839111649801</v>
          </cell>
          <cell r="M66">
            <v>1479</v>
          </cell>
          <cell r="N66">
            <v>2.7723623041373401E-2</v>
          </cell>
          <cell r="O66">
            <v>1501</v>
          </cell>
          <cell r="P66">
            <v>0.08</v>
          </cell>
          <cell r="Q66">
            <v>1635</v>
          </cell>
        </row>
        <row r="67">
          <cell r="B67" t="str">
            <v>ANNAPOLIS 1101CB</v>
          </cell>
          <cell r="C67">
            <v>42861101</v>
          </cell>
          <cell r="D67" t="str">
            <v>ANNAPOLIS 1101</v>
          </cell>
          <cell r="E67" t="str">
            <v>CB</v>
          </cell>
          <cell r="F67" t="b">
            <v>0</v>
          </cell>
          <cell r="G67">
            <v>1058.7166057909201</v>
          </cell>
          <cell r="H67">
            <v>1058.7166057909201</v>
          </cell>
          <cell r="I67">
            <v>7</v>
          </cell>
          <cell r="J67">
            <v>2.2337244757051901E-4</v>
          </cell>
          <cell r="K67">
            <v>306</v>
          </cell>
          <cell r="L67">
            <v>221.04986148063099</v>
          </cell>
          <cell r="M67">
            <v>1604</v>
          </cell>
          <cell r="N67">
            <v>5.7005382357432799E-2</v>
          </cell>
          <cell r="O67">
            <v>1097</v>
          </cell>
          <cell r="P67">
            <v>0.06</v>
          </cell>
          <cell r="Q67">
            <v>1873</v>
          </cell>
        </row>
        <row r="68">
          <cell r="B68" t="str">
            <v>ANTELOPE 1101318686</v>
          </cell>
          <cell r="C68">
            <v>252021101</v>
          </cell>
          <cell r="D68" t="str">
            <v>ANTELOPE 1101</v>
          </cell>
          <cell r="E68">
            <v>318686</v>
          </cell>
          <cell r="F68" t="b">
            <v>0</v>
          </cell>
          <cell r="G68">
            <v>4853.6414369602899</v>
          </cell>
          <cell r="H68">
            <v>2345.6024451165799</v>
          </cell>
          <cell r="I68">
            <v>7</v>
          </cell>
          <cell r="J68">
            <v>6.5095652384375796E-5</v>
          </cell>
          <cell r="K68">
            <v>2607</v>
          </cell>
          <cell r="L68">
            <v>3652.24098514978</v>
          </cell>
          <cell r="M68">
            <v>185</v>
          </cell>
          <cell r="N68">
            <v>0.23682941451035899</v>
          </cell>
          <cell r="O68">
            <v>243</v>
          </cell>
          <cell r="Q68">
            <v>3349</v>
          </cell>
        </row>
        <row r="69">
          <cell r="B69" t="str">
            <v>ANTLER 11011376</v>
          </cell>
          <cell r="C69">
            <v>103271101</v>
          </cell>
          <cell r="D69" t="str">
            <v>ANTLER 1101</v>
          </cell>
          <cell r="E69">
            <v>1376</v>
          </cell>
          <cell r="F69" t="b">
            <v>0</v>
          </cell>
          <cell r="G69">
            <v>14477.8455235852</v>
          </cell>
          <cell r="H69">
            <v>14477.8455235852</v>
          </cell>
          <cell r="I69">
            <v>70</v>
          </cell>
          <cell r="J69">
            <v>1.32050721204259E-4</v>
          </cell>
          <cell r="K69">
            <v>982</v>
          </cell>
          <cell r="L69">
            <v>179.728412138403</v>
          </cell>
          <cell r="M69">
            <v>1683</v>
          </cell>
          <cell r="N69">
            <v>1.98356628108519E-2</v>
          </cell>
          <cell r="O69">
            <v>1674</v>
          </cell>
          <cell r="P69">
            <v>0.02</v>
          </cell>
          <cell r="Q69">
            <v>2535</v>
          </cell>
        </row>
        <row r="70">
          <cell r="B70" t="str">
            <v>ANTLER 11011378</v>
          </cell>
          <cell r="C70">
            <v>103271101</v>
          </cell>
          <cell r="D70" t="str">
            <v>ANTLER 1101</v>
          </cell>
          <cell r="E70">
            <v>1378</v>
          </cell>
          <cell r="F70" t="b">
            <v>0</v>
          </cell>
          <cell r="G70">
            <v>40111.582920883498</v>
          </cell>
          <cell r="H70">
            <v>39490.714860357402</v>
          </cell>
          <cell r="I70">
            <v>201</v>
          </cell>
          <cell r="J70">
            <v>1.33792706399626E-4</v>
          </cell>
          <cell r="K70">
            <v>948</v>
          </cell>
          <cell r="L70">
            <v>148.57551914406699</v>
          </cell>
          <cell r="M70">
            <v>1780</v>
          </cell>
          <cell r="N70">
            <v>1.75737824475099E-2</v>
          </cell>
          <cell r="O70">
            <v>1722</v>
          </cell>
          <cell r="P70">
            <v>0.05</v>
          </cell>
          <cell r="Q70">
            <v>2031</v>
          </cell>
        </row>
        <row r="71">
          <cell r="B71" t="str">
            <v>ANTLER 11011384</v>
          </cell>
          <cell r="C71">
            <v>103271101</v>
          </cell>
          <cell r="D71" t="str">
            <v>ANTLER 1101</v>
          </cell>
          <cell r="E71">
            <v>1384</v>
          </cell>
          <cell r="F71" t="b">
            <v>0</v>
          </cell>
          <cell r="G71">
            <v>14709.9252685422</v>
          </cell>
          <cell r="H71">
            <v>14709.9252685422</v>
          </cell>
          <cell r="I71">
            <v>106</v>
          </cell>
          <cell r="J71">
            <v>3.0206915303182801E-4</v>
          </cell>
          <cell r="K71">
            <v>128</v>
          </cell>
          <cell r="L71">
            <v>17.1105931695588</v>
          </cell>
          <cell r="M71">
            <v>2502</v>
          </cell>
          <cell r="N71">
            <v>2.8857416404073099E-3</v>
          </cell>
          <cell r="O71">
            <v>2361</v>
          </cell>
          <cell r="P71">
            <v>0.08</v>
          </cell>
          <cell r="Q71">
            <v>1664</v>
          </cell>
        </row>
        <row r="72">
          <cell r="B72" t="str">
            <v>ANTLER 11011520</v>
          </cell>
          <cell r="C72">
            <v>103271101</v>
          </cell>
          <cell r="D72" t="str">
            <v>ANTLER 1101</v>
          </cell>
          <cell r="E72">
            <v>1520</v>
          </cell>
          <cell r="F72" t="b">
            <v>0</v>
          </cell>
          <cell r="G72">
            <v>14435.9237465603</v>
          </cell>
          <cell r="H72">
            <v>14435.9237465603</v>
          </cell>
          <cell r="I72">
            <v>69</v>
          </cell>
          <cell r="J72">
            <v>2.44204173320801E-4</v>
          </cell>
          <cell r="K72">
            <v>234</v>
          </cell>
          <cell r="L72">
            <v>18.326190645683301</v>
          </cell>
          <cell r="M72">
            <v>2471</v>
          </cell>
          <cell r="N72">
            <v>2.5189988871917599E-3</v>
          </cell>
          <cell r="O72">
            <v>2407</v>
          </cell>
          <cell r="P72">
            <v>0.04</v>
          </cell>
          <cell r="Q72">
            <v>2139</v>
          </cell>
        </row>
        <row r="73">
          <cell r="B73" t="str">
            <v>ANTLER 11011612</v>
          </cell>
          <cell r="C73">
            <v>103271101</v>
          </cell>
          <cell r="D73" t="str">
            <v>ANTLER 1101</v>
          </cell>
          <cell r="E73">
            <v>1612</v>
          </cell>
          <cell r="F73" t="b">
            <v>0</v>
          </cell>
          <cell r="G73">
            <v>14766.297060204901</v>
          </cell>
          <cell r="H73">
            <v>14766.297060204901</v>
          </cell>
          <cell r="I73">
            <v>86</v>
          </cell>
          <cell r="J73">
            <v>1.27148914755305E-4</v>
          </cell>
          <cell r="K73">
            <v>1062</v>
          </cell>
          <cell r="L73">
            <v>147.12241122443999</v>
          </cell>
          <cell r="M73">
            <v>1785</v>
          </cell>
          <cell r="N73">
            <v>1.4748221953183101E-2</v>
          </cell>
          <cell r="O73">
            <v>1791</v>
          </cell>
          <cell r="P73">
            <v>0.03</v>
          </cell>
          <cell r="Q73">
            <v>2352</v>
          </cell>
        </row>
        <row r="74">
          <cell r="B74" t="str">
            <v>ANTLER 1101CB</v>
          </cell>
          <cell r="C74">
            <v>103271101</v>
          </cell>
          <cell r="D74" t="str">
            <v>ANTLER 1101</v>
          </cell>
          <cell r="E74" t="str">
            <v>CB</v>
          </cell>
          <cell r="F74" t="b">
            <v>0</v>
          </cell>
          <cell r="G74">
            <v>2574.4725295532198</v>
          </cell>
          <cell r="H74">
            <v>2574.4725295532198</v>
          </cell>
          <cell r="I74">
            <v>18</v>
          </cell>
          <cell r="J74">
            <v>1.83072784744177E-4</v>
          </cell>
          <cell r="K74">
            <v>488</v>
          </cell>
          <cell r="L74">
            <v>33.083289182859602</v>
          </cell>
          <cell r="M74">
            <v>2322</v>
          </cell>
          <cell r="N74">
            <v>4.9349497319449804E-3</v>
          </cell>
          <cell r="O74">
            <v>2207</v>
          </cell>
          <cell r="P74">
            <v>0.05</v>
          </cell>
          <cell r="Q74">
            <v>1919</v>
          </cell>
        </row>
        <row r="75">
          <cell r="B75" t="str">
            <v>APPLE HILL 110313312</v>
          </cell>
          <cell r="C75">
            <v>153661103</v>
          </cell>
          <cell r="D75" t="str">
            <v>APPLE HILL 1103</v>
          </cell>
          <cell r="E75">
            <v>13312</v>
          </cell>
          <cell r="F75" t="b">
            <v>0</v>
          </cell>
          <cell r="G75">
            <v>28501.024512268599</v>
          </cell>
          <cell r="H75">
            <v>21155.738774885602</v>
          </cell>
          <cell r="I75">
            <v>190</v>
          </cell>
          <cell r="J75">
            <v>2.1993905429166599E-4</v>
          </cell>
          <cell r="K75">
            <v>321</v>
          </cell>
          <cell r="L75">
            <v>408.85590132648002</v>
          </cell>
          <cell r="M75">
            <v>1287</v>
          </cell>
          <cell r="N75">
            <v>9.6554192886426499E-2</v>
          </cell>
          <cell r="O75">
            <v>784</v>
          </cell>
          <cell r="P75">
            <v>0.12</v>
          </cell>
          <cell r="Q75">
            <v>1376</v>
          </cell>
        </row>
        <row r="76">
          <cell r="B76" t="str">
            <v>APPLE HILL 11038412</v>
          </cell>
          <cell r="C76">
            <v>153661103</v>
          </cell>
          <cell r="D76" t="str">
            <v>APPLE HILL 1103</v>
          </cell>
          <cell r="E76">
            <v>8412</v>
          </cell>
          <cell r="F76" t="b">
            <v>0</v>
          </cell>
          <cell r="G76">
            <v>31508.675110967601</v>
          </cell>
          <cell r="H76">
            <v>31508.675110967601</v>
          </cell>
          <cell r="I76">
            <v>201</v>
          </cell>
          <cell r="J76">
            <v>1.2405901137753901E-4</v>
          </cell>
          <cell r="K76">
            <v>1118</v>
          </cell>
          <cell r="L76">
            <v>308.20822952011201</v>
          </cell>
          <cell r="M76">
            <v>1435</v>
          </cell>
          <cell r="N76">
            <v>3.2351899104951398E-2</v>
          </cell>
          <cell r="O76">
            <v>1419</v>
          </cell>
          <cell r="P76">
            <v>0.24</v>
          </cell>
          <cell r="Q76">
            <v>1093</v>
          </cell>
        </row>
        <row r="77">
          <cell r="B77" t="str">
            <v>APPLE HILL 1103CB</v>
          </cell>
          <cell r="C77">
            <v>153661103</v>
          </cell>
          <cell r="D77" t="str">
            <v>APPLE HILL 1103</v>
          </cell>
          <cell r="E77" t="str">
            <v>CB</v>
          </cell>
          <cell r="F77" t="b">
            <v>0</v>
          </cell>
          <cell r="G77">
            <v>36721.924205454801</v>
          </cell>
          <cell r="H77">
            <v>31128.549041220002</v>
          </cell>
          <cell r="I77">
            <v>268</v>
          </cell>
          <cell r="J77">
            <v>2.5192103607980901E-4</v>
          </cell>
          <cell r="K77">
            <v>213</v>
          </cell>
          <cell r="L77">
            <v>162.089461769606</v>
          </cell>
          <cell r="M77">
            <v>1742</v>
          </cell>
          <cell r="N77">
            <v>3.4245159300778101E-2</v>
          </cell>
          <cell r="O77">
            <v>1384</v>
          </cell>
          <cell r="P77">
            <v>0.18</v>
          </cell>
          <cell r="Q77">
            <v>1200</v>
          </cell>
        </row>
        <row r="78">
          <cell r="B78" t="str">
            <v>APPLE HILL 110412832</v>
          </cell>
          <cell r="C78">
            <v>153661104</v>
          </cell>
          <cell r="D78" t="str">
            <v>APPLE HILL 1104</v>
          </cell>
          <cell r="E78">
            <v>12832</v>
          </cell>
          <cell r="F78" t="b">
            <v>0</v>
          </cell>
          <cell r="G78">
            <v>24421.2649126129</v>
          </cell>
          <cell r="H78">
            <v>23234.360373644398</v>
          </cell>
          <cell r="I78">
            <v>166</v>
          </cell>
          <cell r="J78">
            <v>1.7092783013775899E-4</v>
          </cell>
          <cell r="K78">
            <v>557</v>
          </cell>
          <cell r="L78">
            <v>211.863451625105</v>
          </cell>
          <cell r="M78">
            <v>1615</v>
          </cell>
          <cell r="N78">
            <v>3.27870948466416E-2</v>
          </cell>
          <cell r="O78">
            <v>1410</v>
          </cell>
          <cell r="P78">
            <v>28.99</v>
          </cell>
          <cell r="Q78">
            <v>245</v>
          </cell>
        </row>
        <row r="79">
          <cell r="B79" t="str">
            <v>APPLE HILL 110412842</v>
          </cell>
          <cell r="C79">
            <v>153661104</v>
          </cell>
          <cell r="D79" t="str">
            <v>APPLE HILL 1104</v>
          </cell>
          <cell r="E79">
            <v>12842</v>
          </cell>
          <cell r="F79" t="b">
            <v>0</v>
          </cell>
          <cell r="G79">
            <v>27066.259530622399</v>
          </cell>
          <cell r="H79">
            <v>25454.140827929699</v>
          </cell>
          <cell r="I79">
            <v>209</v>
          </cell>
          <cell r="J79">
            <v>1.8752130531888301E-4</v>
          </cell>
          <cell r="K79">
            <v>457</v>
          </cell>
          <cell r="L79">
            <v>122.893287489122</v>
          </cell>
          <cell r="M79">
            <v>1862</v>
          </cell>
          <cell r="N79">
            <v>4.2310502357870497E-2</v>
          </cell>
          <cell r="O79">
            <v>1268</v>
          </cell>
          <cell r="P79">
            <v>24.93</v>
          </cell>
          <cell r="Q79">
            <v>275</v>
          </cell>
        </row>
        <row r="80">
          <cell r="B80" t="str">
            <v>APPLE HILL 110412947</v>
          </cell>
          <cell r="C80">
            <v>153661104</v>
          </cell>
          <cell r="D80" t="str">
            <v>APPLE HILL 1104</v>
          </cell>
          <cell r="E80">
            <v>12947</v>
          </cell>
          <cell r="F80" t="b">
            <v>0</v>
          </cell>
          <cell r="G80">
            <v>5709.2465457927301</v>
          </cell>
          <cell r="H80">
            <v>5709.2465457927301</v>
          </cell>
          <cell r="I80">
            <v>49</v>
          </cell>
          <cell r="J80">
            <v>1.05620558538155E-4</v>
          </cell>
          <cell r="K80">
            <v>1503</v>
          </cell>
          <cell r="L80">
            <v>18.014986744026</v>
          </cell>
          <cell r="M80">
            <v>2480</v>
          </cell>
          <cell r="N80">
            <v>1.8387655062210399E-3</v>
          </cell>
          <cell r="O80">
            <v>2496</v>
          </cell>
          <cell r="P80">
            <v>10.69</v>
          </cell>
          <cell r="Q80">
            <v>395</v>
          </cell>
        </row>
        <row r="81">
          <cell r="B81" t="str">
            <v>APPLE HILL 110413512</v>
          </cell>
          <cell r="C81">
            <v>153661104</v>
          </cell>
          <cell r="D81" t="str">
            <v>APPLE HILL 1104</v>
          </cell>
          <cell r="E81">
            <v>13512</v>
          </cell>
          <cell r="F81" t="b">
            <v>0</v>
          </cell>
          <cell r="G81">
            <v>49131.770457185499</v>
          </cell>
          <cell r="H81">
            <v>45791.886861485102</v>
          </cell>
          <cell r="I81">
            <v>345</v>
          </cell>
          <cell r="J81">
            <v>1.9634341909862199E-4</v>
          </cell>
          <cell r="K81">
            <v>412</v>
          </cell>
          <cell r="L81">
            <v>199.59121707554101</v>
          </cell>
          <cell r="M81">
            <v>1642</v>
          </cell>
          <cell r="N81">
            <v>4.1391714601719698E-2</v>
          </cell>
          <cell r="O81">
            <v>1284</v>
          </cell>
          <cell r="P81">
            <v>59.2</v>
          </cell>
          <cell r="Q81">
            <v>89</v>
          </cell>
        </row>
        <row r="82">
          <cell r="B82" t="str">
            <v>APPLE HILL 1104814656</v>
          </cell>
          <cell r="C82">
            <v>153661104</v>
          </cell>
          <cell r="D82" t="str">
            <v>APPLE HILL 1104</v>
          </cell>
          <cell r="E82">
            <v>814656</v>
          </cell>
          <cell r="F82" t="b">
            <v>1</v>
          </cell>
          <cell r="G82">
            <v>28.125195390711301</v>
          </cell>
          <cell r="H82">
            <v>28.125195390711301</v>
          </cell>
          <cell r="I82">
            <v>1</v>
          </cell>
          <cell r="J82">
            <v>8.6570793064311103E-4</v>
          </cell>
          <cell r="K82">
            <v>4</v>
          </cell>
          <cell r="L82">
            <v>23.8450755794311</v>
          </cell>
          <cell r="M82">
            <v>2401</v>
          </cell>
          <cell r="N82">
            <v>2.0642871035897899E-2</v>
          </cell>
          <cell r="O82">
            <v>1657</v>
          </cell>
          <cell r="Q82">
            <v>3634</v>
          </cell>
        </row>
        <row r="83">
          <cell r="B83" t="str">
            <v>APPLE HILL 110497086</v>
          </cell>
          <cell r="C83">
            <v>153661104</v>
          </cell>
          <cell r="D83" t="str">
            <v>APPLE HILL 1104</v>
          </cell>
          <cell r="E83">
            <v>97086</v>
          </cell>
          <cell r="F83" t="b">
            <v>0</v>
          </cell>
          <cell r="G83">
            <v>41345.098670548701</v>
          </cell>
          <cell r="H83">
            <v>41345.098670548701</v>
          </cell>
          <cell r="I83">
            <v>301</v>
          </cell>
          <cell r="J83">
            <v>7.7564557687343806E-5</v>
          </cell>
          <cell r="K83">
            <v>2275</v>
          </cell>
          <cell r="L83">
            <v>132.48390719310501</v>
          </cell>
          <cell r="M83">
            <v>1840</v>
          </cell>
          <cell r="N83">
            <v>1.06890718603026E-2</v>
          </cell>
          <cell r="O83">
            <v>1934</v>
          </cell>
          <cell r="P83">
            <v>48.08</v>
          </cell>
          <cell r="Q83">
            <v>132</v>
          </cell>
        </row>
        <row r="84">
          <cell r="B84" t="str">
            <v>APPLE HILL 1104CB</v>
          </cell>
          <cell r="C84">
            <v>153661104</v>
          </cell>
          <cell r="D84" t="str">
            <v>APPLE HILL 1104</v>
          </cell>
          <cell r="E84" t="str">
            <v>CB</v>
          </cell>
          <cell r="F84" t="b">
            <v>0</v>
          </cell>
          <cell r="G84">
            <v>6578.3972286028702</v>
          </cell>
          <cell r="H84">
            <v>6578.3972286028702</v>
          </cell>
          <cell r="I84">
            <v>51</v>
          </cell>
          <cell r="J84">
            <v>3.50587752858272E-4</v>
          </cell>
          <cell r="K84">
            <v>89</v>
          </cell>
          <cell r="L84">
            <v>89.076653100569004</v>
          </cell>
          <cell r="M84">
            <v>2007</v>
          </cell>
          <cell r="N84">
            <v>3.2288812051168098E-2</v>
          </cell>
          <cell r="O84">
            <v>1422</v>
          </cell>
          <cell r="P84">
            <v>4</v>
          </cell>
          <cell r="Q84">
            <v>530</v>
          </cell>
        </row>
        <row r="85">
          <cell r="B85" t="str">
            <v>APPLE HILL 21021532</v>
          </cell>
          <cell r="C85">
            <v>153662102</v>
          </cell>
          <cell r="D85" t="str">
            <v>APPLE HILL 2102</v>
          </cell>
          <cell r="E85">
            <v>1532</v>
          </cell>
          <cell r="F85" t="b">
            <v>0</v>
          </cell>
          <cell r="G85">
            <v>68074.997639785899</v>
          </cell>
          <cell r="H85">
            <v>62691.336887810503</v>
          </cell>
          <cell r="I85">
            <v>465</v>
          </cell>
          <cell r="J85">
            <v>1.47536156720464E-4</v>
          </cell>
          <cell r="K85">
            <v>767</v>
          </cell>
          <cell r="L85">
            <v>1398.4343782639501</v>
          </cell>
          <cell r="M85">
            <v>638</v>
          </cell>
          <cell r="N85">
            <v>0.19411547118327499</v>
          </cell>
          <cell r="O85">
            <v>351</v>
          </cell>
          <cell r="P85">
            <v>7.0000000000000007E-2</v>
          </cell>
          <cell r="Q85">
            <v>1756</v>
          </cell>
        </row>
        <row r="86">
          <cell r="B86" t="str">
            <v>APPLE HILL 2102186912</v>
          </cell>
          <cell r="C86">
            <v>153662102</v>
          </cell>
          <cell r="D86" t="str">
            <v>APPLE HILL 2102</v>
          </cell>
          <cell r="E86">
            <v>186912</v>
          </cell>
          <cell r="F86" t="b">
            <v>0</v>
          </cell>
          <cell r="G86">
            <v>97116.524963762306</v>
          </cell>
          <cell r="H86">
            <v>94273.572339503196</v>
          </cell>
          <cell r="I86">
            <v>606</v>
          </cell>
          <cell r="J86">
            <v>9.5424199102253795E-5</v>
          </cell>
          <cell r="K86">
            <v>1747</v>
          </cell>
          <cell r="L86">
            <v>711.74371609711704</v>
          </cell>
          <cell r="M86">
            <v>1013</v>
          </cell>
          <cell r="N86">
            <v>6.2919561954048603E-2</v>
          </cell>
          <cell r="O86">
            <v>1035</v>
          </cell>
          <cell r="P86">
            <v>0.18</v>
          </cell>
          <cell r="Q86">
            <v>1223</v>
          </cell>
        </row>
        <row r="87">
          <cell r="B87" t="str">
            <v>APPLE HILL 210251792</v>
          </cell>
          <cell r="C87">
            <v>153662102</v>
          </cell>
          <cell r="D87" t="str">
            <v>APPLE HILL 2102</v>
          </cell>
          <cell r="E87">
            <v>51792</v>
          </cell>
          <cell r="F87" t="b">
            <v>0</v>
          </cell>
          <cell r="G87">
            <v>15055.1772031455</v>
          </cell>
          <cell r="H87">
            <v>15055.1772031455</v>
          </cell>
          <cell r="I87">
            <v>99</v>
          </cell>
          <cell r="J87">
            <v>1.2103974152735E-4</v>
          </cell>
          <cell r="K87">
            <v>1164</v>
          </cell>
          <cell r="L87">
            <v>1431.63728896616</v>
          </cell>
          <cell r="M87">
            <v>622</v>
          </cell>
          <cell r="N87">
            <v>0.149137116011996</v>
          </cell>
          <cell r="O87">
            <v>520</v>
          </cell>
          <cell r="P87">
            <v>0.08</v>
          </cell>
          <cell r="Q87">
            <v>1632</v>
          </cell>
        </row>
        <row r="88">
          <cell r="B88" t="str">
            <v>APPLE HILL 21026552</v>
          </cell>
          <cell r="C88">
            <v>153662102</v>
          </cell>
          <cell r="D88" t="str">
            <v>APPLE HILL 2102</v>
          </cell>
          <cell r="E88">
            <v>6552</v>
          </cell>
          <cell r="F88" t="b">
            <v>0</v>
          </cell>
          <cell r="G88">
            <v>20088.956243669702</v>
          </cell>
          <cell r="H88">
            <v>20088.956243669702</v>
          </cell>
          <cell r="I88">
            <v>139</v>
          </cell>
          <cell r="J88">
            <v>2.31942927228033E-4</v>
          </cell>
          <cell r="K88">
            <v>279</v>
          </cell>
          <cell r="L88">
            <v>1458.4790214193399</v>
          </cell>
          <cell r="M88">
            <v>613</v>
          </cell>
          <cell r="N88">
            <v>0.271196789601302</v>
          </cell>
          <cell r="O88">
            <v>178</v>
          </cell>
          <cell r="P88">
            <v>7.0000000000000007E-2</v>
          </cell>
          <cell r="Q88">
            <v>1674</v>
          </cell>
        </row>
        <row r="89">
          <cell r="B89" t="str">
            <v>APPLE HILL 21027502</v>
          </cell>
          <cell r="C89">
            <v>153662102</v>
          </cell>
          <cell r="D89" t="str">
            <v>APPLE HILL 2102</v>
          </cell>
          <cell r="E89">
            <v>7502</v>
          </cell>
          <cell r="F89" t="b">
            <v>0</v>
          </cell>
          <cell r="G89">
            <v>36933.345375395496</v>
          </cell>
          <cell r="H89">
            <v>36933.345375395496</v>
          </cell>
          <cell r="I89">
            <v>267</v>
          </cell>
          <cell r="J89">
            <v>1.13806412710096E-4</v>
          </cell>
          <cell r="K89">
            <v>1324</v>
          </cell>
          <cell r="L89">
            <v>264.26752893305502</v>
          </cell>
          <cell r="M89">
            <v>1509</v>
          </cell>
          <cell r="N89">
            <v>2.7531904830625498E-2</v>
          </cell>
          <cell r="O89">
            <v>1505</v>
          </cell>
          <cell r="P89">
            <v>38.11</v>
          </cell>
          <cell r="Q89">
            <v>197</v>
          </cell>
        </row>
        <row r="90">
          <cell r="B90" t="str">
            <v>APPLE HILL 210277546</v>
          </cell>
          <cell r="C90">
            <v>153662102</v>
          </cell>
          <cell r="D90" t="str">
            <v>APPLE HILL 2102</v>
          </cell>
          <cell r="E90">
            <v>77546</v>
          </cell>
          <cell r="F90" t="b">
            <v>0</v>
          </cell>
          <cell r="G90">
            <v>69346.932745826402</v>
          </cell>
          <cell r="H90">
            <v>69346.932745826402</v>
          </cell>
          <cell r="I90">
            <v>403</v>
          </cell>
          <cell r="J90">
            <v>9.5092206869757398E-5</v>
          </cell>
          <cell r="K90">
            <v>1762</v>
          </cell>
          <cell r="L90">
            <v>1309.42412546783</v>
          </cell>
          <cell r="M90">
            <v>678</v>
          </cell>
          <cell r="N90">
            <v>0.112139339491741</v>
          </cell>
          <cell r="O90">
            <v>699</v>
          </cell>
          <cell r="P90">
            <v>0.19</v>
          </cell>
          <cell r="Q90">
            <v>1189</v>
          </cell>
        </row>
        <row r="91">
          <cell r="B91" t="str">
            <v>APPLE HILL 21028372</v>
          </cell>
          <cell r="C91">
            <v>153662102</v>
          </cell>
          <cell r="D91" t="str">
            <v>APPLE HILL 2102</v>
          </cell>
          <cell r="E91">
            <v>8372</v>
          </cell>
          <cell r="F91" t="b">
            <v>0</v>
          </cell>
          <cell r="G91">
            <v>101264.49035794599</v>
          </cell>
          <cell r="H91">
            <v>94481.7776559544</v>
          </cell>
          <cell r="I91">
            <v>629</v>
          </cell>
          <cell r="J91">
            <v>1.18023475864624E-4</v>
          </cell>
          <cell r="K91">
            <v>1229</v>
          </cell>
          <cell r="L91">
            <v>985.19221347998098</v>
          </cell>
          <cell r="M91">
            <v>841</v>
          </cell>
          <cell r="N91">
            <v>0.118578820181394</v>
          </cell>
          <cell r="O91">
            <v>654</v>
          </cell>
          <cell r="P91">
            <v>0.21</v>
          </cell>
          <cell r="Q91">
            <v>1139</v>
          </cell>
        </row>
        <row r="92">
          <cell r="B92" t="str">
            <v>APPLE HILL 210289934</v>
          </cell>
          <cell r="C92">
            <v>153662102</v>
          </cell>
          <cell r="D92" t="str">
            <v>APPLE HILL 2102</v>
          </cell>
          <cell r="E92">
            <v>89934</v>
          </cell>
          <cell r="F92" t="b">
            <v>0</v>
          </cell>
          <cell r="G92">
            <v>8917.9013010040508</v>
          </cell>
          <cell r="H92">
            <v>8917.9013010040508</v>
          </cell>
          <cell r="I92">
            <v>56</v>
          </cell>
          <cell r="J92">
            <v>2.2641579818338299E-4</v>
          </cell>
          <cell r="K92">
            <v>301</v>
          </cell>
          <cell r="L92">
            <v>791.93410188629105</v>
          </cell>
          <cell r="M92">
            <v>950</v>
          </cell>
          <cell r="N92">
            <v>0.175812184778321</v>
          </cell>
          <cell r="O92">
            <v>411</v>
          </cell>
          <cell r="P92">
            <v>0.04</v>
          </cell>
          <cell r="Q92">
            <v>2125</v>
          </cell>
        </row>
        <row r="93">
          <cell r="B93" t="str">
            <v>APPLE HILL 21029722</v>
          </cell>
          <cell r="C93">
            <v>153662102</v>
          </cell>
          <cell r="D93" t="str">
            <v>APPLE HILL 2102</v>
          </cell>
          <cell r="E93">
            <v>9722</v>
          </cell>
          <cell r="F93" t="b">
            <v>0</v>
          </cell>
          <cell r="G93">
            <v>62437.516451360199</v>
          </cell>
          <cell r="H93">
            <v>62437.516451360199</v>
          </cell>
          <cell r="I93">
            <v>359</v>
          </cell>
          <cell r="J93">
            <v>1.01738953645259E-4</v>
          </cell>
          <cell r="K93">
            <v>1610</v>
          </cell>
          <cell r="L93">
            <v>529.22604725544898</v>
          </cell>
          <cell r="M93">
            <v>1174</v>
          </cell>
          <cell r="N93">
            <v>5.4307830328975702E-2</v>
          </cell>
          <cell r="O93">
            <v>1131</v>
          </cell>
          <cell r="P93">
            <v>0.52</v>
          </cell>
          <cell r="Q93">
            <v>890</v>
          </cell>
        </row>
        <row r="94">
          <cell r="B94" t="str">
            <v>APPLE HILL 210297982</v>
          </cell>
          <cell r="C94">
            <v>153662102</v>
          </cell>
          <cell r="D94" t="str">
            <v>APPLE HILL 2102</v>
          </cell>
          <cell r="E94">
            <v>97982</v>
          </cell>
          <cell r="F94" t="b">
            <v>0</v>
          </cell>
          <cell r="G94">
            <v>15545.7353675986</v>
          </cell>
          <cell r="H94">
            <v>15545.7353675986</v>
          </cell>
          <cell r="I94">
            <v>104</v>
          </cell>
          <cell r="J94">
            <v>8.3073483023044206E-5</v>
          </cell>
          <cell r="K94">
            <v>2130</v>
          </cell>
          <cell r="L94">
            <v>187.93263000534799</v>
          </cell>
          <cell r="M94">
            <v>1666</v>
          </cell>
          <cell r="N94">
            <v>1.2891824854699099E-2</v>
          </cell>
          <cell r="O94">
            <v>1847</v>
          </cell>
          <cell r="P94">
            <v>33.04</v>
          </cell>
          <cell r="Q94">
            <v>223</v>
          </cell>
        </row>
        <row r="95">
          <cell r="B95" t="str">
            <v>APPLE HILL 2102CB</v>
          </cell>
          <cell r="C95">
            <v>153662102</v>
          </cell>
          <cell r="D95" t="str">
            <v>APPLE HILL 2102</v>
          </cell>
          <cell r="E95" t="str">
            <v>CB</v>
          </cell>
          <cell r="F95" t="b">
            <v>0</v>
          </cell>
          <cell r="G95">
            <v>66423.250298580504</v>
          </cell>
          <cell r="H95">
            <v>66423.250298580504</v>
          </cell>
          <cell r="I95">
            <v>448</v>
          </cell>
          <cell r="J95">
            <v>1.47308740090236E-4</v>
          </cell>
          <cell r="K95">
            <v>770</v>
          </cell>
          <cell r="L95">
            <v>1022.0989339556201</v>
          </cell>
          <cell r="M95">
            <v>813</v>
          </cell>
          <cell r="N95">
            <v>0.120059743104473</v>
          </cell>
          <cell r="O95">
            <v>644</v>
          </cell>
          <cell r="P95">
            <v>29.66</v>
          </cell>
          <cell r="Q95">
            <v>239</v>
          </cell>
        </row>
        <row r="96">
          <cell r="B96" t="str">
            <v>ARBUCKLE 1104669720</v>
          </cell>
          <cell r="C96">
            <v>62081104</v>
          </cell>
          <cell r="D96" t="str">
            <v>ARBUCKLE 1104</v>
          </cell>
          <cell r="E96">
            <v>669720</v>
          </cell>
          <cell r="F96" t="b">
            <v>0</v>
          </cell>
          <cell r="G96">
            <v>7831.1317627581502</v>
          </cell>
          <cell r="H96">
            <v>3612.2460812750501</v>
          </cell>
          <cell r="I96">
            <v>22</v>
          </cell>
          <cell r="J96">
            <v>8.8130174325280094E-5</v>
          </cell>
          <cell r="K96">
            <v>1979</v>
          </cell>
          <cell r="L96">
            <v>4178.9611162523397</v>
          </cell>
          <cell r="M96">
            <v>140</v>
          </cell>
          <cell r="N96">
            <v>0.28655371121123602</v>
          </cell>
          <cell r="O96">
            <v>145</v>
          </cell>
          <cell r="Q96">
            <v>3370</v>
          </cell>
        </row>
        <row r="97">
          <cell r="B97" t="str">
            <v>ARCATA 1121716954</v>
          </cell>
          <cell r="C97">
            <v>192021121</v>
          </cell>
          <cell r="D97" t="str">
            <v>ARCATA 1121</v>
          </cell>
          <cell r="E97">
            <v>716954</v>
          </cell>
          <cell r="F97" t="b">
            <v>0</v>
          </cell>
          <cell r="G97">
            <v>18261.1322076045</v>
          </cell>
          <cell r="H97">
            <v>11115.6995080329</v>
          </cell>
          <cell r="I97">
            <v>97</v>
          </cell>
          <cell r="J97">
            <v>2.0478641795541701E-4</v>
          </cell>
          <cell r="K97">
            <v>383</v>
          </cell>
          <cell r="L97">
            <v>15.7423635840867</v>
          </cell>
          <cell r="M97">
            <v>2521</v>
          </cell>
          <cell r="N97">
            <v>3.1691409699124702E-3</v>
          </cell>
          <cell r="O97">
            <v>2331</v>
          </cell>
          <cell r="Q97">
            <v>3112</v>
          </cell>
        </row>
        <row r="98">
          <cell r="B98" t="str">
            <v>ARCATA 112233060</v>
          </cell>
          <cell r="C98">
            <v>192021122</v>
          </cell>
          <cell r="D98" t="str">
            <v>ARCATA 1122</v>
          </cell>
          <cell r="E98">
            <v>33060</v>
          </cell>
          <cell r="F98" t="b">
            <v>1</v>
          </cell>
          <cell r="G98">
            <v>7941.0148640264197</v>
          </cell>
          <cell r="H98">
            <v>856.27893657204299</v>
          </cell>
          <cell r="I98">
            <v>64</v>
          </cell>
          <cell r="J98">
            <v>2.27122476471344E-4</v>
          </cell>
          <cell r="K98">
            <v>296</v>
          </cell>
          <cell r="L98">
            <v>0.31238623303193902</v>
          </cell>
          <cell r="M98">
            <v>2924</v>
          </cell>
          <cell r="N98">
            <v>9.9530730371828695E-5</v>
          </cell>
          <cell r="O98">
            <v>2876</v>
          </cell>
          <cell r="P98">
            <v>0.02</v>
          </cell>
          <cell r="Q98">
            <v>2560</v>
          </cell>
        </row>
        <row r="99">
          <cell r="B99" t="str">
            <v>ARCATA 11224218</v>
          </cell>
          <cell r="C99">
            <v>192021122</v>
          </cell>
          <cell r="D99" t="str">
            <v>ARCATA 1122</v>
          </cell>
          <cell r="E99">
            <v>4218</v>
          </cell>
          <cell r="F99" t="b">
            <v>0</v>
          </cell>
          <cell r="G99">
            <v>7931.9123226469601</v>
          </cell>
          <cell r="H99">
            <v>7690.2410019593099</v>
          </cell>
          <cell r="I99">
            <v>27</v>
          </cell>
          <cell r="J99">
            <v>2.2706325452654001E-4</v>
          </cell>
          <cell r="K99">
            <v>297</v>
          </cell>
          <cell r="L99">
            <v>5.3462738617857299</v>
          </cell>
          <cell r="M99">
            <v>2735</v>
          </cell>
          <cell r="N99">
            <v>9.3078736243365305E-4</v>
          </cell>
          <cell r="O99">
            <v>2652</v>
          </cell>
          <cell r="P99">
            <v>0.09</v>
          </cell>
          <cell r="Q99">
            <v>1526</v>
          </cell>
        </row>
        <row r="100">
          <cell r="B100" t="str">
            <v>ARCATA 11225384</v>
          </cell>
          <cell r="C100">
            <v>192021122</v>
          </cell>
          <cell r="D100" t="str">
            <v>ARCATA 1122</v>
          </cell>
          <cell r="E100">
            <v>5384</v>
          </cell>
          <cell r="F100" t="b">
            <v>0</v>
          </cell>
          <cell r="G100">
            <v>28128.095687970901</v>
          </cell>
          <cell r="H100">
            <v>25050.271158335599</v>
          </cell>
          <cell r="I100">
            <v>202</v>
          </cell>
          <cell r="J100">
            <v>2.1029712176338401E-4</v>
          </cell>
          <cell r="K100">
            <v>356</v>
          </cell>
          <cell r="L100">
            <v>21.9397181577122</v>
          </cell>
          <cell r="M100">
            <v>2426</v>
          </cell>
          <cell r="N100">
            <v>4.3604227607896302E-3</v>
          </cell>
          <cell r="O100">
            <v>2237</v>
          </cell>
          <cell r="P100">
            <v>0.18</v>
          </cell>
          <cell r="Q100">
            <v>1214</v>
          </cell>
        </row>
        <row r="101">
          <cell r="B101" t="str">
            <v>ARLINGTON 0401404226</v>
          </cell>
          <cell r="C101">
            <v>13700401</v>
          </cell>
          <cell r="D101" t="str">
            <v>ARLINGTON 0401</v>
          </cell>
          <cell r="E101">
            <v>404226</v>
          </cell>
          <cell r="F101" t="b">
            <v>0</v>
          </cell>
          <cell r="G101">
            <v>1578.9747753807301</v>
          </cell>
          <cell r="H101">
            <v>1403.5727784655401</v>
          </cell>
          <cell r="I101">
            <v>15</v>
          </cell>
          <cell r="J101">
            <v>6.7623779007893294E-5</v>
          </cell>
          <cell r="K101">
            <v>2545</v>
          </cell>
          <cell r="L101">
            <v>6.6003603239854103E-2</v>
          </cell>
          <cell r="M101">
            <v>3221</v>
          </cell>
          <cell r="N101">
            <v>4.4776990599464903E-6</v>
          </cell>
          <cell r="O101">
            <v>3298</v>
          </cell>
          <cell r="Q101">
            <v>2985</v>
          </cell>
        </row>
        <row r="102">
          <cell r="B102" t="str">
            <v>ARVIN 110194892</v>
          </cell>
          <cell r="C102">
            <v>253801101</v>
          </cell>
          <cell r="D102" t="str">
            <v>ARVIN 1101</v>
          </cell>
          <cell r="E102">
            <v>94892</v>
          </cell>
          <cell r="F102" t="b">
            <v>1</v>
          </cell>
          <cell r="G102">
            <v>15531.760884880799</v>
          </cell>
          <cell r="H102">
            <v>345.98528898161197</v>
          </cell>
          <cell r="I102">
            <v>66</v>
          </cell>
          <cell r="J102">
            <v>3.5047103322610299E-5</v>
          </cell>
          <cell r="K102">
            <v>3351</v>
          </cell>
          <cell r="L102">
            <v>201.918123272445</v>
          </cell>
          <cell r="M102">
            <v>1637</v>
          </cell>
          <cell r="N102">
            <v>5.9064461936286202E-3</v>
          </cell>
          <cell r="O102">
            <v>2159</v>
          </cell>
          <cell r="Q102">
            <v>2790</v>
          </cell>
        </row>
        <row r="103">
          <cell r="B103" t="str">
            <v>ATASCADERO 11012379</v>
          </cell>
          <cell r="C103">
            <v>182541101</v>
          </cell>
          <cell r="D103" t="str">
            <v>ATASCADERO 1101</v>
          </cell>
          <cell r="E103">
            <v>2379</v>
          </cell>
          <cell r="F103" t="b">
            <v>0</v>
          </cell>
          <cell r="G103">
            <v>1171.368891887</v>
          </cell>
          <cell r="H103">
            <v>1171.368891887</v>
          </cell>
          <cell r="I103">
            <v>11</v>
          </cell>
          <cell r="J103">
            <v>5.65182705031475E-5</v>
          </cell>
          <cell r="K103">
            <v>2872</v>
          </cell>
          <cell r="L103">
            <v>6.6431909799575806E-2</v>
          </cell>
          <cell r="M103">
            <v>2969</v>
          </cell>
          <cell r="N103">
            <v>3.7546166480931201E-6</v>
          </cell>
          <cell r="O103">
            <v>3351</v>
          </cell>
          <cell r="P103">
            <v>0.09</v>
          </cell>
          <cell r="Q103">
            <v>1523</v>
          </cell>
        </row>
        <row r="104">
          <cell r="B104" t="str">
            <v>ATASCADERO 1101747522</v>
          </cell>
          <cell r="C104">
            <v>182541101</v>
          </cell>
          <cell r="D104" t="str">
            <v>ATASCADERO 1101</v>
          </cell>
          <cell r="E104">
            <v>747522</v>
          </cell>
          <cell r="F104" t="b">
            <v>1</v>
          </cell>
          <cell r="G104">
            <v>1686.5664360926901</v>
          </cell>
          <cell r="H104">
            <v>412.94091274442798</v>
          </cell>
          <cell r="I104">
            <v>16</v>
          </cell>
          <cell r="J104">
            <v>4.7461159795147897E-5</v>
          </cell>
          <cell r="K104">
            <v>3103</v>
          </cell>
          <cell r="L104">
            <v>6.5468220040202099E-2</v>
          </cell>
          <cell r="M104">
            <v>3390</v>
          </cell>
          <cell r="N104">
            <v>3.1133336680925799E-6</v>
          </cell>
          <cell r="O104">
            <v>3402</v>
          </cell>
          <cell r="Q104">
            <v>3378</v>
          </cell>
        </row>
        <row r="105">
          <cell r="B105" t="str">
            <v>ATASCADERO 1101A02</v>
          </cell>
          <cell r="C105">
            <v>182541101</v>
          </cell>
          <cell r="D105" t="str">
            <v>ATASCADERO 1101</v>
          </cell>
          <cell r="E105" t="str">
            <v>A02</v>
          </cell>
          <cell r="F105" t="b">
            <v>0</v>
          </cell>
          <cell r="G105">
            <v>41006.574185768601</v>
          </cell>
          <cell r="H105">
            <v>41006.574185768601</v>
          </cell>
          <cell r="I105">
            <v>253</v>
          </cell>
          <cell r="J105">
            <v>5.8640192772840999E-5</v>
          </cell>
          <cell r="K105">
            <v>2818</v>
          </cell>
          <cell r="L105">
            <v>542.88180315326599</v>
          </cell>
          <cell r="M105">
            <v>1156</v>
          </cell>
          <cell r="N105">
            <v>3.02333981034194E-2</v>
          </cell>
          <cell r="O105">
            <v>1458</v>
          </cell>
          <cell r="P105">
            <v>2.41</v>
          </cell>
          <cell r="Q105">
            <v>606</v>
          </cell>
        </row>
        <row r="106">
          <cell r="B106" t="str">
            <v>ATASCADERO 1101A22</v>
          </cell>
          <cell r="C106">
            <v>182541101</v>
          </cell>
          <cell r="D106" t="str">
            <v>ATASCADERO 1101</v>
          </cell>
          <cell r="E106" t="str">
            <v>A22</v>
          </cell>
          <cell r="F106" t="b">
            <v>1</v>
          </cell>
          <cell r="G106">
            <v>21048.173709311799</v>
          </cell>
          <cell r="H106">
            <v>0</v>
          </cell>
          <cell r="I106">
            <v>167</v>
          </cell>
          <cell r="J106">
            <v>6.0116612141297299E-5</v>
          </cell>
          <cell r="K106">
            <v>2769</v>
          </cell>
          <cell r="L106">
            <v>362.80625481310102</v>
          </cell>
          <cell r="M106">
            <v>1349</v>
          </cell>
          <cell r="N106">
            <v>2.2888542080238501E-2</v>
          </cell>
          <cell r="O106">
            <v>1605</v>
          </cell>
          <cell r="P106">
            <v>0.03</v>
          </cell>
          <cell r="Q106">
            <v>2288</v>
          </cell>
        </row>
        <row r="107">
          <cell r="B107" t="str">
            <v>ATASCADERO 1101A50</v>
          </cell>
          <cell r="C107">
            <v>182541101</v>
          </cell>
          <cell r="D107" t="str">
            <v>ATASCADERO 1101</v>
          </cell>
          <cell r="E107" t="str">
            <v>A50</v>
          </cell>
          <cell r="F107" t="b">
            <v>0</v>
          </cell>
          <cell r="G107">
            <v>33669.938270298902</v>
          </cell>
          <cell r="H107">
            <v>31118.708664810099</v>
          </cell>
          <cell r="I107">
            <v>269</v>
          </cell>
          <cell r="J107">
            <v>5.5958462985387999E-5</v>
          </cell>
          <cell r="K107">
            <v>2891</v>
          </cell>
          <cell r="L107">
            <v>116.83187771474999</v>
          </cell>
          <cell r="M107">
            <v>1888</v>
          </cell>
          <cell r="N107">
            <v>5.5801820831127801E-3</v>
          </cell>
          <cell r="O107">
            <v>2178</v>
          </cell>
          <cell r="P107">
            <v>0.22</v>
          </cell>
          <cell r="Q107">
            <v>1131</v>
          </cell>
        </row>
        <row r="108">
          <cell r="B108" t="str">
            <v>ATASCADERO 1101CB</v>
          </cell>
          <cell r="C108">
            <v>182541101</v>
          </cell>
          <cell r="D108" t="str">
            <v>ATASCADERO 1101</v>
          </cell>
          <cell r="E108" t="str">
            <v>CB</v>
          </cell>
          <cell r="F108" t="b">
            <v>1</v>
          </cell>
          <cell r="G108">
            <v>1686.9103577240301</v>
          </cell>
          <cell r="H108">
            <v>61.190977997708401</v>
          </cell>
          <cell r="I108">
            <v>24</v>
          </cell>
          <cell r="J108">
            <v>5.5357453991588103E-5</v>
          </cell>
          <cell r="K108">
            <v>2902</v>
          </cell>
          <cell r="L108">
            <v>6.5254066760341303E-2</v>
          </cell>
          <cell r="M108">
            <v>3478</v>
          </cell>
          <cell r="N108">
            <v>3.6134882748089099E-6</v>
          </cell>
          <cell r="O108">
            <v>3359</v>
          </cell>
          <cell r="P108">
            <v>0.03</v>
          </cell>
          <cell r="Q108">
            <v>2342</v>
          </cell>
        </row>
        <row r="109">
          <cell r="B109" t="str">
            <v>ATASCADERO 1102825520</v>
          </cell>
          <cell r="C109">
            <v>182541102</v>
          </cell>
          <cell r="D109" t="str">
            <v>ATASCADERO 1102</v>
          </cell>
          <cell r="E109">
            <v>825520</v>
          </cell>
          <cell r="F109" t="b">
            <v>0</v>
          </cell>
          <cell r="G109">
            <v>2407.65306320945</v>
          </cell>
          <cell r="H109">
            <v>1896.92416414587</v>
          </cell>
          <cell r="I109">
            <v>21</v>
          </cell>
          <cell r="J109">
            <v>4.6814926550030598E-5</v>
          </cell>
          <cell r="K109">
            <v>3116</v>
          </cell>
          <cell r="L109">
            <v>8.38594480320101</v>
          </cell>
          <cell r="M109">
            <v>2659</v>
          </cell>
          <cell r="N109">
            <v>4.7064011228026102E-4</v>
          </cell>
          <cell r="O109">
            <v>2740</v>
          </cell>
          <cell r="Q109">
            <v>3202</v>
          </cell>
        </row>
        <row r="110">
          <cell r="B110" t="str">
            <v>ATASCADERO 1102CB</v>
          </cell>
          <cell r="C110">
            <v>182541102</v>
          </cell>
          <cell r="D110" t="str">
            <v>ATASCADERO 1102</v>
          </cell>
          <cell r="E110" t="str">
            <v>CB</v>
          </cell>
          <cell r="F110" t="b">
            <v>1</v>
          </cell>
          <cell r="G110">
            <v>8168.5567495117803</v>
          </cell>
          <cell r="H110">
            <v>0</v>
          </cell>
          <cell r="I110">
            <v>67</v>
          </cell>
          <cell r="J110">
            <v>6.4156204409686497E-5</v>
          </cell>
          <cell r="K110">
            <v>2638</v>
          </cell>
          <cell r="L110">
            <v>6.5524667501449502E-2</v>
          </cell>
          <cell r="M110">
            <v>3359</v>
          </cell>
          <cell r="N110">
            <v>4.20699998095773E-6</v>
          </cell>
          <cell r="O110">
            <v>3320</v>
          </cell>
          <cell r="Q110">
            <v>2730</v>
          </cell>
        </row>
        <row r="111">
          <cell r="B111" t="str">
            <v>ATASCADERO 1103395936</v>
          </cell>
          <cell r="C111">
            <v>182541103</v>
          </cell>
          <cell r="D111" t="str">
            <v>ATASCADERO 1103</v>
          </cell>
          <cell r="E111">
            <v>395936</v>
          </cell>
          <cell r="F111" t="b">
            <v>1</v>
          </cell>
          <cell r="G111">
            <v>1081.2510992786799</v>
          </cell>
          <cell r="H111">
            <v>685.76618555263599</v>
          </cell>
          <cell r="I111">
            <v>6</v>
          </cell>
          <cell r="J111">
            <v>7.0764752308605198E-5</v>
          </cell>
          <cell r="K111">
            <v>2449</v>
          </cell>
          <cell r="L111">
            <v>6.6003603239854103E-2</v>
          </cell>
          <cell r="M111">
            <v>3222</v>
          </cell>
          <cell r="N111">
            <v>4.6656327108222997E-6</v>
          </cell>
          <cell r="O111">
            <v>3282</v>
          </cell>
          <cell r="Q111">
            <v>3422</v>
          </cell>
        </row>
        <row r="112">
          <cell r="B112" t="str">
            <v>ATASCADERO 1103440856</v>
          </cell>
          <cell r="C112">
            <v>182541103</v>
          </cell>
          <cell r="D112" t="str">
            <v>ATASCADERO 1103</v>
          </cell>
          <cell r="E112">
            <v>440856</v>
          </cell>
          <cell r="F112" t="b">
            <v>0</v>
          </cell>
          <cell r="G112">
            <v>56881.410767057401</v>
          </cell>
          <cell r="H112">
            <v>56011.612348494302</v>
          </cell>
          <cell r="I112">
            <v>349</v>
          </cell>
          <cell r="J112">
            <v>6.3247805500623802E-5</v>
          </cell>
          <cell r="K112">
            <v>2669</v>
          </cell>
          <cell r="L112">
            <v>673.53886400082001</v>
          </cell>
          <cell r="M112">
            <v>1040</v>
          </cell>
          <cell r="N112">
            <v>4.0646618221644698E-2</v>
          </cell>
          <cell r="O112">
            <v>1294</v>
          </cell>
          <cell r="Q112">
            <v>3143</v>
          </cell>
        </row>
        <row r="113">
          <cell r="B113" t="str">
            <v>ATASCADERO 1103492068</v>
          </cell>
          <cell r="C113">
            <v>182541103</v>
          </cell>
          <cell r="D113" t="str">
            <v>ATASCADERO 1103</v>
          </cell>
          <cell r="E113">
            <v>492068</v>
          </cell>
          <cell r="F113" t="b">
            <v>0</v>
          </cell>
          <cell r="G113">
            <v>13334.893509907301</v>
          </cell>
          <cell r="H113">
            <v>11954.628142088701</v>
          </cell>
          <cell r="I113">
            <v>75</v>
          </cell>
          <cell r="J113">
            <v>6.9325235761032202E-5</v>
          </cell>
          <cell r="K113">
            <v>2495</v>
          </cell>
          <cell r="L113">
            <v>169.75166047960499</v>
          </cell>
          <cell r="M113">
            <v>1718</v>
          </cell>
          <cell r="N113">
            <v>1.0771887435303299E-2</v>
          </cell>
          <cell r="O113">
            <v>1930</v>
          </cell>
          <cell r="Q113">
            <v>2812</v>
          </cell>
        </row>
        <row r="114">
          <cell r="B114" t="str">
            <v>ATASCADERO 1103A06</v>
          </cell>
          <cell r="C114">
            <v>182541103</v>
          </cell>
          <cell r="D114" t="str">
            <v>ATASCADERO 1103</v>
          </cell>
          <cell r="E114" t="str">
            <v>A06</v>
          </cell>
          <cell r="F114" t="b">
            <v>1</v>
          </cell>
          <cell r="G114">
            <v>3295.4951478570301</v>
          </cell>
          <cell r="H114">
            <v>441.61268939835099</v>
          </cell>
          <cell r="I114">
            <v>27</v>
          </cell>
          <cell r="J114">
            <v>6.1338741438198097E-5</v>
          </cell>
          <cell r="K114">
            <v>2740</v>
          </cell>
          <cell r="L114">
            <v>154.36438910966601</v>
          </cell>
          <cell r="M114">
            <v>1764</v>
          </cell>
          <cell r="N114">
            <v>1.25656778975025E-2</v>
          </cell>
          <cell r="O114">
            <v>1858</v>
          </cell>
          <cell r="P114">
            <v>23.54</v>
          </cell>
          <cell r="Q114">
            <v>284</v>
          </cell>
        </row>
        <row r="115">
          <cell r="B115" t="str">
            <v>ATASCADERO 1103A14</v>
          </cell>
          <cell r="C115">
            <v>182541103</v>
          </cell>
          <cell r="D115" t="str">
            <v>ATASCADERO 1103</v>
          </cell>
          <cell r="E115" t="str">
            <v>A14</v>
          </cell>
          <cell r="F115" t="b">
            <v>0</v>
          </cell>
          <cell r="G115">
            <v>40416.423734015603</v>
          </cell>
          <cell r="H115">
            <v>40416.423734015603</v>
          </cell>
          <cell r="I115">
            <v>152</v>
          </cell>
          <cell r="J115">
            <v>7.4203644224916002E-5</v>
          </cell>
          <cell r="K115">
            <v>2351</v>
          </cell>
          <cell r="L115">
            <v>1301.8625071556701</v>
          </cell>
          <cell r="M115">
            <v>681</v>
          </cell>
          <cell r="N115">
            <v>8.8417764423527501E-2</v>
          </cell>
          <cell r="O115">
            <v>837</v>
          </cell>
          <cell r="P115">
            <v>7.0000000000000007E-2</v>
          </cell>
          <cell r="Q115">
            <v>1686</v>
          </cell>
        </row>
        <row r="116">
          <cell r="B116" t="str">
            <v>ATASCADERO 1103A16</v>
          </cell>
          <cell r="C116">
            <v>182541103</v>
          </cell>
          <cell r="D116" t="str">
            <v>ATASCADERO 1103</v>
          </cell>
          <cell r="E116" t="str">
            <v>A16</v>
          </cell>
          <cell r="F116" t="b">
            <v>0</v>
          </cell>
          <cell r="G116">
            <v>32308.061863217299</v>
          </cell>
          <cell r="H116">
            <v>31835.908797152799</v>
          </cell>
          <cell r="I116">
            <v>122</v>
          </cell>
          <cell r="J116">
            <v>9.9133962233584805E-5</v>
          </cell>
          <cell r="K116">
            <v>1665</v>
          </cell>
          <cell r="L116">
            <v>1262.4628257767899</v>
          </cell>
          <cell r="M116">
            <v>693</v>
          </cell>
          <cell r="N116">
            <v>0.12088199688459</v>
          </cell>
          <cell r="O116">
            <v>641</v>
          </cell>
          <cell r="P116">
            <v>7.0000000000000007E-2</v>
          </cell>
          <cell r="Q116">
            <v>1702</v>
          </cell>
        </row>
        <row r="117">
          <cell r="B117" t="str">
            <v>ATASCADERO 1103A18</v>
          </cell>
          <cell r="C117">
            <v>182541103</v>
          </cell>
          <cell r="D117" t="str">
            <v>ATASCADERO 1103</v>
          </cell>
          <cell r="E117" t="str">
            <v>A18</v>
          </cell>
          <cell r="F117" t="b">
            <v>0</v>
          </cell>
          <cell r="G117">
            <v>29115.662237062199</v>
          </cell>
          <cell r="H117">
            <v>14189.364219982999</v>
          </cell>
          <cell r="I117">
            <v>188</v>
          </cell>
          <cell r="J117">
            <v>6.7022314113430196E-5</v>
          </cell>
          <cell r="K117">
            <v>2556</v>
          </cell>
          <cell r="L117">
            <v>932.88752942662995</v>
          </cell>
          <cell r="M117">
            <v>868</v>
          </cell>
          <cell r="N117">
            <v>6.59937088402692E-2</v>
          </cell>
          <cell r="O117">
            <v>1013</v>
          </cell>
          <cell r="P117">
            <v>1.58</v>
          </cell>
          <cell r="Q117">
            <v>663</v>
          </cell>
        </row>
        <row r="118">
          <cell r="B118" t="str">
            <v>ATASCADERO 1103A46</v>
          </cell>
          <cell r="C118">
            <v>182541103</v>
          </cell>
          <cell r="D118" t="str">
            <v>ATASCADERO 1103</v>
          </cell>
          <cell r="E118" t="str">
            <v>A46</v>
          </cell>
          <cell r="F118" t="b">
            <v>1</v>
          </cell>
          <cell r="G118">
            <v>13904.7944465367</v>
          </cell>
          <cell r="H118">
            <v>633.10984535511295</v>
          </cell>
          <cell r="I118">
            <v>94</v>
          </cell>
          <cell r="J118">
            <v>8.1941112783053804E-5</v>
          </cell>
          <cell r="K118">
            <v>2157</v>
          </cell>
          <cell r="L118">
            <v>550.24114465285402</v>
          </cell>
          <cell r="M118">
            <v>1144</v>
          </cell>
          <cell r="N118">
            <v>6.17500204482683E-2</v>
          </cell>
          <cell r="O118">
            <v>1046</v>
          </cell>
          <cell r="P118">
            <v>0.02</v>
          </cell>
          <cell r="Q118">
            <v>2447</v>
          </cell>
        </row>
        <row r="119">
          <cell r="B119" t="str">
            <v>ATASCADERO 1103A88</v>
          </cell>
          <cell r="C119">
            <v>182541103</v>
          </cell>
          <cell r="D119" t="str">
            <v>ATASCADERO 1103</v>
          </cell>
          <cell r="E119" t="str">
            <v>A88</v>
          </cell>
          <cell r="F119" t="b">
            <v>0</v>
          </cell>
          <cell r="G119">
            <v>4298.2003188480203</v>
          </cell>
          <cell r="H119">
            <v>1506.8203210489201</v>
          </cell>
          <cell r="I119">
            <v>41</v>
          </cell>
          <cell r="J119">
            <v>7.0723966284897807E-5</v>
          </cell>
          <cell r="K119">
            <v>2450</v>
          </cell>
          <cell r="L119">
            <v>118.296620108005</v>
          </cell>
          <cell r="M119">
            <v>1877</v>
          </cell>
          <cell r="N119">
            <v>8.8690237916718793E-3</v>
          </cell>
          <cell r="O119">
            <v>2008</v>
          </cell>
          <cell r="P119">
            <v>0.51</v>
          </cell>
          <cell r="Q119">
            <v>891</v>
          </cell>
        </row>
        <row r="120">
          <cell r="B120" t="str">
            <v>ATASCADERO 1103CB</v>
          </cell>
          <cell r="C120">
            <v>182541103</v>
          </cell>
          <cell r="D120" t="str">
            <v>ATASCADERO 1103</v>
          </cell>
          <cell r="E120" t="str">
            <v>CB</v>
          </cell>
          <cell r="F120" t="b">
            <v>1</v>
          </cell>
          <cell r="G120">
            <v>2195.0051684820901</v>
          </cell>
          <cell r="H120">
            <v>304.33241119734902</v>
          </cell>
          <cell r="I120">
            <v>18</v>
          </cell>
          <cell r="J120">
            <v>7.9462172888109705E-5</v>
          </cell>
          <cell r="K120">
            <v>2222</v>
          </cell>
          <cell r="L120">
            <v>3.58525583148002</v>
          </cell>
          <cell r="M120">
            <v>2789</v>
          </cell>
          <cell r="N120">
            <v>3.1226694723438702E-4</v>
          </cell>
          <cell r="O120">
            <v>2790</v>
          </cell>
          <cell r="P120">
            <v>1.29</v>
          </cell>
          <cell r="Q120">
            <v>688</v>
          </cell>
        </row>
        <row r="121">
          <cell r="B121" t="str">
            <v>AUBERRY 1101176050</v>
          </cell>
          <cell r="C121">
            <v>254151101</v>
          </cell>
          <cell r="D121" t="str">
            <v>AUBERRY 1101</v>
          </cell>
          <cell r="E121">
            <v>176050</v>
          </cell>
          <cell r="F121" t="b">
            <v>0</v>
          </cell>
          <cell r="G121">
            <v>33994.9383950056</v>
          </cell>
          <cell r="H121">
            <v>33994.9383950056</v>
          </cell>
          <cell r="I121">
            <v>168</v>
          </cell>
          <cell r="J121">
            <v>3.5007377721081299E-5</v>
          </cell>
          <cell r="K121">
            <v>3352</v>
          </cell>
          <cell r="L121">
            <v>1021.47339331265</v>
          </cell>
          <cell r="M121">
            <v>814</v>
          </cell>
          <cell r="N121">
            <v>4.0157157334577497E-2</v>
          </cell>
          <cell r="O121">
            <v>1302</v>
          </cell>
          <cell r="Q121">
            <v>2863</v>
          </cell>
        </row>
        <row r="122">
          <cell r="B122" t="str">
            <v>AUBERRY 110137536</v>
          </cell>
          <cell r="C122">
            <v>254151101</v>
          </cell>
          <cell r="D122" t="str">
            <v>AUBERRY 1101</v>
          </cell>
          <cell r="E122">
            <v>37536</v>
          </cell>
          <cell r="F122" t="b">
            <v>0</v>
          </cell>
          <cell r="G122">
            <v>8687.6907299792292</v>
          </cell>
          <cell r="H122">
            <v>8687.6907299792292</v>
          </cell>
          <cell r="I122">
            <v>60</v>
          </cell>
          <cell r="J122">
            <v>4.0037276782337897E-5</v>
          </cell>
          <cell r="K122">
            <v>3267</v>
          </cell>
          <cell r="L122">
            <v>1761.4133311020701</v>
          </cell>
          <cell r="M122">
            <v>511</v>
          </cell>
          <cell r="N122">
            <v>7.5514999329010901E-2</v>
          </cell>
          <cell r="O122">
            <v>934</v>
          </cell>
          <cell r="P122">
            <v>7.0000000000000007E-2</v>
          </cell>
          <cell r="Q122">
            <v>1729</v>
          </cell>
        </row>
        <row r="123">
          <cell r="B123" t="str">
            <v>AUBERRY 110149122</v>
          </cell>
          <cell r="C123">
            <v>254151101</v>
          </cell>
          <cell r="D123" t="str">
            <v>AUBERRY 1101</v>
          </cell>
          <cell r="E123">
            <v>49122</v>
          </cell>
          <cell r="F123" t="b">
            <v>0</v>
          </cell>
          <cell r="G123">
            <v>6376.3554464265999</v>
          </cell>
          <cell r="H123">
            <v>6376.3554464265999</v>
          </cell>
          <cell r="I123">
            <v>40</v>
          </cell>
          <cell r="J123">
            <v>4.9195541942026397E-5</v>
          </cell>
          <cell r="K123">
            <v>3060</v>
          </cell>
          <cell r="L123">
            <v>3584.6163536822401</v>
          </cell>
          <cell r="M123">
            <v>191</v>
          </cell>
          <cell r="N123">
            <v>0.199068397241453</v>
          </cell>
          <cell r="O123">
            <v>330</v>
          </cell>
          <cell r="P123">
            <v>1.33</v>
          </cell>
          <cell r="Q123">
            <v>682</v>
          </cell>
        </row>
        <row r="124">
          <cell r="B124" t="str">
            <v>AUBERRY 1101CB</v>
          </cell>
          <cell r="C124">
            <v>254151101</v>
          </cell>
          <cell r="D124" t="str">
            <v>AUBERRY 1101</v>
          </cell>
          <cell r="E124" t="str">
            <v>CB</v>
          </cell>
          <cell r="F124" t="b">
            <v>0</v>
          </cell>
          <cell r="G124">
            <v>29229.217199372099</v>
          </cell>
          <cell r="H124">
            <v>29229.217199372099</v>
          </cell>
          <cell r="I124">
            <v>204</v>
          </cell>
          <cell r="J124">
            <v>8.20844983841175E-5</v>
          </cell>
          <cell r="K124">
            <v>2150</v>
          </cell>
          <cell r="L124">
            <v>5306.8686394137703</v>
          </cell>
          <cell r="M124">
            <v>52</v>
          </cell>
          <cell r="N124">
            <v>0.392059401737966</v>
          </cell>
          <cell r="O124">
            <v>63</v>
          </cell>
          <cell r="P124">
            <v>0.11</v>
          </cell>
          <cell r="Q124">
            <v>1431</v>
          </cell>
        </row>
        <row r="125">
          <cell r="B125" t="str">
            <v>AUBERRY 1101D4982</v>
          </cell>
          <cell r="C125">
            <v>254151101</v>
          </cell>
          <cell r="D125" t="str">
            <v>AUBERRY 1101</v>
          </cell>
          <cell r="E125" t="str">
            <v>D4982</v>
          </cell>
          <cell r="F125" t="b">
            <v>0</v>
          </cell>
          <cell r="G125">
            <v>4312.8610379173697</v>
          </cell>
          <cell r="H125">
            <v>4312.8610379173697</v>
          </cell>
          <cell r="I125">
            <v>21</v>
          </cell>
          <cell r="J125">
            <v>3.0625208182755098E-5</v>
          </cell>
          <cell r="K125">
            <v>3421</v>
          </cell>
          <cell r="L125">
            <v>38.537056578332098</v>
          </cell>
          <cell r="M125">
            <v>2287</v>
          </cell>
          <cell r="N125">
            <v>1.62480584924966E-3</v>
          </cell>
          <cell r="O125">
            <v>2535</v>
          </cell>
          <cell r="P125">
            <v>33.369999999999997</v>
          </cell>
          <cell r="Q125">
            <v>222</v>
          </cell>
        </row>
        <row r="126">
          <cell r="B126" t="str">
            <v>AUBERRY 1101R2578</v>
          </cell>
          <cell r="C126">
            <v>254151101</v>
          </cell>
          <cell r="D126" t="str">
            <v>AUBERRY 1101</v>
          </cell>
          <cell r="E126" t="str">
            <v>R2578</v>
          </cell>
          <cell r="F126" t="b">
            <v>0</v>
          </cell>
          <cell r="G126">
            <v>74560.009949177693</v>
          </cell>
          <cell r="H126">
            <v>74560.009949177693</v>
          </cell>
          <cell r="I126">
            <v>506</v>
          </cell>
          <cell r="J126">
            <v>5.7510412594944297E-5</v>
          </cell>
          <cell r="K126">
            <v>2848</v>
          </cell>
          <cell r="L126">
            <v>5003.4373488956098</v>
          </cell>
          <cell r="M126">
            <v>77</v>
          </cell>
          <cell r="N126">
            <v>0.27714122298972199</v>
          </cell>
          <cell r="O126">
            <v>163</v>
          </cell>
          <cell r="P126">
            <v>0.12</v>
          </cell>
          <cell r="Q126">
            <v>1377</v>
          </cell>
        </row>
        <row r="127">
          <cell r="B127" t="str">
            <v>AUBERRY 1101R2579</v>
          </cell>
          <cell r="C127">
            <v>254151101</v>
          </cell>
          <cell r="D127" t="str">
            <v>AUBERRY 1101</v>
          </cell>
          <cell r="E127" t="str">
            <v>R2579</v>
          </cell>
          <cell r="F127" t="b">
            <v>0</v>
          </cell>
          <cell r="G127">
            <v>56162.7607335867</v>
          </cell>
          <cell r="H127">
            <v>56162.7607335867</v>
          </cell>
          <cell r="I127">
            <v>286</v>
          </cell>
          <cell r="J127">
            <v>4.3678770870759699E-5</v>
          </cell>
          <cell r="K127">
            <v>3195</v>
          </cell>
          <cell r="L127">
            <v>4995.9653849461502</v>
          </cell>
          <cell r="M127">
            <v>78</v>
          </cell>
          <cell r="N127">
            <v>0.22394026172950501</v>
          </cell>
          <cell r="O127">
            <v>277</v>
          </cell>
          <cell r="P127">
            <v>0.05</v>
          </cell>
          <cell r="Q127">
            <v>1982</v>
          </cell>
        </row>
        <row r="128">
          <cell r="B128" t="str">
            <v>AUBERRY 1101R2838</v>
          </cell>
          <cell r="C128">
            <v>254151101</v>
          </cell>
          <cell r="D128" t="str">
            <v>AUBERRY 1101</v>
          </cell>
          <cell r="E128" t="str">
            <v>R2838</v>
          </cell>
          <cell r="F128" t="b">
            <v>0</v>
          </cell>
          <cell r="G128">
            <v>32896.729961233403</v>
          </cell>
          <cell r="H128">
            <v>32896.729961233403</v>
          </cell>
          <cell r="I128">
            <v>210</v>
          </cell>
          <cell r="J128">
            <v>3.7309230880994998E-5</v>
          </cell>
          <cell r="K128">
            <v>3308</v>
          </cell>
          <cell r="L128">
            <v>2069.6718411228499</v>
          </cell>
          <cell r="M128">
            <v>438</v>
          </cell>
          <cell r="N128">
            <v>6.8543773145338993E-2</v>
          </cell>
          <cell r="O128">
            <v>989</v>
          </cell>
          <cell r="P128">
            <v>0.21</v>
          </cell>
          <cell r="Q128">
            <v>1136</v>
          </cell>
        </row>
        <row r="129">
          <cell r="B129" t="str">
            <v>AUBERRY 1101R2839</v>
          </cell>
          <cell r="C129">
            <v>254151101</v>
          </cell>
          <cell r="D129" t="str">
            <v>AUBERRY 1101</v>
          </cell>
          <cell r="E129" t="str">
            <v>R2839</v>
          </cell>
          <cell r="F129" t="b">
            <v>0</v>
          </cell>
          <cell r="G129">
            <v>20608.9537063721</v>
          </cell>
          <cell r="H129">
            <v>20608.9537063721</v>
          </cell>
          <cell r="I129">
            <v>121</v>
          </cell>
          <cell r="J129">
            <v>6.3712531924420895E-5</v>
          </cell>
          <cell r="K129">
            <v>2657</v>
          </cell>
          <cell r="L129">
            <v>3802.01618389551</v>
          </cell>
          <cell r="M129">
            <v>170</v>
          </cell>
          <cell r="N129">
            <v>0.225012984930165</v>
          </cell>
          <cell r="O129">
            <v>274</v>
          </cell>
          <cell r="P129">
            <v>7.0000000000000007E-2</v>
          </cell>
          <cell r="Q129">
            <v>1746</v>
          </cell>
        </row>
        <row r="130">
          <cell r="B130" t="str">
            <v>AUBERRY 1101R2845</v>
          </cell>
          <cell r="C130">
            <v>254151101</v>
          </cell>
          <cell r="D130" t="str">
            <v>AUBERRY 1101</v>
          </cell>
          <cell r="E130" t="str">
            <v>R2845</v>
          </cell>
          <cell r="F130" t="b">
            <v>0</v>
          </cell>
          <cell r="G130">
            <v>28680.0592660681</v>
          </cell>
          <cell r="H130">
            <v>28680.0592660681</v>
          </cell>
          <cell r="I130">
            <v>172</v>
          </cell>
          <cell r="J130">
            <v>4.0940823900574898E-5</v>
          </cell>
          <cell r="K130">
            <v>3246</v>
          </cell>
          <cell r="L130">
            <v>1025.90074850531</v>
          </cell>
          <cell r="M130">
            <v>811</v>
          </cell>
          <cell r="N130">
            <v>4.7182277694944402E-2</v>
          </cell>
          <cell r="O130">
            <v>1209</v>
          </cell>
          <cell r="P130">
            <v>0.19</v>
          </cell>
          <cell r="Q130">
            <v>1180</v>
          </cell>
        </row>
        <row r="131">
          <cell r="B131" t="str">
            <v>AUBERRY 1101R314</v>
          </cell>
          <cell r="C131">
            <v>254151101</v>
          </cell>
          <cell r="D131" t="str">
            <v>AUBERRY 1101</v>
          </cell>
          <cell r="E131" t="str">
            <v>R314</v>
          </cell>
          <cell r="F131" t="b">
            <v>0</v>
          </cell>
          <cell r="G131">
            <v>71701.239616999694</v>
          </cell>
          <cell r="H131">
            <v>68245.532350119494</v>
          </cell>
          <cell r="I131">
            <v>390</v>
          </cell>
          <cell r="J131">
            <v>3.2525513624301203E-5</v>
          </cell>
          <cell r="K131">
            <v>3393</v>
          </cell>
          <cell r="L131">
            <v>6228.9606849819002</v>
          </cell>
          <cell r="M131">
            <v>25</v>
          </cell>
          <cell r="N131">
            <v>0.20004361215688499</v>
          </cell>
          <cell r="O131">
            <v>327</v>
          </cell>
          <cell r="P131">
            <v>0.11</v>
          </cell>
          <cell r="Q131">
            <v>1437</v>
          </cell>
        </row>
        <row r="132">
          <cell r="B132" t="str">
            <v>AUBERRY 1101R322</v>
          </cell>
          <cell r="C132">
            <v>254151101</v>
          </cell>
          <cell r="D132" t="str">
            <v>AUBERRY 1101</v>
          </cell>
          <cell r="E132" t="str">
            <v>R322</v>
          </cell>
          <cell r="F132" t="b">
            <v>0</v>
          </cell>
          <cell r="G132">
            <v>12336.4698828771</v>
          </cell>
          <cell r="H132">
            <v>12336.4698828771</v>
          </cell>
          <cell r="I132">
            <v>44</v>
          </cell>
          <cell r="J132">
            <v>3.51225060851077E-5</v>
          </cell>
          <cell r="K132">
            <v>3349</v>
          </cell>
          <cell r="L132">
            <v>2118.7774770814699</v>
          </cell>
          <cell r="M132">
            <v>422</v>
          </cell>
          <cell r="N132">
            <v>7.3065362450398297E-2</v>
          </cell>
          <cell r="O132">
            <v>956</v>
          </cell>
          <cell r="P132">
            <v>0.06</v>
          </cell>
          <cell r="Q132">
            <v>1886</v>
          </cell>
        </row>
        <row r="133">
          <cell r="B133" t="str">
            <v>AUBERRY 1101R324</v>
          </cell>
          <cell r="C133">
            <v>254151101</v>
          </cell>
          <cell r="D133" t="str">
            <v>AUBERRY 1101</v>
          </cell>
          <cell r="E133" t="str">
            <v>R324</v>
          </cell>
          <cell r="F133" t="b">
            <v>0</v>
          </cell>
          <cell r="G133">
            <v>17238.393393885999</v>
          </cell>
          <cell r="H133">
            <v>17238.393393885999</v>
          </cell>
          <cell r="I133">
            <v>119</v>
          </cell>
          <cell r="J133">
            <v>3.9517375656590397E-5</v>
          </cell>
          <cell r="K133">
            <v>3277</v>
          </cell>
          <cell r="L133">
            <v>112.28512852946901</v>
          </cell>
          <cell r="M133">
            <v>1904</v>
          </cell>
          <cell r="N133">
            <v>4.8731050414983898E-3</v>
          </cell>
          <cell r="O133">
            <v>2209</v>
          </cell>
          <cell r="P133">
            <v>35.54</v>
          </cell>
          <cell r="Q133">
            <v>213</v>
          </cell>
        </row>
        <row r="134">
          <cell r="B134" t="str">
            <v>AUBERRY 110237466</v>
          </cell>
          <cell r="C134">
            <v>254151102</v>
          </cell>
          <cell r="D134" t="str">
            <v>AUBERRY 1102</v>
          </cell>
          <cell r="E134">
            <v>37466</v>
          </cell>
          <cell r="F134" t="b">
            <v>0</v>
          </cell>
          <cell r="G134">
            <v>50978.082489944303</v>
          </cell>
          <cell r="H134">
            <v>50460.228711966804</v>
          </cell>
          <cell r="I134">
            <v>345</v>
          </cell>
          <cell r="J134">
            <v>3.23229090402795E-5</v>
          </cell>
          <cell r="K134">
            <v>3395</v>
          </cell>
          <cell r="L134">
            <v>6743.7065428179403</v>
          </cell>
          <cell r="M134">
            <v>13</v>
          </cell>
          <cell r="N134">
            <v>0.21126786829620001</v>
          </cell>
          <cell r="O134">
            <v>306</v>
          </cell>
          <cell r="P134">
            <v>0.08</v>
          </cell>
          <cell r="Q134">
            <v>1598</v>
          </cell>
        </row>
        <row r="135">
          <cell r="B135" t="str">
            <v>AUBERRY 1102CB</v>
          </cell>
          <cell r="C135">
            <v>254151102</v>
          </cell>
          <cell r="D135" t="str">
            <v>AUBERRY 1102</v>
          </cell>
          <cell r="E135" t="str">
            <v>CB</v>
          </cell>
          <cell r="F135" t="b">
            <v>0</v>
          </cell>
          <cell r="G135">
            <v>55860.832528418803</v>
          </cell>
          <cell r="H135">
            <v>55860.832528418803</v>
          </cell>
          <cell r="I135">
            <v>368</v>
          </cell>
          <cell r="J135">
            <v>5.1188328086327303E-5</v>
          </cell>
          <cell r="K135">
            <v>3010</v>
          </cell>
          <cell r="L135">
            <v>6445.9013008461498</v>
          </cell>
          <cell r="M135">
            <v>19</v>
          </cell>
          <cell r="N135">
            <v>0.29172963321173001</v>
          </cell>
          <cell r="O135">
            <v>141</v>
          </cell>
          <cell r="P135">
            <v>0.21</v>
          </cell>
          <cell r="Q135">
            <v>1150</v>
          </cell>
        </row>
        <row r="136">
          <cell r="B136" t="str">
            <v>AUBERRY 1102R1013</v>
          </cell>
          <cell r="C136">
            <v>254151102</v>
          </cell>
          <cell r="D136" t="str">
            <v>AUBERRY 1102</v>
          </cell>
          <cell r="E136" t="str">
            <v>R1013</v>
          </cell>
          <cell r="F136" t="b">
            <v>0</v>
          </cell>
          <cell r="G136">
            <v>20054.430754174999</v>
          </cell>
          <cell r="H136">
            <v>20054.430754174999</v>
          </cell>
          <cell r="I136">
            <v>132</v>
          </cell>
          <cell r="J136">
            <v>5.20638125059497E-5</v>
          </cell>
          <cell r="K136">
            <v>2991</v>
          </cell>
          <cell r="L136">
            <v>4310.3961495785297</v>
          </cell>
          <cell r="M136">
            <v>125</v>
          </cell>
          <cell r="N136">
            <v>0.22385047699097499</v>
          </cell>
          <cell r="O136">
            <v>278</v>
          </cell>
          <cell r="P136">
            <v>0.08</v>
          </cell>
          <cell r="Q136">
            <v>1599</v>
          </cell>
        </row>
        <row r="137">
          <cell r="B137" t="str">
            <v>AUBERRY 1102R2850</v>
          </cell>
          <cell r="C137">
            <v>254151102</v>
          </cell>
          <cell r="D137" t="str">
            <v>AUBERRY 1102</v>
          </cell>
          <cell r="E137" t="str">
            <v>R2850</v>
          </cell>
          <cell r="F137" t="b">
            <v>0</v>
          </cell>
          <cell r="G137">
            <v>42428.426507024102</v>
          </cell>
          <cell r="H137">
            <v>42428.426507024102</v>
          </cell>
          <cell r="I137">
            <v>222</v>
          </cell>
          <cell r="J137">
            <v>3.6057098180787099E-5</v>
          </cell>
          <cell r="K137">
            <v>3337</v>
          </cell>
          <cell r="L137">
            <v>5548.30181189821</v>
          </cell>
          <cell r="M137">
            <v>47</v>
          </cell>
          <cell r="N137">
            <v>0.201663723154174</v>
          </cell>
          <cell r="O137">
            <v>321</v>
          </cell>
          <cell r="P137">
            <v>0.17</v>
          </cell>
          <cell r="Q137">
            <v>1244</v>
          </cell>
        </row>
        <row r="138">
          <cell r="B138" t="str">
            <v>AUBERRY 1102R309</v>
          </cell>
          <cell r="C138">
            <v>254151102</v>
          </cell>
          <cell r="D138" t="str">
            <v>AUBERRY 1102</v>
          </cell>
          <cell r="E138" t="str">
            <v>R309</v>
          </cell>
          <cell r="F138" t="b">
            <v>0</v>
          </cell>
          <cell r="G138">
            <v>13825.8858633821</v>
          </cell>
          <cell r="H138">
            <v>13825.8858633821</v>
          </cell>
          <cell r="I138">
            <v>92</v>
          </cell>
          <cell r="J138">
            <v>4.46894986712972E-5</v>
          </cell>
          <cell r="K138">
            <v>3170</v>
          </cell>
          <cell r="L138">
            <v>5876.5086190649499</v>
          </cell>
          <cell r="M138">
            <v>35</v>
          </cell>
          <cell r="N138">
            <v>0.27286096019091399</v>
          </cell>
          <cell r="O138">
            <v>175</v>
          </cell>
          <cell r="P138">
            <v>7.0000000000000007E-2</v>
          </cell>
          <cell r="Q138">
            <v>1734</v>
          </cell>
        </row>
        <row r="139">
          <cell r="B139" t="str">
            <v>AUBERRY 1102R902</v>
          </cell>
          <cell r="C139">
            <v>254151102</v>
          </cell>
          <cell r="D139" t="str">
            <v>AUBERRY 1102</v>
          </cell>
          <cell r="E139" t="str">
            <v>R902</v>
          </cell>
          <cell r="F139" t="b">
            <v>0</v>
          </cell>
          <cell r="G139">
            <v>24261.144021322099</v>
          </cell>
          <cell r="H139">
            <v>24261.144021322099</v>
          </cell>
          <cell r="I139">
            <v>156</v>
          </cell>
          <cell r="J139">
            <v>6.33315877656479E-5</v>
          </cell>
          <cell r="K139">
            <v>2666</v>
          </cell>
          <cell r="L139">
            <v>4129.7340630333902</v>
          </cell>
          <cell r="M139">
            <v>141</v>
          </cell>
          <cell r="N139">
            <v>0.25136913095552799</v>
          </cell>
          <cell r="O139">
            <v>213</v>
          </cell>
          <cell r="P139">
            <v>7.0000000000000007E-2</v>
          </cell>
          <cell r="Q139">
            <v>1688</v>
          </cell>
        </row>
        <row r="140">
          <cell r="B140" t="str">
            <v>AUBURN 1101173014</v>
          </cell>
          <cell r="C140">
            <v>152161101</v>
          </cell>
          <cell r="D140" t="str">
            <v>AUBURN 1101</v>
          </cell>
          <cell r="E140">
            <v>173014</v>
          </cell>
          <cell r="F140" t="b">
            <v>0</v>
          </cell>
          <cell r="G140">
            <v>5456.0353043852301</v>
          </cell>
          <cell r="H140">
            <v>5290.53133635021</v>
          </cell>
          <cell r="I140">
            <v>43</v>
          </cell>
          <cell r="J140">
            <v>1.8414301493543199E-4</v>
          </cell>
          <cell r="K140">
            <v>479</v>
          </cell>
          <cell r="L140">
            <v>19.9675388826433</v>
          </cell>
          <cell r="M140">
            <v>2449</v>
          </cell>
          <cell r="N140">
            <v>3.9357237198224398E-3</v>
          </cell>
          <cell r="O140">
            <v>2259</v>
          </cell>
          <cell r="Q140">
            <v>2680</v>
          </cell>
        </row>
        <row r="141">
          <cell r="B141" t="str">
            <v>AUBURN 11028611</v>
          </cell>
          <cell r="C141">
            <v>152161102</v>
          </cell>
          <cell r="D141" t="str">
            <v>AUBURN 1102</v>
          </cell>
          <cell r="E141">
            <v>8611</v>
          </cell>
          <cell r="F141" t="b">
            <v>0</v>
          </cell>
          <cell r="G141">
            <v>2893.9316818331299</v>
          </cell>
          <cell r="H141">
            <v>2893.9316818331299</v>
          </cell>
          <cell r="I141">
            <v>22</v>
          </cell>
          <cell r="J141">
            <v>2.0874727207145999E-4</v>
          </cell>
          <cell r="K141">
            <v>367</v>
          </cell>
          <cell r="L141">
            <v>6.6431531992944007E-2</v>
          </cell>
          <cell r="M141">
            <v>3005</v>
          </cell>
          <cell r="N141">
            <v>1.3867401083055001E-5</v>
          </cell>
          <cell r="O141">
            <v>3019</v>
          </cell>
          <cell r="P141">
            <v>0.05</v>
          </cell>
          <cell r="Q141">
            <v>1987</v>
          </cell>
        </row>
        <row r="142">
          <cell r="B142" t="str">
            <v>AUBURN 1102CB</v>
          </cell>
          <cell r="C142">
            <v>152161102</v>
          </cell>
          <cell r="D142" t="str">
            <v>AUBURN 1102</v>
          </cell>
          <cell r="E142" t="str">
            <v>CB</v>
          </cell>
          <cell r="F142" t="b">
            <v>0</v>
          </cell>
          <cell r="G142">
            <v>11489.455621274799</v>
          </cell>
          <cell r="H142">
            <v>2237.7237610944899</v>
          </cell>
          <cell r="I142">
            <v>99</v>
          </cell>
          <cell r="J142">
            <v>1.4106289341952999E-4</v>
          </cell>
          <cell r="K142">
            <v>853</v>
          </cell>
          <cell r="L142">
            <v>6.5344162337000397E-2</v>
          </cell>
          <cell r="M142">
            <v>3440</v>
          </cell>
          <cell r="N142">
            <v>9.2292027389035199E-6</v>
          </cell>
          <cell r="O142">
            <v>3088</v>
          </cell>
          <cell r="P142">
            <v>0.02</v>
          </cell>
          <cell r="Q142">
            <v>2562</v>
          </cell>
        </row>
        <row r="143">
          <cell r="B143" t="str">
            <v>BALCH NO 1 1101CB</v>
          </cell>
          <cell r="C143">
            <v>252501101</v>
          </cell>
          <cell r="D143" t="str">
            <v>BALCH NO 1 1101</v>
          </cell>
          <cell r="E143" t="str">
            <v>CB</v>
          </cell>
          <cell r="F143" t="b">
            <v>0</v>
          </cell>
          <cell r="G143">
            <v>16978.503858669799</v>
          </cell>
          <cell r="H143">
            <v>16978.503858669799</v>
          </cell>
          <cell r="I143">
            <v>33</v>
          </cell>
          <cell r="J143">
            <v>8.5557114834955395E-5</v>
          </cell>
          <cell r="K143">
            <v>2039</v>
          </cell>
          <cell r="L143">
            <v>4275.4303253485396</v>
          </cell>
          <cell r="M143">
            <v>128</v>
          </cell>
          <cell r="N143">
            <v>0.30243873870572802</v>
          </cell>
          <cell r="O143">
            <v>136</v>
          </cell>
          <cell r="P143">
            <v>0.03</v>
          </cell>
          <cell r="Q143">
            <v>2265</v>
          </cell>
        </row>
        <row r="144">
          <cell r="B144" t="str">
            <v>BALCH NO 1 1101R372</v>
          </cell>
          <cell r="C144">
            <v>252501101</v>
          </cell>
          <cell r="D144" t="str">
            <v>BALCH NO 1 1101</v>
          </cell>
          <cell r="E144" t="str">
            <v>R372</v>
          </cell>
          <cell r="F144" t="b">
            <v>0</v>
          </cell>
          <cell r="G144">
            <v>6703.9319226017997</v>
          </cell>
          <cell r="H144">
            <v>6703.9319226017997</v>
          </cell>
          <cell r="I144">
            <v>14</v>
          </cell>
          <cell r="J144">
            <v>2.94412293092486E-5</v>
          </cell>
          <cell r="K144">
            <v>3432</v>
          </cell>
          <cell r="L144">
            <v>4227.7566240812803</v>
          </cell>
          <cell r="M144">
            <v>136</v>
          </cell>
          <cell r="N144">
            <v>0.15538596413397901</v>
          </cell>
          <cell r="O144">
            <v>490</v>
          </cell>
          <cell r="P144">
            <v>0</v>
          </cell>
          <cell r="Q144">
            <v>2626</v>
          </cell>
        </row>
        <row r="145">
          <cell r="B145" t="str">
            <v>BANCROFT 0401CB</v>
          </cell>
          <cell r="C145">
            <v>13030401</v>
          </cell>
          <cell r="D145" t="str">
            <v>BANCROFT 0401</v>
          </cell>
          <cell r="E145" t="str">
            <v>CB</v>
          </cell>
          <cell r="F145" t="b">
            <v>1</v>
          </cell>
          <cell r="G145">
            <v>13277.3464854541</v>
          </cell>
          <cell r="H145">
            <v>69.307347939202998</v>
          </cell>
          <cell r="I145">
            <v>103</v>
          </cell>
          <cell r="J145">
            <v>7.6699699566479702E-6</v>
          </cell>
          <cell r="K145">
            <v>3624</v>
          </cell>
          <cell r="L145">
            <v>6.5146990120410905E-2</v>
          </cell>
          <cell r="M145">
            <v>3609</v>
          </cell>
          <cell r="N145">
            <v>4.9967545698959396E-7</v>
          </cell>
          <cell r="O145">
            <v>3625</v>
          </cell>
          <cell r="Q145">
            <v>2677</v>
          </cell>
        </row>
        <row r="146">
          <cell r="B146" t="str">
            <v>BANCROFT 0402CB</v>
          </cell>
          <cell r="C146">
            <v>13030402</v>
          </cell>
          <cell r="D146" t="str">
            <v>BANCROFT 0402</v>
          </cell>
          <cell r="E146" t="str">
            <v>CB</v>
          </cell>
          <cell r="F146" t="b">
            <v>1</v>
          </cell>
          <cell r="G146">
            <v>7369.63474951237</v>
          </cell>
          <cell r="H146">
            <v>597.20843852682196</v>
          </cell>
          <cell r="I146">
            <v>58</v>
          </cell>
          <cell r="J146">
            <v>6.6635150190295599E-6</v>
          </cell>
          <cell r="K146">
            <v>3630</v>
          </cell>
          <cell r="L146">
            <v>6.5191297695554498E-2</v>
          </cell>
          <cell r="M146">
            <v>3518</v>
          </cell>
          <cell r="N146">
            <v>4.34670375799763E-7</v>
          </cell>
          <cell r="O146">
            <v>3630</v>
          </cell>
          <cell r="P146">
            <v>0.02</v>
          </cell>
          <cell r="Q146">
            <v>2520</v>
          </cell>
        </row>
        <row r="147">
          <cell r="B147" t="str">
            <v>BANGOR 11011804</v>
          </cell>
          <cell r="C147">
            <v>103191101</v>
          </cell>
          <cell r="D147" t="str">
            <v>BANGOR 1101</v>
          </cell>
          <cell r="E147">
            <v>1804</v>
          </cell>
          <cell r="F147" t="b">
            <v>0</v>
          </cell>
          <cell r="G147">
            <v>69024.130087398502</v>
          </cell>
          <cell r="H147">
            <v>69024.130087398502</v>
          </cell>
          <cell r="I147">
            <v>394</v>
          </cell>
          <cell r="J147">
            <v>1.17336817188015E-4</v>
          </cell>
          <cell r="K147">
            <v>1239</v>
          </cell>
          <cell r="L147">
            <v>495.11193482214298</v>
          </cell>
          <cell r="M147">
            <v>1205</v>
          </cell>
          <cell r="N147">
            <v>6.8197128478348495E-2</v>
          </cell>
          <cell r="O147">
            <v>994</v>
          </cell>
          <cell r="P147">
            <v>0.15</v>
          </cell>
          <cell r="Q147">
            <v>1295</v>
          </cell>
        </row>
        <row r="148">
          <cell r="B148" t="str">
            <v>BANGOR 11011806</v>
          </cell>
          <cell r="C148">
            <v>103191101</v>
          </cell>
          <cell r="D148" t="str">
            <v>BANGOR 1101</v>
          </cell>
          <cell r="E148">
            <v>1806</v>
          </cell>
          <cell r="F148" t="b">
            <v>0</v>
          </cell>
          <cell r="G148">
            <v>6482.8364848872498</v>
          </cell>
          <cell r="H148">
            <v>6482.8364848872498</v>
          </cell>
          <cell r="I148">
            <v>17</v>
          </cell>
          <cell r="J148">
            <v>1.5564179642858601E-4</v>
          </cell>
          <cell r="K148">
            <v>687</v>
          </cell>
          <cell r="L148">
            <v>310.69810745187101</v>
          </cell>
          <cell r="M148">
            <v>1431</v>
          </cell>
          <cell r="N148">
            <v>2.4566780543788899E-2</v>
          </cell>
          <cell r="O148">
            <v>1567</v>
          </cell>
          <cell r="P148">
            <v>0.08</v>
          </cell>
          <cell r="Q148">
            <v>1588</v>
          </cell>
        </row>
        <row r="149">
          <cell r="B149" t="str">
            <v>BANGOR 11011958</v>
          </cell>
          <cell r="C149">
            <v>103191101</v>
          </cell>
          <cell r="D149" t="str">
            <v>BANGOR 1101</v>
          </cell>
          <cell r="E149">
            <v>1958</v>
          </cell>
          <cell r="F149" t="b">
            <v>0</v>
          </cell>
          <cell r="G149">
            <v>54465.342627058199</v>
          </cell>
          <cell r="H149">
            <v>54465.342627058199</v>
          </cell>
          <cell r="I149">
            <v>353</v>
          </cell>
          <cell r="J149">
            <v>1.18484355857034E-4</v>
          </cell>
          <cell r="K149">
            <v>1218</v>
          </cell>
          <cell r="L149">
            <v>944.12985503231005</v>
          </cell>
          <cell r="M149">
            <v>865</v>
          </cell>
          <cell r="N149">
            <v>9.6142340641891103E-2</v>
          </cell>
          <cell r="O149">
            <v>785</v>
          </cell>
          <cell r="P149">
            <v>0.28999999999999998</v>
          </cell>
          <cell r="Q149">
            <v>1022</v>
          </cell>
        </row>
        <row r="150">
          <cell r="B150" t="str">
            <v>BANGOR 1101301886</v>
          </cell>
          <cell r="C150">
            <v>103191101</v>
          </cell>
          <cell r="D150" t="str">
            <v>BANGOR 1101</v>
          </cell>
          <cell r="E150">
            <v>301886</v>
          </cell>
          <cell r="F150" t="b">
            <v>0</v>
          </cell>
          <cell r="G150">
            <v>12466.949870647</v>
          </cell>
          <cell r="H150">
            <v>4239.6365304301798</v>
          </cell>
          <cell r="I150">
            <v>90</v>
          </cell>
          <cell r="J150">
            <v>8.8332480724299405E-5</v>
          </cell>
          <cell r="K150">
            <v>1976</v>
          </cell>
          <cell r="L150">
            <v>1844.2972143535001</v>
          </cell>
          <cell r="M150">
            <v>493</v>
          </cell>
          <cell r="N150">
            <v>0.15164870856844101</v>
          </cell>
          <cell r="O150">
            <v>509</v>
          </cell>
          <cell r="Q150">
            <v>3073</v>
          </cell>
        </row>
        <row r="151">
          <cell r="B151" t="str">
            <v>BANGOR 110131502</v>
          </cell>
          <cell r="C151">
            <v>103191101</v>
          </cell>
          <cell r="D151" t="str">
            <v>BANGOR 1101</v>
          </cell>
          <cell r="E151">
            <v>31502</v>
          </cell>
          <cell r="F151" t="b">
            <v>0</v>
          </cell>
          <cell r="G151">
            <v>19104.368626605599</v>
          </cell>
          <cell r="H151">
            <v>19104.368626605599</v>
          </cell>
          <cell r="I151">
            <v>102</v>
          </cell>
          <cell r="J151">
            <v>1.4287417770901799E-4</v>
          </cell>
          <cell r="K151">
            <v>828</v>
          </cell>
          <cell r="L151">
            <v>1982.4694391412199</v>
          </cell>
          <cell r="M151">
            <v>459</v>
          </cell>
          <cell r="N151">
            <v>0.24428755401455701</v>
          </cell>
          <cell r="O151">
            <v>225</v>
          </cell>
          <cell r="P151">
            <v>0.08</v>
          </cell>
          <cell r="Q151">
            <v>1616</v>
          </cell>
        </row>
        <row r="152">
          <cell r="B152" t="str">
            <v>BANGOR 110155206</v>
          </cell>
          <cell r="C152">
            <v>103191101</v>
          </cell>
          <cell r="D152" t="str">
            <v>BANGOR 1101</v>
          </cell>
          <cell r="E152">
            <v>55206</v>
          </cell>
          <cell r="F152" t="b">
            <v>1</v>
          </cell>
          <cell r="G152">
            <v>3467.0084007866799</v>
          </cell>
          <cell r="H152">
            <v>0</v>
          </cell>
          <cell r="I152">
            <v>28</v>
          </cell>
          <cell r="J152">
            <v>1.0975778176154E-4</v>
          </cell>
          <cell r="K152">
            <v>1415</v>
          </cell>
          <cell r="L152">
            <v>967.15758384666003</v>
          </cell>
          <cell r="M152">
            <v>851</v>
          </cell>
          <cell r="N152">
            <v>0.113511830209458</v>
          </cell>
          <cell r="O152">
            <v>682</v>
          </cell>
          <cell r="P152">
            <v>0.04</v>
          </cell>
          <cell r="Q152">
            <v>2213</v>
          </cell>
        </row>
        <row r="153">
          <cell r="B153" t="str">
            <v>BANGOR 11017446</v>
          </cell>
          <cell r="C153">
            <v>103191101</v>
          </cell>
          <cell r="D153" t="str">
            <v>BANGOR 1101</v>
          </cell>
          <cell r="E153">
            <v>7446</v>
          </cell>
          <cell r="F153" t="b">
            <v>0</v>
          </cell>
          <cell r="G153">
            <v>69991.894162771496</v>
          </cell>
          <cell r="H153">
            <v>69991.894162771496</v>
          </cell>
          <cell r="I153">
            <v>427</v>
          </cell>
          <cell r="J153">
            <v>1.3367159868209701E-4</v>
          </cell>
          <cell r="K153">
            <v>949</v>
          </cell>
          <cell r="L153">
            <v>983.10880798121502</v>
          </cell>
          <cell r="M153">
            <v>842</v>
          </cell>
          <cell r="N153">
            <v>0.12828202681888001</v>
          </cell>
          <cell r="O153">
            <v>613</v>
          </cell>
          <cell r="P153">
            <v>0.18</v>
          </cell>
          <cell r="Q153">
            <v>1220</v>
          </cell>
        </row>
        <row r="154">
          <cell r="B154" t="str">
            <v>BANGOR 110180670</v>
          </cell>
          <cell r="C154">
            <v>103191101</v>
          </cell>
          <cell r="D154" t="str">
            <v>BANGOR 1101</v>
          </cell>
          <cell r="E154">
            <v>80670</v>
          </cell>
          <cell r="F154" t="b">
            <v>0</v>
          </cell>
          <cell r="G154">
            <v>26435.388682132299</v>
          </cell>
          <cell r="H154">
            <v>23201.6685286996</v>
          </cell>
          <cell r="I154">
            <v>158</v>
          </cell>
          <cell r="J154">
            <v>9.3264265068441202E-5</v>
          </cell>
          <cell r="K154">
            <v>1814</v>
          </cell>
          <cell r="L154">
            <v>3120.2998862096401</v>
          </cell>
          <cell r="M154">
            <v>252</v>
          </cell>
          <cell r="N154">
            <v>0.27058880296515098</v>
          </cell>
          <cell r="O154">
            <v>179</v>
          </cell>
          <cell r="P154">
            <v>7.0000000000000007E-2</v>
          </cell>
          <cell r="Q154">
            <v>1687</v>
          </cell>
        </row>
        <row r="155">
          <cell r="B155" t="str">
            <v>BANGOR 110182350</v>
          </cell>
          <cell r="C155">
            <v>103191101</v>
          </cell>
          <cell r="D155" t="str">
            <v>BANGOR 1101</v>
          </cell>
          <cell r="E155">
            <v>82350</v>
          </cell>
          <cell r="F155" t="b">
            <v>0</v>
          </cell>
          <cell r="G155">
            <v>33588.8136275613</v>
          </cell>
          <cell r="H155">
            <v>31579.276499639</v>
          </cell>
          <cell r="I155">
            <v>230</v>
          </cell>
          <cell r="J155">
            <v>8.9018726115817505E-5</v>
          </cell>
          <cell r="K155">
            <v>1948</v>
          </cell>
          <cell r="L155">
            <v>2107.5909519404099</v>
          </cell>
          <cell r="M155">
            <v>425</v>
          </cell>
          <cell r="N155">
            <v>0.19196303508767301</v>
          </cell>
          <cell r="O155">
            <v>363</v>
          </cell>
          <cell r="P155">
            <v>0.3</v>
          </cell>
          <cell r="Q155">
            <v>1019</v>
          </cell>
        </row>
        <row r="156">
          <cell r="B156" t="str">
            <v>BANGOR 1101870548</v>
          </cell>
          <cell r="C156">
            <v>103191101</v>
          </cell>
          <cell r="D156" t="str">
            <v>BANGOR 1101</v>
          </cell>
          <cell r="E156">
            <v>870548</v>
          </cell>
          <cell r="F156" t="b">
            <v>0</v>
          </cell>
          <cell r="G156">
            <v>8185.9486754209702</v>
          </cell>
          <cell r="H156">
            <v>8185.9486754209702</v>
          </cell>
          <cell r="I156">
            <v>56</v>
          </cell>
          <cell r="J156">
            <v>1.05190928496251E-4</v>
          </cell>
          <cell r="K156">
            <v>1515</v>
          </cell>
          <cell r="L156">
            <v>1377.0688169929499</v>
          </cell>
          <cell r="M156">
            <v>649</v>
          </cell>
          <cell r="N156">
            <v>0.133259111295597</v>
          </cell>
          <cell r="O156">
            <v>591</v>
          </cell>
          <cell r="Q156">
            <v>3309</v>
          </cell>
        </row>
        <row r="157">
          <cell r="B157" t="str">
            <v>BANGOR 1101979830</v>
          </cell>
          <cell r="C157">
            <v>103191101</v>
          </cell>
          <cell r="D157" t="str">
            <v>BANGOR 1101</v>
          </cell>
          <cell r="E157">
            <v>979830</v>
          </cell>
          <cell r="F157" t="b">
            <v>1</v>
          </cell>
          <cell r="G157">
            <v>696.75306889762601</v>
          </cell>
          <cell r="H157">
            <v>680.75108733340005</v>
          </cell>
          <cell r="I157">
            <v>7</v>
          </cell>
          <cell r="J157">
            <v>7.1200262027559802E-5</v>
          </cell>
          <cell r="K157">
            <v>2441</v>
          </cell>
          <cell r="L157">
            <v>5107.1239797913904</v>
          </cell>
          <cell r="M157">
            <v>69</v>
          </cell>
          <cell r="N157">
            <v>0.39719652186047999</v>
          </cell>
          <cell r="O157">
            <v>59</v>
          </cell>
          <cell r="Q157">
            <v>3328</v>
          </cell>
        </row>
        <row r="158">
          <cell r="B158" t="str">
            <v>BANGOR 1101CB</v>
          </cell>
          <cell r="C158">
            <v>103191101</v>
          </cell>
          <cell r="D158" t="str">
            <v>BANGOR 1101</v>
          </cell>
          <cell r="E158" t="str">
            <v>CB</v>
          </cell>
          <cell r="F158" t="b">
            <v>0</v>
          </cell>
          <cell r="G158">
            <v>34332.330083804001</v>
          </cell>
          <cell r="H158">
            <v>30178.562329378801</v>
          </cell>
          <cell r="I158">
            <v>171</v>
          </cell>
          <cell r="J158">
            <v>1.2917765765710701E-4</v>
          </cell>
          <cell r="K158">
            <v>1023</v>
          </cell>
          <cell r="L158">
            <v>1585.4724610773601</v>
          </cell>
          <cell r="M158">
            <v>565</v>
          </cell>
          <cell r="N158">
            <v>0.193781171135916</v>
          </cell>
          <cell r="O158">
            <v>355</v>
          </cell>
          <cell r="P158">
            <v>0.08</v>
          </cell>
          <cell r="Q158">
            <v>1606</v>
          </cell>
        </row>
        <row r="159">
          <cell r="B159" t="str">
            <v>BASALT 1106657038</v>
          </cell>
          <cell r="C159">
            <v>42461106</v>
          </cell>
          <cell r="D159" t="str">
            <v>BASALT 1106</v>
          </cell>
          <cell r="E159">
            <v>657038</v>
          </cell>
          <cell r="F159" t="b">
            <v>0</v>
          </cell>
          <cell r="G159">
            <v>16275.5331377947</v>
          </cell>
          <cell r="H159">
            <v>4182.6167424154</v>
          </cell>
          <cell r="I159">
            <v>72</v>
          </cell>
          <cell r="J159">
            <v>4.9064294463126601E-5</v>
          </cell>
          <cell r="K159">
            <v>3062</v>
          </cell>
          <cell r="L159">
            <v>415.56817905651002</v>
          </cell>
          <cell r="M159">
            <v>1276</v>
          </cell>
          <cell r="N159">
            <v>3.0656794454233902E-2</v>
          </cell>
          <cell r="O159">
            <v>1451</v>
          </cell>
          <cell r="Q159">
            <v>3078</v>
          </cell>
        </row>
        <row r="160">
          <cell r="B160" t="str">
            <v>BAY MEADOWS 210257886</v>
          </cell>
          <cell r="C160">
            <v>24012102</v>
          </cell>
          <cell r="D160" t="str">
            <v>BAY MEADOWS 2102</v>
          </cell>
          <cell r="E160">
            <v>57886</v>
          </cell>
          <cell r="F160" t="b">
            <v>0</v>
          </cell>
          <cell r="G160">
            <v>8466.0843061917294</v>
          </cell>
          <cell r="H160">
            <v>6549.4744549260404</v>
          </cell>
          <cell r="I160">
            <v>81</v>
          </cell>
          <cell r="J160">
            <v>8.2619343236639201E-5</v>
          </cell>
          <cell r="K160">
            <v>2138</v>
          </cell>
          <cell r="L160">
            <v>0.94596738221100796</v>
          </cell>
          <cell r="M160">
            <v>2899</v>
          </cell>
          <cell r="N160">
            <v>1.51006694971043E-4</v>
          </cell>
          <cell r="O160">
            <v>2854</v>
          </cell>
          <cell r="P160">
            <v>0.08</v>
          </cell>
          <cell r="Q160">
            <v>1619</v>
          </cell>
        </row>
        <row r="161">
          <cell r="B161" t="str">
            <v>BAY MEADOWS 2102CB</v>
          </cell>
          <cell r="C161">
            <v>24012102</v>
          </cell>
          <cell r="D161" t="str">
            <v>BAY MEADOWS 2102</v>
          </cell>
          <cell r="E161" t="str">
            <v>CB</v>
          </cell>
          <cell r="F161" t="b">
            <v>1</v>
          </cell>
          <cell r="G161">
            <v>11158.1130388284</v>
          </cell>
          <cell r="H161">
            <v>159.35022470415899</v>
          </cell>
          <cell r="I161">
            <v>95</v>
          </cell>
          <cell r="J161">
            <v>1.5873978841059201E-5</v>
          </cell>
          <cell r="K161">
            <v>3580</v>
          </cell>
          <cell r="L161">
            <v>6.5160515590717893E-2</v>
          </cell>
          <cell r="M161">
            <v>3554</v>
          </cell>
          <cell r="N161">
            <v>1.03732733174276E-6</v>
          </cell>
          <cell r="O161">
            <v>3590</v>
          </cell>
          <cell r="Q161">
            <v>2653</v>
          </cell>
        </row>
        <row r="162">
          <cell r="B162" t="str">
            <v>BAYWOOD 1101CB</v>
          </cell>
          <cell r="C162">
            <v>182801101</v>
          </cell>
          <cell r="D162" t="str">
            <v>BAYWOOD 1101</v>
          </cell>
          <cell r="E162" t="str">
            <v>CB</v>
          </cell>
          <cell r="F162" t="b">
            <v>0</v>
          </cell>
          <cell r="G162">
            <v>46476.810902981102</v>
          </cell>
          <cell r="H162">
            <v>7426.5464811830298</v>
          </cell>
          <cell r="I162">
            <v>214</v>
          </cell>
          <cell r="J162">
            <v>5.81156279546019E-5</v>
          </cell>
          <cell r="K162">
            <v>2833</v>
          </cell>
          <cell r="L162">
            <v>45.589186300845597</v>
          </cell>
          <cell r="M162">
            <v>2241</v>
          </cell>
          <cell r="N162">
            <v>3.2070030875439798E-3</v>
          </cell>
          <cell r="O162">
            <v>2326</v>
          </cell>
          <cell r="P162">
            <v>0.02</v>
          </cell>
          <cell r="Q162">
            <v>2421</v>
          </cell>
        </row>
        <row r="163">
          <cell r="B163" t="str">
            <v>BEAR VALLEY 210110000</v>
          </cell>
          <cell r="C163">
            <v>252192101</v>
          </cell>
          <cell r="D163" t="str">
            <v>BEAR VALLEY 2101</v>
          </cell>
          <cell r="E163">
            <v>10000</v>
          </cell>
          <cell r="F163" t="b">
            <v>0</v>
          </cell>
          <cell r="G163">
            <v>53656.122946630203</v>
          </cell>
          <cell r="H163">
            <v>47097.190418544596</v>
          </cell>
          <cell r="I163">
            <v>230</v>
          </cell>
          <cell r="J163">
            <v>6.3421879130575102E-5</v>
          </cell>
          <cell r="K163">
            <v>2664</v>
          </cell>
          <cell r="L163">
            <v>1330.82419768095</v>
          </cell>
          <cell r="M163">
            <v>668</v>
          </cell>
          <cell r="N163">
            <v>6.9198045442851505E-2</v>
          </cell>
          <cell r="O163">
            <v>983</v>
          </cell>
          <cell r="P163">
            <v>0.02</v>
          </cell>
          <cell r="Q163">
            <v>2464</v>
          </cell>
        </row>
        <row r="164">
          <cell r="B164" t="str">
            <v>BEAR VALLEY 210110019</v>
          </cell>
          <cell r="C164">
            <v>252192101</v>
          </cell>
          <cell r="D164" t="str">
            <v>BEAR VALLEY 2101</v>
          </cell>
          <cell r="E164">
            <v>10019</v>
          </cell>
          <cell r="F164" t="b">
            <v>0</v>
          </cell>
          <cell r="G164">
            <v>3187.4940657104598</v>
          </cell>
          <cell r="H164">
            <v>3187.4940657104598</v>
          </cell>
          <cell r="I164">
            <v>11</v>
          </cell>
          <cell r="J164">
            <v>5.9517268164199701E-5</v>
          </cell>
          <cell r="K164">
            <v>2788</v>
          </cell>
          <cell r="L164">
            <v>1607.8644036257799</v>
          </cell>
          <cell r="M164">
            <v>559</v>
          </cell>
          <cell r="N164">
            <v>0.100521776363278</v>
          </cell>
          <cell r="O164">
            <v>761</v>
          </cell>
          <cell r="P164">
            <v>0.01</v>
          </cell>
          <cell r="Q164">
            <v>2577</v>
          </cell>
        </row>
        <row r="165">
          <cell r="B165" t="str">
            <v>BEAR VALLEY 21014160</v>
          </cell>
          <cell r="C165">
            <v>252192101</v>
          </cell>
          <cell r="D165" t="str">
            <v>BEAR VALLEY 2101</v>
          </cell>
          <cell r="E165">
            <v>4160</v>
          </cell>
          <cell r="F165" t="b">
            <v>0</v>
          </cell>
          <cell r="G165">
            <v>36723.983376933502</v>
          </cell>
          <cell r="H165">
            <v>36723.983376933502</v>
          </cell>
          <cell r="I165">
            <v>192</v>
          </cell>
          <cell r="J165">
            <v>7.1015948522376403E-5</v>
          </cell>
          <cell r="K165">
            <v>2443</v>
          </cell>
          <cell r="L165">
            <v>2062.9169254228</v>
          </cell>
          <cell r="M165">
            <v>441</v>
          </cell>
          <cell r="N165">
            <v>0.138385298776945</v>
          </cell>
          <cell r="O165">
            <v>575</v>
          </cell>
          <cell r="P165">
            <v>7.0000000000000007E-2</v>
          </cell>
          <cell r="Q165">
            <v>1759</v>
          </cell>
        </row>
        <row r="166">
          <cell r="B166" t="str">
            <v>BEAR VALLEY 21014500</v>
          </cell>
          <cell r="C166">
            <v>252192101</v>
          </cell>
          <cell r="D166" t="str">
            <v>BEAR VALLEY 2101</v>
          </cell>
          <cell r="E166">
            <v>4500</v>
          </cell>
          <cell r="F166" t="b">
            <v>0</v>
          </cell>
          <cell r="G166">
            <v>132540.174263986</v>
          </cell>
          <cell r="H166">
            <v>38902.954409121099</v>
          </cell>
          <cell r="I166">
            <v>516</v>
          </cell>
          <cell r="J166">
            <v>4.63791833245259E-5</v>
          </cell>
          <cell r="K166">
            <v>3128</v>
          </cell>
          <cell r="L166">
            <v>1229.9776454079799</v>
          </cell>
          <cell r="M166">
            <v>714</v>
          </cell>
          <cell r="N166">
            <v>5.2536531718979602E-2</v>
          </cell>
          <cell r="O166">
            <v>1150</v>
          </cell>
          <cell r="P166">
            <v>0.03</v>
          </cell>
          <cell r="Q166">
            <v>2255</v>
          </cell>
        </row>
        <row r="167">
          <cell r="B167" t="str">
            <v>BEAR VALLEY 210190550</v>
          </cell>
          <cell r="C167">
            <v>252192101</v>
          </cell>
          <cell r="D167" t="str">
            <v>BEAR VALLEY 2101</v>
          </cell>
          <cell r="E167">
            <v>90550</v>
          </cell>
          <cell r="F167" t="b">
            <v>0</v>
          </cell>
          <cell r="G167">
            <v>12911.277203547001</v>
          </cell>
          <cell r="H167">
            <v>12911.277203547001</v>
          </cell>
          <cell r="I167">
            <v>47</v>
          </cell>
          <cell r="J167">
            <v>5.1033224529171301E-5</v>
          </cell>
          <cell r="K167">
            <v>3014</v>
          </cell>
          <cell r="L167">
            <v>3547.8361421070499</v>
          </cell>
          <cell r="M167">
            <v>195</v>
          </cell>
          <cell r="N167">
            <v>0.196244503199315</v>
          </cell>
          <cell r="O167">
            <v>339</v>
          </cell>
          <cell r="P167">
            <v>0.02</v>
          </cell>
          <cell r="Q167">
            <v>2486</v>
          </cell>
        </row>
        <row r="168">
          <cell r="B168" t="str">
            <v>BEAR VALLEY 2101CB</v>
          </cell>
          <cell r="C168">
            <v>252192101</v>
          </cell>
          <cell r="D168" t="str">
            <v>BEAR VALLEY 2101</v>
          </cell>
          <cell r="E168" t="str">
            <v>CB</v>
          </cell>
          <cell r="F168" t="b">
            <v>0</v>
          </cell>
          <cell r="G168">
            <v>30214.0129507528</v>
          </cell>
          <cell r="H168">
            <v>30214.0129507528</v>
          </cell>
          <cell r="I168">
            <v>154</v>
          </cell>
          <cell r="J168">
            <v>1.32141547486777E-4</v>
          </cell>
          <cell r="K168">
            <v>980</v>
          </cell>
          <cell r="L168">
            <v>326.61349617622102</v>
          </cell>
          <cell r="M168">
            <v>1403</v>
          </cell>
          <cell r="N168">
            <v>3.2889873758383398E-2</v>
          </cell>
          <cell r="O168">
            <v>1409</v>
          </cell>
          <cell r="P168">
            <v>0.04</v>
          </cell>
          <cell r="Q168">
            <v>2085</v>
          </cell>
        </row>
        <row r="169">
          <cell r="B169" t="str">
            <v>BEAR VALLEY 210511210</v>
          </cell>
          <cell r="C169">
            <v>252192105</v>
          </cell>
          <cell r="D169" t="str">
            <v>BEAR VALLEY 2105</v>
          </cell>
          <cell r="E169">
            <v>11210</v>
          </cell>
          <cell r="F169" t="b">
            <v>0</v>
          </cell>
          <cell r="G169">
            <v>27492.788602133001</v>
          </cell>
          <cell r="H169">
            <v>27492.788602133001</v>
          </cell>
          <cell r="I169">
            <v>139</v>
          </cell>
          <cell r="J169">
            <v>4.8989822075514698E-5</v>
          </cell>
          <cell r="K169">
            <v>3064</v>
          </cell>
          <cell r="L169">
            <v>4555.18006010723</v>
          </cell>
          <cell r="M169">
            <v>103</v>
          </cell>
          <cell r="N169">
            <v>0.21386581114710901</v>
          </cell>
          <cell r="O169">
            <v>298</v>
          </cell>
          <cell r="P169">
            <v>0.02</v>
          </cell>
          <cell r="Q169">
            <v>2413</v>
          </cell>
        </row>
        <row r="170">
          <cell r="B170" t="str">
            <v>BEAR VALLEY 210513430</v>
          </cell>
          <cell r="C170">
            <v>252192105</v>
          </cell>
          <cell r="D170" t="str">
            <v>BEAR VALLEY 2105</v>
          </cell>
          <cell r="E170">
            <v>13430</v>
          </cell>
          <cell r="F170" t="b">
            <v>0</v>
          </cell>
          <cell r="G170">
            <v>21106.603636269399</v>
          </cell>
          <cell r="H170">
            <v>21106.603636269399</v>
          </cell>
          <cell r="I170">
            <v>129</v>
          </cell>
          <cell r="J170">
            <v>3.9031632329078299E-5</v>
          </cell>
          <cell r="K170">
            <v>3286</v>
          </cell>
          <cell r="L170">
            <v>375.436591023044</v>
          </cell>
          <cell r="M170">
            <v>1329</v>
          </cell>
          <cell r="N170">
            <v>1.5945368093449201E-2</v>
          </cell>
          <cell r="O170">
            <v>1762</v>
          </cell>
          <cell r="P170">
            <v>23.77</v>
          </cell>
          <cell r="Q170">
            <v>282</v>
          </cell>
        </row>
        <row r="171">
          <cell r="B171" t="str">
            <v>BEAR VALLEY 210521160</v>
          </cell>
          <cell r="C171">
            <v>252192105</v>
          </cell>
          <cell r="D171" t="str">
            <v>BEAR VALLEY 2105</v>
          </cell>
          <cell r="E171">
            <v>21160</v>
          </cell>
          <cell r="F171" t="b">
            <v>0</v>
          </cell>
          <cell r="G171">
            <v>38269.477287060901</v>
          </cell>
          <cell r="H171">
            <v>38269.477287060901</v>
          </cell>
          <cell r="I171">
            <v>194</v>
          </cell>
          <cell r="J171">
            <v>4.4770113798146301E-5</v>
          </cell>
          <cell r="K171">
            <v>3167</v>
          </cell>
          <cell r="L171">
            <v>1259.0438370340501</v>
          </cell>
          <cell r="M171">
            <v>695</v>
          </cell>
          <cell r="N171">
            <v>6.5186566398006504E-2</v>
          </cell>
          <cell r="O171">
            <v>1019</v>
          </cell>
          <cell r="P171">
            <v>7.0000000000000007E-2</v>
          </cell>
          <cell r="Q171">
            <v>1757</v>
          </cell>
        </row>
        <row r="172">
          <cell r="B172" t="str">
            <v>BEAR VALLEY 21054170</v>
          </cell>
          <cell r="C172">
            <v>252192105</v>
          </cell>
          <cell r="D172" t="str">
            <v>BEAR VALLEY 2105</v>
          </cell>
          <cell r="E172">
            <v>4170</v>
          </cell>
          <cell r="F172" t="b">
            <v>0</v>
          </cell>
          <cell r="G172">
            <v>15319.640487197399</v>
          </cell>
          <cell r="H172">
            <v>15319.640487197399</v>
          </cell>
          <cell r="I172">
            <v>45</v>
          </cell>
          <cell r="J172">
            <v>4.2938410669670499E-5</v>
          </cell>
          <cell r="K172">
            <v>3210</v>
          </cell>
          <cell r="L172">
            <v>1356.04956510067</v>
          </cell>
          <cell r="M172">
            <v>661</v>
          </cell>
          <cell r="N172">
            <v>6.2778903398233596E-2</v>
          </cell>
          <cell r="O172">
            <v>1036</v>
          </cell>
          <cell r="P172">
            <v>0.03</v>
          </cell>
          <cell r="Q172">
            <v>2358</v>
          </cell>
        </row>
        <row r="173">
          <cell r="B173" t="str">
            <v>BEAR VALLEY 2105454432</v>
          </cell>
          <cell r="C173">
            <v>252192105</v>
          </cell>
          <cell r="D173" t="str">
            <v>BEAR VALLEY 2105</v>
          </cell>
          <cell r="E173">
            <v>454432</v>
          </cell>
          <cell r="F173" t="b">
            <v>0</v>
          </cell>
          <cell r="G173">
            <v>23226.240143089999</v>
          </cell>
          <cell r="H173">
            <v>23226.240143089999</v>
          </cell>
          <cell r="I173">
            <v>112</v>
          </cell>
          <cell r="J173">
            <v>5.5707691502572102E-5</v>
          </cell>
          <cell r="K173">
            <v>2898</v>
          </cell>
          <cell r="L173">
            <v>1234.82093922647</v>
          </cell>
          <cell r="M173">
            <v>710</v>
          </cell>
          <cell r="N173">
            <v>8.2330232807496295E-2</v>
          </cell>
          <cell r="O173">
            <v>882</v>
          </cell>
          <cell r="Q173">
            <v>2714</v>
          </cell>
        </row>
        <row r="174">
          <cell r="B174" t="str">
            <v>BEAR VALLEY 21054609</v>
          </cell>
          <cell r="C174">
            <v>252192105</v>
          </cell>
          <cell r="D174" t="str">
            <v>BEAR VALLEY 2105</v>
          </cell>
          <cell r="E174">
            <v>4609</v>
          </cell>
          <cell r="F174" t="b">
            <v>0</v>
          </cell>
          <cell r="G174">
            <v>7321.9226773728997</v>
          </cell>
          <cell r="H174">
            <v>7321.9226773728997</v>
          </cell>
          <cell r="I174">
            <v>41</v>
          </cell>
          <cell r="J174">
            <v>3.7279639333818701E-5</v>
          </cell>
          <cell r="K174">
            <v>3310</v>
          </cell>
          <cell r="L174">
            <v>2145.89491710212</v>
          </cell>
          <cell r="M174">
            <v>414</v>
          </cell>
          <cell r="N174">
            <v>8.1381190102437606E-2</v>
          </cell>
          <cell r="O174">
            <v>889</v>
          </cell>
          <cell r="P174">
            <v>0.06</v>
          </cell>
          <cell r="Q174">
            <v>1911</v>
          </cell>
        </row>
        <row r="175">
          <cell r="B175" t="str">
            <v>BEAR VALLEY 210576694</v>
          </cell>
          <cell r="C175">
            <v>252192105</v>
          </cell>
          <cell r="D175" t="str">
            <v>BEAR VALLEY 2105</v>
          </cell>
          <cell r="E175">
            <v>76694</v>
          </cell>
          <cell r="F175" t="b">
            <v>0</v>
          </cell>
          <cell r="G175">
            <v>7317.3510416434201</v>
          </cell>
          <cell r="H175">
            <v>7317.3510416434201</v>
          </cell>
          <cell r="I175">
            <v>37</v>
          </cell>
          <cell r="J175">
            <v>7.2613916042452698E-5</v>
          </cell>
          <cell r="K175">
            <v>2401</v>
          </cell>
          <cell r="L175">
            <v>1607.63764089345</v>
          </cell>
          <cell r="M175">
            <v>560</v>
          </cell>
          <cell r="N175">
            <v>8.7295434830180402E-2</v>
          </cell>
          <cell r="O175">
            <v>844</v>
          </cell>
          <cell r="P175">
            <v>0.06</v>
          </cell>
          <cell r="Q175">
            <v>1907</v>
          </cell>
        </row>
        <row r="176">
          <cell r="B176" t="str">
            <v>BEAR VALLEY 21059480</v>
          </cell>
          <cell r="C176">
            <v>252192105</v>
          </cell>
          <cell r="D176" t="str">
            <v>BEAR VALLEY 2105</v>
          </cell>
          <cell r="E176">
            <v>9480</v>
          </cell>
          <cell r="F176" t="b">
            <v>0</v>
          </cell>
          <cell r="G176">
            <v>19971.397691555499</v>
          </cell>
          <cell r="H176">
            <v>19971.397691555499</v>
          </cell>
          <cell r="I176">
            <v>80</v>
          </cell>
          <cell r="J176">
            <v>7.4134107273517006E-5</v>
          </cell>
          <cell r="K176">
            <v>2352</v>
          </cell>
          <cell r="L176">
            <v>2457.12722747111</v>
          </cell>
          <cell r="M176">
            <v>350</v>
          </cell>
          <cell r="N176">
            <v>0.153137007047386</v>
          </cell>
          <cell r="O176">
            <v>503</v>
          </cell>
          <cell r="P176">
            <v>0.05</v>
          </cell>
          <cell r="Q176">
            <v>1946</v>
          </cell>
        </row>
        <row r="177">
          <cell r="B177" t="str">
            <v>BEAR VALLEY 21059560</v>
          </cell>
          <cell r="C177">
            <v>252192105</v>
          </cell>
          <cell r="D177" t="str">
            <v>BEAR VALLEY 2105</v>
          </cell>
          <cell r="E177">
            <v>9560</v>
          </cell>
          <cell r="F177" t="b">
            <v>0</v>
          </cell>
          <cell r="G177">
            <v>35435.963001746597</v>
          </cell>
          <cell r="H177">
            <v>35435.963001746597</v>
          </cell>
          <cell r="I177">
            <v>226</v>
          </cell>
          <cell r="J177">
            <v>5.2820498523134197E-5</v>
          </cell>
          <cell r="K177">
            <v>2976</v>
          </cell>
          <cell r="L177">
            <v>582.97701915254595</v>
          </cell>
          <cell r="M177">
            <v>1120</v>
          </cell>
          <cell r="N177">
            <v>2.5352659276682302E-2</v>
          </cell>
          <cell r="O177">
            <v>1547</v>
          </cell>
          <cell r="P177">
            <v>0.31</v>
          </cell>
          <cell r="Q177">
            <v>1001</v>
          </cell>
        </row>
        <row r="178">
          <cell r="B178" t="str">
            <v>BEAR VALLEY 21059570</v>
          </cell>
          <cell r="C178">
            <v>252192105</v>
          </cell>
          <cell r="D178" t="str">
            <v>BEAR VALLEY 2105</v>
          </cell>
          <cell r="E178">
            <v>9570</v>
          </cell>
          <cell r="F178" t="b">
            <v>0</v>
          </cell>
          <cell r="G178">
            <v>12951.799652555101</v>
          </cell>
          <cell r="H178">
            <v>12951.799652555101</v>
          </cell>
          <cell r="I178">
            <v>59</v>
          </cell>
          <cell r="J178">
            <v>6.9284854593422296E-5</v>
          </cell>
          <cell r="K178">
            <v>2498</v>
          </cell>
          <cell r="L178">
            <v>4812.6159431107199</v>
          </cell>
          <cell r="M178">
            <v>92</v>
          </cell>
          <cell r="N178">
            <v>0.27669241501686997</v>
          </cell>
          <cell r="O178">
            <v>165</v>
          </cell>
          <cell r="P178">
            <v>0.03</v>
          </cell>
          <cell r="Q178">
            <v>2273</v>
          </cell>
        </row>
        <row r="179">
          <cell r="B179" t="str">
            <v>BEAR VALLEY 2105CB</v>
          </cell>
          <cell r="C179">
            <v>252192105</v>
          </cell>
          <cell r="D179" t="str">
            <v>BEAR VALLEY 2105</v>
          </cell>
          <cell r="E179" t="str">
            <v>CB</v>
          </cell>
          <cell r="F179" t="b">
            <v>0</v>
          </cell>
          <cell r="G179">
            <v>6175.40752796792</v>
          </cell>
          <cell r="H179">
            <v>6175.40752796792</v>
          </cell>
          <cell r="I179">
            <v>9</v>
          </cell>
          <cell r="J179">
            <v>9.2621606654574794E-5</v>
          </cell>
          <cell r="K179">
            <v>1830</v>
          </cell>
          <cell r="L179">
            <v>515.14742222428299</v>
          </cell>
          <cell r="M179">
            <v>1184</v>
          </cell>
          <cell r="N179">
            <v>5.2344504284511102E-2</v>
          </cell>
          <cell r="O179">
            <v>1152</v>
          </cell>
          <cell r="P179">
            <v>0.01</v>
          </cell>
          <cell r="Q179">
            <v>2588</v>
          </cell>
        </row>
        <row r="180">
          <cell r="B180" t="str">
            <v>BELL 11072400</v>
          </cell>
          <cell r="C180">
            <v>152701107</v>
          </cell>
          <cell r="D180" t="str">
            <v>BELL 1107</v>
          </cell>
          <cell r="E180">
            <v>2400</v>
          </cell>
          <cell r="F180" t="b">
            <v>0</v>
          </cell>
          <cell r="G180">
            <v>44680.554930289501</v>
          </cell>
          <cell r="H180">
            <v>41414.8348624184</v>
          </cell>
          <cell r="I180">
            <v>320</v>
          </cell>
          <cell r="J180">
            <v>1.0832114903649701E-4</v>
          </cell>
          <cell r="K180">
            <v>1445</v>
          </cell>
          <cell r="L180">
            <v>2117.8288508242099</v>
          </cell>
          <cell r="M180">
            <v>423</v>
          </cell>
          <cell r="N180">
            <v>0.20423227227694599</v>
          </cell>
          <cell r="O180">
            <v>316</v>
          </cell>
          <cell r="P180">
            <v>10.83</v>
          </cell>
          <cell r="Q180">
            <v>393</v>
          </cell>
        </row>
        <row r="181">
          <cell r="B181" t="str">
            <v>BELL 110750172</v>
          </cell>
          <cell r="C181">
            <v>152701107</v>
          </cell>
          <cell r="D181" t="str">
            <v>BELL 1107</v>
          </cell>
          <cell r="E181">
            <v>50172</v>
          </cell>
          <cell r="F181" t="b">
            <v>0</v>
          </cell>
          <cell r="G181">
            <v>30233.910288119801</v>
          </cell>
          <cell r="H181">
            <v>28142.3136012215</v>
          </cell>
          <cell r="I181">
            <v>210</v>
          </cell>
          <cell r="J181">
            <v>8.9512651436397006E-5</v>
          </cell>
          <cell r="K181">
            <v>1930</v>
          </cell>
          <cell r="L181">
            <v>3226.5987349913898</v>
          </cell>
          <cell r="M181">
            <v>232</v>
          </cell>
          <cell r="N181">
            <v>0.26349570441367998</v>
          </cell>
          <cell r="O181">
            <v>189</v>
          </cell>
          <cell r="P181">
            <v>3.07</v>
          </cell>
          <cell r="Q181">
            <v>565</v>
          </cell>
        </row>
        <row r="182">
          <cell r="B182" t="str">
            <v>BELL 1107643778</v>
          </cell>
          <cell r="C182">
            <v>152701107</v>
          </cell>
          <cell r="D182" t="str">
            <v>BELL 1107</v>
          </cell>
          <cell r="E182">
            <v>643778</v>
          </cell>
          <cell r="F182" t="b">
            <v>1</v>
          </cell>
          <cell r="G182">
            <v>406.31479880115501</v>
          </cell>
          <cell r="H182">
            <v>270.30509570942502</v>
          </cell>
          <cell r="I182">
            <v>4</v>
          </cell>
          <cell r="J182">
            <v>5.7794299209490398E-5</v>
          </cell>
          <cell r="K182">
            <v>2841</v>
          </cell>
          <cell r="L182">
            <v>6.5470374886351101E-2</v>
          </cell>
          <cell r="M182">
            <v>3381</v>
          </cell>
          <cell r="N182">
            <v>3.7919269256168498E-6</v>
          </cell>
          <cell r="O182">
            <v>3347</v>
          </cell>
          <cell r="Q182">
            <v>3549</v>
          </cell>
        </row>
        <row r="183">
          <cell r="B183" t="str">
            <v>BELL 1107912460</v>
          </cell>
          <cell r="C183">
            <v>152701107</v>
          </cell>
          <cell r="D183" t="str">
            <v>BELL 1107</v>
          </cell>
          <cell r="E183">
            <v>912460</v>
          </cell>
          <cell r="F183" t="b">
            <v>1</v>
          </cell>
          <cell r="G183">
            <v>716.94151427076099</v>
          </cell>
          <cell r="H183">
            <v>226.21876146199301</v>
          </cell>
          <cell r="I183">
            <v>6</v>
          </cell>
          <cell r="J183">
            <v>2.09403099385478E-4</v>
          </cell>
          <cell r="K183">
            <v>362</v>
          </cell>
          <cell r="L183">
            <v>319.30689818324697</v>
          </cell>
          <cell r="M183">
            <v>1418</v>
          </cell>
          <cell r="N183">
            <v>4.4494551107319501E-2</v>
          </cell>
          <cell r="O183">
            <v>1236</v>
          </cell>
          <cell r="Q183">
            <v>3384</v>
          </cell>
        </row>
        <row r="184">
          <cell r="B184" t="str">
            <v>BELL 11082202</v>
          </cell>
          <cell r="C184">
            <v>152701108</v>
          </cell>
          <cell r="D184" t="str">
            <v>BELL 1108</v>
          </cell>
          <cell r="E184">
            <v>2202</v>
          </cell>
          <cell r="F184" t="b">
            <v>0</v>
          </cell>
          <cell r="G184">
            <v>53635.093183983401</v>
          </cell>
          <cell r="H184">
            <v>52339.4362753737</v>
          </cell>
          <cell r="I184">
            <v>363</v>
          </cell>
          <cell r="J184">
            <v>1.26904211712523E-4</v>
          </cell>
          <cell r="K184">
            <v>1065</v>
          </cell>
          <cell r="L184">
            <v>2599.54405362531</v>
          </cell>
          <cell r="M184">
            <v>330</v>
          </cell>
          <cell r="N184">
            <v>0.320160562926255</v>
          </cell>
          <cell r="O184">
            <v>118</v>
          </cell>
          <cell r="P184">
            <v>0.16</v>
          </cell>
          <cell r="Q184">
            <v>1264</v>
          </cell>
        </row>
        <row r="185">
          <cell r="B185" t="str">
            <v>BELL 11082226</v>
          </cell>
          <cell r="C185">
            <v>152701108</v>
          </cell>
          <cell r="D185" t="str">
            <v>BELL 1108</v>
          </cell>
          <cell r="E185">
            <v>2226</v>
          </cell>
          <cell r="F185" t="b">
            <v>0</v>
          </cell>
          <cell r="G185">
            <v>41003.119439949398</v>
          </cell>
          <cell r="H185">
            <v>38762.648209492298</v>
          </cell>
          <cell r="I185">
            <v>329</v>
          </cell>
          <cell r="J185">
            <v>1.50856905123027E-4</v>
          </cell>
          <cell r="K185">
            <v>729</v>
          </cell>
          <cell r="L185">
            <v>321.45073632699098</v>
          </cell>
          <cell r="M185">
            <v>1412</v>
          </cell>
          <cell r="N185">
            <v>4.9737894037005799E-2</v>
          </cell>
          <cell r="O185">
            <v>1179</v>
          </cell>
          <cell r="P185">
            <v>0.14000000000000001</v>
          </cell>
          <cell r="Q185">
            <v>1330</v>
          </cell>
        </row>
        <row r="186">
          <cell r="B186" t="str">
            <v>BELL 1108339792</v>
          </cell>
          <cell r="C186">
            <v>152701108</v>
          </cell>
          <cell r="D186" t="str">
            <v>BELL 1108</v>
          </cell>
          <cell r="E186">
            <v>339792</v>
          </cell>
          <cell r="F186" t="b">
            <v>0</v>
          </cell>
          <cell r="G186">
            <v>5788.3896770372403</v>
          </cell>
          <cell r="H186">
            <v>4221.2235590678802</v>
          </cell>
          <cell r="I186">
            <v>43</v>
          </cell>
          <cell r="J186">
            <v>1.1358384374965E-4</v>
          </cell>
          <cell r="K186">
            <v>1331</v>
          </cell>
          <cell r="L186">
            <v>632.62179322560496</v>
          </cell>
          <cell r="M186">
            <v>1077</v>
          </cell>
          <cell r="N186">
            <v>8.77289797814573E-2</v>
          </cell>
          <cell r="O186">
            <v>840</v>
          </cell>
          <cell r="Q186">
            <v>3181</v>
          </cell>
        </row>
        <row r="187">
          <cell r="B187" t="str">
            <v>BELL 1108467470</v>
          </cell>
          <cell r="C187">
            <v>152701108</v>
          </cell>
          <cell r="D187" t="str">
            <v>BELL 1108</v>
          </cell>
          <cell r="E187">
            <v>467470</v>
          </cell>
          <cell r="F187" t="b">
            <v>0</v>
          </cell>
          <cell r="G187">
            <v>4805.9001738704201</v>
          </cell>
          <cell r="H187">
            <v>2987.89998432528</v>
          </cell>
          <cell r="I187">
            <v>40</v>
          </cell>
          <cell r="J187">
            <v>2.32964204224117E-4</v>
          </cell>
          <cell r="K187">
            <v>271</v>
          </cell>
          <cell r="L187">
            <v>103.254027754638</v>
          </cell>
          <cell r="M187">
            <v>1936</v>
          </cell>
          <cell r="N187">
            <v>4.6424270443837498E-2</v>
          </cell>
          <cell r="O187">
            <v>1218</v>
          </cell>
          <cell r="Q187">
            <v>2799</v>
          </cell>
        </row>
        <row r="188">
          <cell r="B188" t="str">
            <v>BELL 11085703</v>
          </cell>
          <cell r="C188">
            <v>152701108</v>
          </cell>
          <cell r="D188" t="str">
            <v>BELL 1108</v>
          </cell>
          <cell r="E188">
            <v>5703</v>
          </cell>
          <cell r="F188" t="b">
            <v>0</v>
          </cell>
          <cell r="G188">
            <v>12751.5705226643</v>
          </cell>
          <cell r="H188">
            <v>8525.0586269595206</v>
          </cell>
          <cell r="I188">
            <v>96</v>
          </cell>
          <cell r="J188">
            <v>1.20073186110403E-4</v>
          </cell>
          <cell r="K188">
            <v>1186</v>
          </cell>
          <cell r="L188">
            <v>2775.90923081149</v>
          </cell>
          <cell r="M188">
            <v>303</v>
          </cell>
          <cell r="N188">
            <v>0.33327777429206201</v>
          </cell>
          <cell r="O188">
            <v>104</v>
          </cell>
          <cell r="P188">
            <v>7.0000000000000007E-2</v>
          </cell>
          <cell r="Q188">
            <v>1684</v>
          </cell>
        </row>
        <row r="189">
          <cell r="B189" t="str">
            <v>BELL 110880680</v>
          </cell>
          <cell r="C189">
            <v>152701108</v>
          </cell>
          <cell r="D189" t="str">
            <v>BELL 1108</v>
          </cell>
          <cell r="E189">
            <v>80680</v>
          </cell>
          <cell r="F189" t="b">
            <v>0</v>
          </cell>
          <cell r="G189">
            <v>2866.51848473061</v>
          </cell>
          <cell r="H189">
            <v>1030.5857349164</v>
          </cell>
          <cell r="I189">
            <v>24</v>
          </cell>
          <cell r="J189">
            <v>2.33957190327297E-4</v>
          </cell>
          <cell r="K189">
            <v>265</v>
          </cell>
          <cell r="L189">
            <v>175.01911877262299</v>
          </cell>
          <cell r="M189">
            <v>1697</v>
          </cell>
          <cell r="N189">
            <v>2.1094674499050701E-2</v>
          </cell>
          <cell r="O189">
            <v>1651</v>
          </cell>
          <cell r="P189">
            <v>0.04</v>
          </cell>
          <cell r="Q189">
            <v>2179</v>
          </cell>
        </row>
        <row r="190">
          <cell r="B190" t="str">
            <v>BELL 1108CB</v>
          </cell>
          <cell r="C190">
            <v>152701108</v>
          </cell>
          <cell r="D190" t="str">
            <v>BELL 1108</v>
          </cell>
          <cell r="E190" t="str">
            <v>CB</v>
          </cell>
          <cell r="F190" t="b">
            <v>1</v>
          </cell>
          <cell r="G190">
            <v>9628.7581980244195</v>
          </cell>
          <cell r="H190">
            <v>0</v>
          </cell>
          <cell r="I190">
            <v>83</v>
          </cell>
          <cell r="J190">
            <v>1.6581170938280101E-4</v>
          </cell>
          <cell r="K190">
            <v>584</v>
          </cell>
          <cell r="L190">
            <v>955.77400780562505</v>
          </cell>
          <cell r="M190">
            <v>856</v>
          </cell>
          <cell r="N190">
            <v>0.18212873899229001</v>
          </cell>
          <cell r="O190">
            <v>395</v>
          </cell>
          <cell r="P190">
            <v>0.04</v>
          </cell>
          <cell r="Q190">
            <v>2098</v>
          </cell>
        </row>
        <row r="191">
          <cell r="B191" t="str">
            <v>BELL 1109724884</v>
          </cell>
          <cell r="C191">
            <v>152701109</v>
          </cell>
          <cell r="D191" t="str">
            <v>BELL 1109</v>
          </cell>
          <cell r="E191">
            <v>724884</v>
          </cell>
          <cell r="F191" t="b">
            <v>0</v>
          </cell>
          <cell r="G191">
            <v>22726.021509513899</v>
          </cell>
          <cell r="H191">
            <v>22589.091999099299</v>
          </cell>
          <cell r="I191">
            <v>167</v>
          </cell>
          <cell r="J191">
            <v>1.72536007753423E-4</v>
          </cell>
          <cell r="K191">
            <v>546</v>
          </cell>
          <cell r="L191">
            <v>443.79298504691099</v>
          </cell>
          <cell r="M191">
            <v>1254</v>
          </cell>
          <cell r="N191">
            <v>7.0790528089074004E-2</v>
          </cell>
          <cell r="O191">
            <v>974</v>
          </cell>
          <cell r="Q191">
            <v>2712</v>
          </cell>
        </row>
        <row r="192">
          <cell r="B192" t="str">
            <v>BELL 1109CB</v>
          </cell>
          <cell r="C192">
            <v>152701109</v>
          </cell>
          <cell r="D192" t="str">
            <v>BELL 1109</v>
          </cell>
          <cell r="E192" t="str">
            <v>CB</v>
          </cell>
          <cell r="F192" t="b">
            <v>1</v>
          </cell>
          <cell r="G192">
            <v>5601.5401562266898</v>
          </cell>
          <cell r="H192">
            <v>484.84163870785301</v>
          </cell>
          <cell r="I192">
            <v>53</v>
          </cell>
          <cell r="J192">
            <v>3.1143765090746402E-4</v>
          </cell>
          <cell r="K192">
            <v>116</v>
          </cell>
          <cell r="L192">
            <v>533.42496808642295</v>
          </cell>
          <cell r="M192">
            <v>1167</v>
          </cell>
          <cell r="N192">
            <v>0.15793987893945199</v>
          </cell>
          <cell r="O192">
            <v>480</v>
          </cell>
          <cell r="P192">
            <v>0.06</v>
          </cell>
          <cell r="Q192">
            <v>1805</v>
          </cell>
        </row>
        <row r="193">
          <cell r="B193" t="str">
            <v>BELL 1110946229</v>
          </cell>
          <cell r="C193">
            <v>152701110</v>
          </cell>
          <cell r="D193" t="str">
            <v>BELL 1110</v>
          </cell>
          <cell r="E193">
            <v>946229</v>
          </cell>
          <cell r="F193" t="b">
            <v>1</v>
          </cell>
          <cell r="G193">
            <v>3345.1938433877499</v>
          </cell>
          <cell r="H193">
            <v>352.39123695623999</v>
          </cell>
          <cell r="I193">
            <v>27</v>
          </cell>
          <cell r="J193">
            <v>9.1153072039910102E-5</v>
          </cell>
          <cell r="K193">
            <v>1875</v>
          </cell>
          <cell r="L193">
            <v>1903.3963016038399</v>
          </cell>
          <cell r="M193">
            <v>476</v>
          </cell>
          <cell r="N193">
            <v>0.15488665516066799</v>
          </cell>
          <cell r="O193">
            <v>492</v>
          </cell>
          <cell r="Q193">
            <v>3308</v>
          </cell>
        </row>
        <row r="194">
          <cell r="B194" t="str">
            <v>BELLEVUE 1102392</v>
          </cell>
          <cell r="C194">
            <v>43181102</v>
          </cell>
          <cell r="D194" t="str">
            <v>BELLEVUE 1102</v>
          </cell>
          <cell r="E194">
            <v>392</v>
          </cell>
          <cell r="F194" t="b">
            <v>1</v>
          </cell>
          <cell r="G194">
            <v>10922.111597507999</v>
          </cell>
          <cell r="H194">
            <v>404.91145803936701</v>
          </cell>
          <cell r="I194">
            <v>68</v>
          </cell>
          <cell r="J194">
            <v>9.4204934297896896E-5</v>
          </cell>
          <cell r="K194">
            <v>1789</v>
          </cell>
          <cell r="L194">
            <v>58.540752041919497</v>
          </cell>
          <cell r="M194">
            <v>2165</v>
          </cell>
          <cell r="N194">
            <v>4.2431473055981796E-3</v>
          </cell>
          <cell r="O194">
            <v>2244</v>
          </cell>
          <cell r="P194">
            <v>0.28000000000000003</v>
          </cell>
          <cell r="Q194">
            <v>1035</v>
          </cell>
        </row>
        <row r="195">
          <cell r="B195" t="str">
            <v>BELLEVUE 2103478</v>
          </cell>
          <cell r="C195">
            <v>43182103</v>
          </cell>
          <cell r="D195" t="str">
            <v>BELLEVUE 2103</v>
          </cell>
          <cell r="E195">
            <v>478</v>
          </cell>
          <cell r="F195" t="b">
            <v>0</v>
          </cell>
          <cell r="G195">
            <v>32233.02864158</v>
          </cell>
          <cell r="H195">
            <v>13396.685919580499</v>
          </cell>
          <cell r="I195">
            <v>213</v>
          </cell>
          <cell r="J195">
            <v>9.7956961593662398E-5</v>
          </cell>
          <cell r="K195">
            <v>1693</v>
          </cell>
          <cell r="L195">
            <v>387.65115523462799</v>
          </cell>
          <cell r="M195">
            <v>1310</v>
          </cell>
          <cell r="N195">
            <v>3.1296357977474001E-2</v>
          </cell>
          <cell r="O195">
            <v>1437</v>
          </cell>
          <cell r="P195">
            <v>6.33</v>
          </cell>
          <cell r="Q195">
            <v>468</v>
          </cell>
        </row>
        <row r="196">
          <cell r="B196" t="str">
            <v>BELLEVUE 2103552</v>
          </cell>
          <cell r="C196">
            <v>43182103</v>
          </cell>
          <cell r="D196" t="str">
            <v>BELLEVUE 2103</v>
          </cell>
          <cell r="E196">
            <v>552</v>
          </cell>
          <cell r="F196" t="b">
            <v>0</v>
          </cell>
          <cell r="G196">
            <v>24092.9743775061</v>
          </cell>
          <cell r="H196">
            <v>15233.615579933101</v>
          </cell>
          <cell r="I196">
            <v>172</v>
          </cell>
          <cell r="J196">
            <v>1.3239303331808201E-4</v>
          </cell>
          <cell r="K196">
            <v>975</v>
          </cell>
          <cell r="L196">
            <v>420.61032437361598</v>
          </cell>
          <cell r="M196">
            <v>1272</v>
          </cell>
          <cell r="N196">
            <v>4.9564722968624297E-2</v>
          </cell>
          <cell r="O196">
            <v>1183</v>
          </cell>
          <cell r="P196">
            <v>2.64</v>
          </cell>
          <cell r="Q196">
            <v>591</v>
          </cell>
        </row>
        <row r="197">
          <cell r="B197" t="str">
            <v>BELLEVUE 2103646</v>
          </cell>
          <cell r="C197">
            <v>43182103</v>
          </cell>
          <cell r="D197" t="str">
            <v>BELLEVUE 2103</v>
          </cell>
          <cell r="E197">
            <v>646</v>
          </cell>
          <cell r="F197" t="b">
            <v>0</v>
          </cell>
          <cell r="G197">
            <v>19795.1477634728</v>
          </cell>
          <cell r="H197">
            <v>13544.3225401329</v>
          </cell>
          <cell r="I197">
            <v>154</v>
          </cell>
          <cell r="J197">
            <v>1.1948729663888401E-4</v>
          </cell>
          <cell r="K197">
            <v>1196</v>
          </cell>
          <cell r="L197">
            <v>18.089563840243098</v>
          </cell>
          <cell r="M197">
            <v>2477</v>
          </cell>
          <cell r="N197">
            <v>2.5032786408916599E-3</v>
          </cell>
          <cell r="O197">
            <v>2413</v>
          </cell>
          <cell r="P197">
            <v>28.71</v>
          </cell>
          <cell r="Q197">
            <v>246</v>
          </cell>
        </row>
        <row r="198">
          <cell r="B198" t="str">
            <v>BELLEVUE 2103648</v>
          </cell>
          <cell r="C198">
            <v>43182103</v>
          </cell>
          <cell r="D198" t="str">
            <v>BELLEVUE 2103</v>
          </cell>
          <cell r="E198">
            <v>648</v>
          </cell>
          <cell r="F198" t="b">
            <v>0</v>
          </cell>
          <cell r="G198">
            <v>26216.5178756924</v>
          </cell>
          <cell r="H198">
            <v>6117.4964595584797</v>
          </cell>
          <cell r="I198">
            <v>187</v>
          </cell>
          <cell r="J198">
            <v>9.6900637892398893E-5</v>
          </cell>
          <cell r="K198">
            <v>1716</v>
          </cell>
          <cell r="L198">
            <v>305.01254819582903</v>
          </cell>
          <cell r="M198">
            <v>1439</v>
          </cell>
          <cell r="N198">
            <v>2.8161439344474602E-2</v>
          </cell>
          <cell r="O198">
            <v>1494</v>
          </cell>
          <cell r="P198">
            <v>2.81</v>
          </cell>
          <cell r="Q198">
            <v>578</v>
          </cell>
        </row>
        <row r="199">
          <cell r="B199" t="str">
            <v>BELMONT 11038956</v>
          </cell>
          <cell r="C199">
            <v>24031103</v>
          </cell>
          <cell r="D199" t="str">
            <v>BELMONT 1103</v>
          </cell>
          <cell r="E199">
            <v>8956</v>
          </cell>
          <cell r="F199" t="b">
            <v>1</v>
          </cell>
          <cell r="G199">
            <v>2231.1916527388498</v>
          </cell>
          <cell r="H199">
            <v>474.61324998703401</v>
          </cell>
          <cell r="I199">
            <v>18</v>
          </cell>
          <cell r="J199">
            <v>1.7616635250305899E-5</v>
          </cell>
          <cell r="K199">
            <v>3564</v>
          </cell>
          <cell r="L199">
            <v>6.5361143400271701E-2</v>
          </cell>
          <cell r="M199">
            <v>3432</v>
          </cell>
          <cell r="N199">
            <v>1.15287510841145E-6</v>
          </cell>
          <cell r="O199">
            <v>3576</v>
          </cell>
          <cell r="Q199">
            <v>2884</v>
          </cell>
        </row>
        <row r="200">
          <cell r="B200" t="str">
            <v>BELMONT 11038958</v>
          </cell>
          <cell r="C200">
            <v>24031103</v>
          </cell>
          <cell r="D200" t="str">
            <v>BELMONT 1103</v>
          </cell>
          <cell r="E200">
            <v>8958</v>
          </cell>
          <cell r="F200" t="b">
            <v>0</v>
          </cell>
          <cell r="G200">
            <v>9585.6332609458805</v>
          </cell>
          <cell r="H200">
            <v>5438.9296904011399</v>
          </cell>
          <cell r="I200">
            <v>73</v>
          </cell>
          <cell r="J200">
            <v>5.1693793257830599E-5</v>
          </cell>
          <cell r="K200">
            <v>3001</v>
          </cell>
          <cell r="L200">
            <v>6.5833454058594906E-2</v>
          </cell>
          <cell r="M200">
            <v>3259</v>
          </cell>
          <cell r="N200">
            <v>3.4118931913224899E-6</v>
          </cell>
          <cell r="O200">
            <v>3373</v>
          </cell>
          <cell r="P200">
            <v>0.04</v>
          </cell>
          <cell r="Q200">
            <v>2204</v>
          </cell>
        </row>
        <row r="201">
          <cell r="B201" t="str">
            <v>BELMONT 1110330790</v>
          </cell>
          <cell r="C201">
            <v>24031110</v>
          </cell>
          <cell r="D201" t="str">
            <v>BELMONT 1110</v>
          </cell>
          <cell r="E201">
            <v>330790</v>
          </cell>
          <cell r="F201" t="b">
            <v>1</v>
          </cell>
          <cell r="G201">
            <v>714.07907671143005</v>
          </cell>
          <cell r="H201">
            <v>199.56241388408199</v>
          </cell>
          <cell r="I201">
            <v>8</v>
          </cell>
          <cell r="J201">
            <v>7.7899256731533104E-6</v>
          </cell>
          <cell r="K201">
            <v>3621</v>
          </cell>
          <cell r="L201">
            <v>6.5468220040202099E-2</v>
          </cell>
          <cell r="M201">
            <v>3389</v>
          </cell>
          <cell r="N201">
            <v>5.09989726006136E-7</v>
          </cell>
          <cell r="O201">
            <v>3623</v>
          </cell>
          <cell r="Q201">
            <v>2979</v>
          </cell>
        </row>
        <row r="202">
          <cell r="B202" t="str">
            <v>BELMONT 11109090</v>
          </cell>
          <cell r="C202">
            <v>24031110</v>
          </cell>
          <cell r="D202" t="str">
            <v>BELMONT 1110</v>
          </cell>
          <cell r="E202">
            <v>9090</v>
          </cell>
          <cell r="F202" t="b">
            <v>1</v>
          </cell>
          <cell r="G202">
            <v>4202.8057306224</v>
          </cell>
          <cell r="H202">
            <v>0</v>
          </cell>
          <cell r="I202">
            <v>38</v>
          </cell>
          <cell r="J202">
            <v>1.84796432926481E-5</v>
          </cell>
          <cell r="K202">
            <v>3559</v>
          </cell>
          <cell r="L202">
            <v>6.5146990120410905E-2</v>
          </cell>
          <cell r="M202">
            <v>3627</v>
          </cell>
          <cell r="N202">
            <v>1.2038931390148599E-6</v>
          </cell>
          <cell r="O202">
            <v>3574</v>
          </cell>
          <cell r="Q202">
            <v>2679</v>
          </cell>
        </row>
        <row r="203">
          <cell r="B203" t="str">
            <v>BEN LOMOND 040116010</v>
          </cell>
          <cell r="C203">
            <v>83040401</v>
          </cell>
          <cell r="D203" t="str">
            <v>BEN LOMOND 0401</v>
          </cell>
          <cell r="E203">
            <v>16010</v>
          </cell>
          <cell r="F203" t="b">
            <v>0</v>
          </cell>
          <cell r="G203">
            <v>2728.9115091387598</v>
          </cell>
          <cell r="H203">
            <v>2728.9115091387598</v>
          </cell>
          <cell r="I203">
            <v>25</v>
          </cell>
          <cell r="J203">
            <v>4.4502439792267899E-4</v>
          </cell>
          <cell r="K203">
            <v>49</v>
          </cell>
          <cell r="L203">
            <v>6.6431229729116206E-2</v>
          </cell>
          <cell r="M203">
            <v>3054</v>
          </cell>
          <cell r="N203">
            <v>2.9563518013463099E-5</v>
          </cell>
          <cell r="O203">
            <v>2935</v>
          </cell>
          <cell r="P203">
            <v>0.3</v>
          </cell>
          <cell r="Q203">
            <v>1015</v>
          </cell>
        </row>
        <row r="204">
          <cell r="B204" t="str">
            <v>BEN LOMOND 04015144</v>
          </cell>
          <cell r="C204">
            <v>83040401</v>
          </cell>
          <cell r="D204" t="str">
            <v>BEN LOMOND 0401</v>
          </cell>
          <cell r="E204">
            <v>5144</v>
          </cell>
          <cell r="F204" t="b">
            <v>0</v>
          </cell>
          <cell r="G204">
            <v>6368.9287845208801</v>
          </cell>
          <cell r="H204">
            <v>6368.9287845208801</v>
          </cell>
          <cell r="I204">
            <v>36</v>
          </cell>
          <cell r="J204">
            <v>2.0137807627583601E-4</v>
          </cell>
          <cell r="K204">
            <v>392</v>
          </cell>
          <cell r="L204">
            <v>8.6508147287153498</v>
          </cell>
          <cell r="M204">
            <v>2650</v>
          </cell>
          <cell r="N204">
            <v>1.5294764951940801E-3</v>
          </cell>
          <cell r="O204">
            <v>2552</v>
          </cell>
          <cell r="P204">
            <v>32.700000000000003</v>
          </cell>
          <cell r="Q204">
            <v>225</v>
          </cell>
        </row>
        <row r="205">
          <cell r="B205" t="str">
            <v>BEN LOMOND 04015206</v>
          </cell>
          <cell r="C205">
            <v>83040401</v>
          </cell>
          <cell r="D205" t="str">
            <v>BEN LOMOND 0401</v>
          </cell>
          <cell r="E205">
            <v>5206</v>
          </cell>
          <cell r="F205" t="b">
            <v>0</v>
          </cell>
          <cell r="G205">
            <v>11520.377397435999</v>
          </cell>
          <cell r="H205">
            <v>11520.377397435999</v>
          </cell>
          <cell r="I205">
            <v>78</v>
          </cell>
          <cell r="J205">
            <v>2.8525264075908202E-4</v>
          </cell>
          <cell r="K205">
            <v>147</v>
          </cell>
          <cell r="L205">
            <v>13.4763554414677</v>
          </cell>
          <cell r="M205">
            <v>2563</v>
          </cell>
          <cell r="N205">
            <v>2.8386503076762398E-3</v>
          </cell>
          <cell r="O205">
            <v>2365</v>
          </cell>
          <cell r="P205">
            <v>16.079999999999998</v>
          </cell>
          <cell r="Q205">
            <v>342</v>
          </cell>
        </row>
        <row r="206">
          <cell r="B206" t="str">
            <v>BEN LOMOND 04015400</v>
          </cell>
          <cell r="C206">
            <v>83040401</v>
          </cell>
          <cell r="D206" t="str">
            <v>BEN LOMOND 0401</v>
          </cell>
          <cell r="E206">
            <v>5400</v>
          </cell>
          <cell r="F206" t="b">
            <v>1</v>
          </cell>
          <cell r="G206">
            <v>731.42411497907096</v>
          </cell>
          <cell r="H206">
            <v>731.42411497907096</v>
          </cell>
          <cell r="I206">
            <v>4</v>
          </cell>
          <cell r="J206">
            <v>5.9377777506597297E-4</v>
          </cell>
          <cell r="K206">
            <v>18</v>
          </cell>
          <cell r="L206">
            <v>6.6431229729116206E-2</v>
          </cell>
          <cell r="M206">
            <v>3083</v>
          </cell>
          <cell r="N206">
            <v>3.9445387783451203E-5</v>
          </cell>
          <cell r="O206">
            <v>2917</v>
          </cell>
          <cell r="P206">
            <v>0.27</v>
          </cell>
          <cell r="Q206">
            <v>1057</v>
          </cell>
        </row>
        <row r="207">
          <cell r="B207" t="str">
            <v>BEN LOMOND 0401CB</v>
          </cell>
          <cell r="C207">
            <v>83040401</v>
          </cell>
          <cell r="D207" t="str">
            <v>BEN LOMOND 0401</v>
          </cell>
          <cell r="E207" t="str">
            <v>CB</v>
          </cell>
          <cell r="F207" t="b">
            <v>0</v>
          </cell>
          <cell r="G207">
            <v>12509.552787282801</v>
          </cell>
          <cell r="H207">
            <v>12509.552787282801</v>
          </cell>
          <cell r="I207">
            <v>106</v>
          </cell>
          <cell r="J207">
            <v>3.4661739139338799E-4</v>
          </cell>
          <cell r="K207">
            <v>93</v>
          </cell>
          <cell r="L207">
            <v>6.6431229729116206E-2</v>
          </cell>
          <cell r="M207">
            <v>3076</v>
          </cell>
          <cell r="N207">
            <v>2.30262195557611E-5</v>
          </cell>
          <cell r="O207">
            <v>2956</v>
          </cell>
          <cell r="P207">
            <v>1.58</v>
          </cell>
          <cell r="Q207">
            <v>665</v>
          </cell>
        </row>
        <row r="208">
          <cell r="B208" t="str">
            <v>BEN LOMOND 110196738</v>
          </cell>
          <cell r="C208">
            <v>83041101</v>
          </cell>
          <cell r="D208" t="str">
            <v>BEN LOMOND 1101</v>
          </cell>
          <cell r="E208">
            <v>96738</v>
          </cell>
          <cell r="F208" t="b">
            <v>0</v>
          </cell>
          <cell r="G208">
            <v>10792.8538311702</v>
          </cell>
          <cell r="H208">
            <v>10792.8538311702</v>
          </cell>
          <cell r="I208">
            <v>84</v>
          </cell>
          <cell r="J208">
            <v>2.0282841463388899E-4</v>
          </cell>
          <cell r="K208">
            <v>387</v>
          </cell>
          <cell r="L208">
            <v>5.4434623648142004</v>
          </cell>
          <cell r="M208">
            <v>2731</v>
          </cell>
          <cell r="N208">
            <v>9.72761199312345E-4</v>
          </cell>
          <cell r="O208">
            <v>2641</v>
          </cell>
          <cell r="P208">
            <v>21.67</v>
          </cell>
          <cell r="Q208">
            <v>298</v>
          </cell>
        </row>
        <row r="209">
          <cell r="B209" t="str">
            <v>BEN LOMOND 1101BL 1101</v>
          </cell>
          <cell r="C209">
            <v>83041101</v>
          </cell>
          <cell r="D209" t="str">
            <v>BEN LOMOND 1101</v>
          </cell>
          <cell r="E209" t="str">
            <v>BL 1101</v>
          </cell>
          <cell r="F209" t="b">
            <v>0</v>
          </cell>
          <cell r="G209">
            <v>13568.3760643972</v>
          </cell>
          <cell r="H209">
            <v>13568.3760643972</v>
          </cell>
          <cell r="I209">
            <v>101</v>
          </cell>
          <cell r="J209">
            <v>3.0613092516576501E-4</v>
          </cell>
          <cell r="K209">
            <v>124</v>
          </cell>
          <cell r="L209">
            <v>6.1859914878573798</v>
          </cell>
          <cell r="M209">
            <v>2709</v>
          </cell>
          <cell r="N209">
            <v>1.76813509559059E-3</v>
          </cell>
          <cell r="O209">
            <v>2507</v>
          </cell>
          <cell r="P209">
            <v>25.42</v>
          </cell>
          <cell r="Q209">
            <v>271</v>
          </cell>
        </row>
        <row r="210">
          <cell r="B210" t="str">
            <v>BERESFORD 0403435168</v>
          </cell>
          <cell r="C210">
            <v>24040403</v>
          </cell>
          <cell r="D210" t="str">
            <v>BERESFORD 0403</v>
          </cell>
          <cell r="E210">
            <v>435168</v>
          </cell>
          <cell r="F210" t="b">
            <v>0</v>
          </cell>
          <cell r="G210">
            <v>2902.29551037684</v>
          </cell>
          <cell r="H210">
            <v>2068.40767296582</v>
          </cell>
          <cell r="I210">
            <v>26</v>
          </cell>
          <cell r="J210">
            <v>4.95031682658009E-5</v>
          </cell>
          <cell r="K210">
            <v>3049</v>
          </cell>
          <cell r="L210">
            <v>0.97971326743180898</v>
          </cell>
          <cell r="M210">
            <v>2895</v>
          </cell>
          <cell r="N210">
            <v>3.1130992597937297E-5</v>
          </cell>
          <cell r="O210">
            <v>2930</v>
          </cell>
          <cell r="Q210">
            <v>3011</v>
          </cell>
        </row>
        <row r="211">
          <cell r="B211" t="str">
            <v>BERESFORD 04039154</v>
          </cell>
          <cell r="C211">
            <v>24040403</v>
          </cell>
          <cell r="D211" t="str">
            <v>BERESFORD 0403</v>
          </cell>
          <cell r="E211">
            <v>9154</v>
          </cell>
          <cell r="F211" t="b">
            <v>0</v>
          </cell>
          <cell r="G211">
            <v>10556.7719001356</v>
          </cell>
          <cell r="H211">
            <v>6776.6761810650496</v>
          </cell>
          <cell r="I211">
            <v>95</v>
          </cell>
          <cell r="J211">
            <v>6.2891705544499999E-5</v>
          </cell>
          <cell r="K211">
            <v>2686</v>
          </cell>
          <cell r="L211">
            <v>6.5944992868523802E-2</v>
          </cell>
          <cell r="M211">
            <v>3236</v>
          </cell>
          <cell r="N211">
            <v>4.1518061483202103E-6</v>
          </cell>
          <cell r="O211">
            <v>3327</v>
          </cell>
          <cell r="P211">
            <v>0.03</v>
          </cell>
          <cell r="Q211">
            <v>2237</v>
          </cell>
        </row>
        <row r="212">
          <cell r="B212" t="str">
            <v>BERKELEY F 0402502466</v>
          </cell>
          <cell r="C212">
            <v>12060402</v>
          </cell>
          <cell r="D212" t="str">
            <v>BERKELEY F 0402</v>
          </cell>
          <cell r="E212">
            <v>502466</v>
          </cell>
          <cell r="F212" t="b">
            <v>1</v>
          </cell>
          <cell r="G212">
            <v>854.28386320211598</v>
          </cell>
          <cell r="H212">
            <v>226.023835945272</v>
          </cell>
          <cell r="I212">
            <v>10</v>
          </cell>
          <cell r="J212">
            <v>2.4426855497949801E-5</v>
          </cell>
          <cell r="K212">
            <v>3501</v>
          </cell>
          <cell r="L212">
            <v>6.5532466024160296E-2</v>
          </cell>
          <cell r="M212">
            <v>3357</v>
          </cell>
          <cell r="N212">
            <v>1.61514167353081E-6</v>
          </cell>
          <cell r="O212">
            <v>3543</v>
          </cell>
          <cell r="Q212">
            <v>2745</v>
          </cell>
        </row>
        <row r="213">
          <cell r="B213" t="str">
            <v>BERKELEY F 0402CB</v>
          </cell>
          <cell r="C213">
            <v>12060402</v>
          </cell>
          <cell r="D213" t="str">
            <v>BERKELEY F 0402</v>
          </cell>
          <cell r="E213" t="str">
            <v>CB</v>
          </cell>
          <cell r="F213" t="b">
            <v>1</v>
          </cell>
          <cell r="G213">
            <v>2575.0656974707399</v>
          </cell>
          <cell r="H213">
            <v>47.0230865460655</v>
          </cell>
          <cell r="I213">
            <v>21</v>
          </cell>
          <cell r="J213">
            <v>1.6197240149588499E-5</v>
          </cell>
          <cell r="K213">
            <v>3575</v>
          </cell>
          <cell r="L213">
            <v>6.5146990120410905E-2</v>
          </cell>
          <cell r="M213">
            <v>3630</v>
          </cell>
          <cell r="N213">
            <v>1.05520144400317E-6</v>
          </cell>
          <cell r="O213">
            <v>3588</v>
          </cell>
          <cell r="P213">
            <v>0.03</v>
          </cell>
          <cell r="Q213">
            <v>2266</v>
          </cell>
        </row>
        <row r="214">
          <cell r="B214" t="str">
            <v>BERKELEY F 1103162952</v>
          </cell>
          <cell r="C214">
            <v>12061103</v>
          </cell>
          <cell r="D214" t="str">
            <v>BERKELEY F 1103</v>
          </cell>
          <cell r="E214">
            <v>162952</v>
          </cell>
          <cell r="F214" t="b">
            <v>0</v>
          </cell>
          <cell r="G214">
            <v>3475.2505770595699</v>
          </cell>
          <cell r="H214">
            <v>2846.7584701732198</v>
          </cell>
          <cell r="I214">
            <v>25</v>
          </cell>
          <cell r="J214">
            <v>8.5367321589728803E-5</v>
          </cell>
          <cell r="K214">
            <v>2045</v>
          </cell>
          <cell r="L214">
            <v>6.6174925863742795E-2</v>
          </cell>
          <cell r="M214">
            <v>3178</v>
          </cell>
          <cell r="N214">
            <v>5.6583449776914098E-6</v>
          </cell>
          <cell r="O214">
            <v>3230</v>
          </cell>
          <cell r="Q214">
            <v>2962</v>
          </cell>
        </row>
        <row r="215">
          <cell r="B215" t="str">
            <v>BERKELEY F 1103620294</v>
          </cell>
          <cell r="C215">
            <v>12061103</v>
          </cell>
          <cell r="D215" t="str">
            <v>BERKELEY F 1103</v>
          </cell>
          <cell r="E215">
            <v>620294</v>
          </cell>
          <cell r="F215" t="b">
            <v>1</v>
          </cell>
          <cell r="G215">
            <v>312.27217764295102</v>
          </cell>
          <cell r="H215">
            <v>249.663665394605</v>
          </cell>
          <cell r="I215">
            <v>4</v>
          </cell>
          <cell r="J215">
            <v>7.0122040142450701E-5</v>
          </cell>
          <cell r="K215">
            <v>2469</v>
          </cell>
          <cell r="L215">
            <v>6.5468220040202099E-2</v>
          </cell>
          <cell r="M215">
            <v>3388</v>
          </cell>
          <cell r="N215">
            <v>4.6108606366564303E-6</v>
          </cell>
          <cell r="O215">
            <v>3288</v>
          </cell>
          <cell r="Q215">
            <v>3315</v>
          </cell>
        </row>
        <row r="216">
          <cell r="B216" t="str">
            <v>BERKELEY F 1103813976</v>
          </cell>
          <cell r="C216">
            <v>12061103</v>
          </cell>
          <cell r="D216" t="str">
            <v>BERKELEY F 1103</v>
          </cell>
          <cell r="E216">
            <v>813976</v>
          </cell>
          <cell r="F216" t="b">
            <v>1</v>
          </cell>
          <cell r="G216">
            <v>328.18081893226798</v>
          </cell>
          <cell r="H216">
            <v>312.29782492929297</v>
          </cell>
          <cell r="I216">
            <v>4</v>
          </cell>
          <cell r="J216">
            <v>1.05126209746231E-4</v>
          </cell>
          <cell r="K216">
            <v>1520</v>
          </cell>
          <cell r="L216">
            <v>6.6110679879784501E-2</v>
          </cell>
          <cell r="M216">
            <v>3194</v>
          </cell>
          <cell r="N216">
            <v>6.9422324424155602E-6</v>
          </cell>
          <cell r="O216">
            <v>3167</v>
          </cell>
          <cell r="Q216">
            <v>3515</v>
          </cell>
        </row>
        <row r="217">
          <cell r="B217" t="str">
            <v>BERKELEY F 1103BR110</v>
          </cell>
          <cell r="C217">
            <v>12061103</v>
          </cell>
          <cell r="D217" t="str">
            <v>BERKELEY F 1103</v>
          </cell>
          <cell r="E217" t="str">
            <v>BR110</v>
          </cell>
          <cell r="F217" t="b">
            <v>1</v>
          </cell>
          <cell r="G217">
            <v>5064.9775389901797</v>
          </cell>
          <cell r="H217">
            <v>0</v>
          </cell>
          <cell r="I217">
            <v>45</v>
          </cell>
          <cell r="J217">
            <v>1.7521232128577401E-5</v>
          </cell>
          <cell r="K217">
            <v>3566</v>
          </cell>
          <cell r="L217">
            <v>6.5146990120410905E-2</v>
          </cell>
          <cell r="M217">
            <v>3628</v>
          </cell>
          <cell r="N217">
            <v>1.14145553637786E-6</v>
          </cell>
          <cell r="O217">
            <v>3579</v>
          </cell>
          <cell r="P217">
            <v>18.55</v>
          </cell>
          <cell r="Q217">
            <v>320</v>
          </cell>
        </row>
        <row r="218">
          <cell r="B218" t="str">
            <v>BERKELEY F 1105189500</v>
          </cell>
          <cell r="C218">
            <v>12061105</v>
          </cell>
          <cell r="D218" t="str">
            <v>BERKELEY F 1105</v>
          </cell>
          <cell r="E218">
            <v>189500</v>
          </cell>
          <cell r="F218" t="b">
            <v>0</v>
          </cell>
          <cell r="G218">
            <v>1726.24020811173</v>
          </cell>
          <cell r="H218">
            <v>1225.6859610224501</v>
          </cell>
          <cell r="I218">
            <v>17</v>
          </cell>
          <cell r="J218">
            <v>6.00819557268336E-5</v>
          </cell>
          <cell r="K218">
            <v>2771</v>
          </cell>
          <cell r="L218">
            <v>6.5902825225802E-2</v>
          </cell>
          <cell r="M218">
            <v>3244</v>
          </cell>
          <cell r="N218">
            <v>3.9707537915870802E-6</v>
          </cell>
          <cell r="O218">
            <v>3337</v>
          </cell>
          <cell r="Q218">
            <v>3131</v>
          </cell>
        </row>
        <row r="219">
          <cell r="B219" t="str">
            <v>BERKELEY F 1105849701</v>
          </cell>
          <cell r="C219">
            <v>12061105</v>
          </cell>
          <cell r="D219" t="str">
            <v>BERKELEY F 1105</v>
          </cell>
          <cell r="E219">
            <v>849701</v>
          </cell>
          <cell r="F219" t="b">
            <v>1</v>
          </cell>
          <cell r="G219">
            <v>220.60385199341499</v>
          </cell>
          <cell r="H219">
            <v>213.772431455358</v>
          </cell>
          <cell r="I219">
            <v>2</v>
          </cell>
          <cell r="J219">
            <v>2.8441350877983401E-5</v>
          </cell>
          <cell r="K219">
            <v>3447</v>
          </cell>
          <cell r="L219">
            <v>6.5789449959993307E-2</v>
          </cell>
          <cell r="M219">
            <v>3283</v>
          </cell>
          <cell r="N219">
            <v>1.88941325610428E-6</v>
          </cell>
          <cell r="O219">
            <v>3516</v>
          </cell>
          <cell r="Q219">
            <v>3358</v>
          </cell>
        </row>
        <row r="220">
          <cell r="B220" t="str">
            <v>BERKELEY F 1105BR166</v>
          </cell>
          <cell r="C220">
            <v>12061105</v>
          </cell>
          <cell r="D220" t="str">
            <v>BERKELEY F 1105</v>
          </cell>
          <cell r="E220" t="str">
            <v>BR166</v>
          </cell>
          <cell r="F220" t="b">
            <v>1</v>
          </cell>
          <cell r="G220">
            <v>61.4345106783041</v>
          </cell>
          <cell r="H220">
            <v>61.4345106783041</v>
          </cell>
          <cell r="I220">
            <v>2</v>
          </cell>
          <cell r="J220">
            <v>1.3883187057217499E-4</v>
          </cell>
          <cell r="K220">
            <v>886</v>
          </cell>
          <cell r="L220">
            <v>6.6431909799575806E-2</v>
          </cell>
          <cell r="M220">
            <v>2952</v>
          </cell>
          <cell r="N220">
            <v>9.2228663031571607E-6</v>
          </cell>
          <cell r="O220">
            <v>3089</v>
          </cell>
          <cell r="P220">
            <v>0.05</v>
          </cell>
          <cell r="Q220">
            <v>1939</v>
          </cell>
        </row>
        <row r="221">
          <cell r="B221" t="str">
            <v>BERKELEY F 1105CB</v>
          </cell>
          <cell r="C221">
            <v>12061105</v>
          </cell>
          <cell r="D221" t="str">
            <v>BERKELEY F 1105</v>
          </cell>
          <cell r="E221" t="str">
            <v>CB</v>
          </cell>
          <cell r="F221" t="b">
            <v>0</v>
          </cell>
          <cell r="G221">
            <v>12969.644547673301</v>
          </cell>
          <cell r="H221">
            <v>1669.14517217611</v>
          </cell>
          <cell r="I221">
            <v>103</v>
          </cell>
          <cell r="J221">
            <v>2.43616064598096E-5</v>
          </cell>
          <cell r="K221">
            <v>3504</v>
          </cell>
          <cell r="L221">
            <v>6.5321639397190601E-2</v>
          </cell>
          <cell r="M221">
            <v>3453</v>
          </cell>
          <cell r="N221">
            <v>1.6033328934303799E-6</v>
          </cell>
          <cell r="O221">
            <v>3544</v>
          </cell>
          <cell r="P221">
            <v>0.03</v>
          </cell>
          <cell r="Q221">
            <v>2287</v>
          </cell>
        </row>
        <row r="222">
          <cell r="B222" t="str">
            <v>BERKELEY T 0404CB</v>
          </cell>
          <cell r="C222">
            <v>12660404</v>
          </cell>
          <cell r="D222" t="str">
            <v>BERKELEY T 0404</v>
          </cell>
          <cell r="E222" t="str">
            <v>CB</v>
          </cell>
          <cell r="F222" t="b">
            <v>1</v>
          </cell>
          <cell r="G222">
            <v>1942.0348964326899</v>
          </cell>
          <cell r="H222">
            <v>0</v>
          </cell>
          <cell r="I222">
            <v>20</v>
          </cell>
          <cell r="J222">
            <v>7.5208631107456902E-6</v>
          </cell>
          <cell r="K222">
            <v>3625</v>
          </cell>
          <cell r="L222">
            <v>6.5211236104369102E-2</v>
          </cell>
          <cell r="M222">
            <v>3506</v>
          </cell>
          <cell r="N222">
            <v>4.9106300872563598E-7</v>
          </cell>
          <cell r="O222">
            <v>3626</v>
          </cell>
          <cell r="Q222">
            <v>2929</v>
          </cell>
        </row>
        <row r="223">
          <cell r="B223" t="str">
            <v>BIG BASIN 110110296</v>
          </cell>
          <cell r="C223">
            <v>82841101</v>
          </cell>
          <cell r="D223" t="str">
            <v>BIG BASIN 1101</v>
          </cell>
          <cell r="E223">
            <v>10296</v>
          </cell>
          <cell r="F223" t="b">
            <v>0</v>
          </cell>
          <cell r="G223">
            <v>23203.580421509501</v>
          </cell>
          <cell r="H223">
            <v>23203.580421509501</v>
          </cell>
          <cell r="I223">
            <v>181</v>
          </cell>
          <cell r="J223">
            <v>2.8226548879476798E-4</v>
          </cell>
          <cell r="K223">
            <v>151</v>
          </cell>
          <cell r="L223">
            <v>8.4720494166246301</v>
          </cell>
          <cell r="M223">
            <v>2657</v>
          </cell>
          <cell r="N223">
            <v>2.1701787445815302E-3</v>
          </cell>
          <cell r="O223">
            <v>2456</v>
          </cell>
          <cell r="P223">
            <v>20.94</v>
          </cell>
          <cell r="Q223">
            <v>303</v>
          </cell>
        </row>
        <row r="224">
          <cell r="B224" t="str">
            <v>BIG BASIN 110110720</v>
          </cell>
          <cell r="C224">
            <v>82841101</v>
          </cell>
          <cell r="D224" t="str">
            <v>BIG BASIN 1101</v>
          </cell>
          <cell r="E224">
            <v>10720</v>
          </cell>
          <cell r="F224" t="b">
            <v>0</v>
          </cell>
          <cell r="G224">
            <v>7578.3101545016498</v>
          </cell>
          <cell r="H224">
            <v>7578.3101545016498</v>
          </cell>
          <cell r="I224">
            <v>44</v>
          </cell>
          <cell r="J224">
            <v>5.9262908478050901E-4</v>
          </cell>
          <cell r="K224">
            <v>19</v>
          </cell>
          <cell r="L224">
            <v>5.4691898261162901</v>
          </cell>
          <cell r="M224">
            <v>2730</v>
          </cell>
          <cell r="N224">
            <v>2.2829809877475101E-3</v>
          </cell>
          <cell r="O224">
            <v>2435</v>
          </cell>
          <cell r="P224">
            <v>61.7</v>
          </cell>
          <cell r="Q224">
            <v>86</v>
          </cell>
        </row>
        <row r="225">
          <cell r="B225" t="str">
            <v>BIG BASIN 110112838</v>
          </cell>
          <cell r="C225">
            <v>82841101</v>
          </cell>
          <cell r="D225" t="str">
            <v>BIG BASIN 1101</v>
          </cell>
          <cell r="E225">
            <v>12838</v>
          </cell>
          <cell r="F225" t="b">
            <v>0</v>
          </cell>
          <cell r="G225">
            <v>3807.4911109578602</v>
          </cell>
          <cell r="H225">
            <v>3807.4911109578602</v>
          </cell>
          <cell r="I225">
            <v>32</v>
          </cell>
          <cell r="J225">
            <v>5.8407616688782495E-4</v>
          </cell>
          <cell r="K225">
            <v>21</v>
          </cell>
          <cell r="L225">
            <v>1.5521898456841701</v>
          </cell>
          <cell r="M225">
            <v>2860</v>
          </cell>
          <cell r="N225">
            <v>8.5045997331424704E-4</v>
          </cell>
          <cell r="O225">
            <v>2662</v>
          </cell>
          <cell r="P225">
            <v>8.7200000000000006</v>
          </cell>
          <cell r="Q225">
            <v>421</v>
          </cell>
        </row>
        <row r="226">
          <cell r="B226" t="str">
            <v>BIG BASIN 11015000</v>
          </cell>
          <cell r="C226">
            <v>82841101</v>
          </cell>
          <cell r="D226" t="str">
            <v>BIG BASIN 1101</v>
          </cell>
          <cell r="E226">
            <v>5000</v>
          </cell>
          <cell r="F226" t="b">
            <v>0</v>
          </cell>
          <cell r="G226">
            <v>3149.0185626931002</v>
          </cell>
          <cell r="H226">
            <v>3149.0185626931002</v>
          </cell>
          <cell r="I226">
            <v>23</v>
          </cell>
          <cell r="J226">
            <v>4.1733293524568701E-4</v>
          </cell>
          <cell r="K226">
            <v>64</v>
          </cell>
          <cell r="L226">
            <v>2.1335737723174701</v>
          </cell>
          <cell r="M226">
            <v>2834</v>
          </cell>
          <cell r="N226">
            <v>1.38140410581298E-3</v>
          </cell>
          <cell r="O226">
            <v>2579</v>
          </cell>
          <cell r="P226">
            <v>24.55</v>
          </cell>
          <cell r="Q226">
            <v>277</v>
          </cell>
        </row>
        <row r="227">
          <cell r="B227" t="str">
            <v>BIG BASIN 11015028</v>
          </cell>
          <cell r="C227">
            <v>82841101</v>
          </cell>
          <cell r="D227" t="str">
            <v>BIG BASIN 1101</v>
          </cell>
          <cell r="E227">
            <v>5028</v>
          </cell>
          <cell r="F227" t="b">
            <v>0</v>
          </cell>
          <cell r="G227">
            <v>8087.7218931861798</v>
          </cell>
          <cell r="H227">
            <v>8087.7218931861798</v>
          </cell>
          <cell r="I227">
            <v>59</v>
          </cell>
          <cell r="J227">
            <v>2.7872782318469997E-4</v>
          </cell>
          <cell r="K227">
            <v>160</v>
          </cell>
          <cell r="L227">
            <v>6.6431229729116206E-2</v>
          </cell>
          <cell r="M227">
            <v>3056</v>
          </cell>
          <cell r="N227">
            <v>1.85162320538793E-5</v>
          </cell>
          <cell r="O227">
            <v>2968</v>
          </cell>
          <cell r="P227">
            <v>0.63</v>
          </cell>
          <cell r="Q227">
            <v>832</v>
          </cell>
        </row>
        <row r="228">
          <cell r="B228" t="str">
            <v>BIG BASIN 11015479</v>
          </cell>
          <cell r="C228">
            <v>82841101</v>
          </cell>
          <cell r="D228" t="str">
            <v>BIG BASIN 1101</v>
          </cell>
          <cell r="E228">
            <v>5479</v>
          </cell>
          <cell r="F228" t="b">
            <v>1</v>
          </cell>
          <cell r="G228">
            <v>289.277679652887</v>
          </cell>
          <cell r="H228">
            <v>289.277679652887</v>
          </cell>
          <cell r="I228">
            <v>3</v>
          </cell>
          <cell r="J228">
            <v>4.1806893811250701E-4</v>
          </cell>
          <cell r="K228">
            <v>63</v>
          </cell>
          <cell r="L228">
            <v>6.6431229729116206E-2</v>
          </cell>
          <cell r="M228">
            <v>3086</v>
          </cell>
          <cell r="N228">
            <v>2.7772833670359601E-5</v>
          </cell>
          <cell r="O228">
            <v>2944</v>
          </cell>
          <cell r="P228">
            <v>2.14</v>
          </cell>
          <cell r="Q228">
            <v>619</v>
          </cell>
        </row>
        <row r="229">
          <cell r="B229" t="str">
            <v>BIG BASIN 110165444</v>
          </cell>
          <cell r="C229">
            <v>82841101</v>
          </cell>
          <cell r="D229" t="str">
            <v>BIG BASIN 1101</v>
          </cell>
          <cell r="E229">
            <v>65444</v>
          </cell>
          <cell r="F229" t="b">
            <v>1</v>
          </cell>
          <cell r="G229">
            <v>757.25933679154298</v>
          </cell>
          <cell r="H229">
            <v>757.25933679154298</v>
          </cell>
          <cell r="I229">
            <v>9</v>
          </cell>
          <cell r="J229">
            <v>9.1179369418467897E-4</v>
          </cell>
          <cell r="K229">
            <v>3</v>
          </cell>
          <cell r="L229">
            <v>6.6431229729116206E-2</v>
          </cell>
          <cell r="M229">
            <v>3074</v>
          </cell>
          <cell r="N229">
            <v>6.0571576363941999E-5</v>
          </cell>
          <cell r="O229">
            <v>2898</v>
          </cell>
          <cell r="P229">
            <v>12.01</v>
          </cell>
          <cell r="Q229">
            <v>379</v>
          </cell>
        </row>
        <row r="230">
          <cell r="B230" t="str">
            <v>BIG BASIN 110169550</v>
          </cell>
          <cell r="C230">
            <v>82841101</v>
          </cell>
          <cell r="D230" t="str">
            <v>BIG BASIN 1101</v>
          </cell>
          <cell r="E230">
            <v>69550</v>
          </cell>
          <cell r="F230" t="b">
            <v>0</v>
          </cell>
          <cell r="G230">
            <v>28222.949910847299</v>
          </cell>
          <cell r="H230">
            <v>28222.949910847299</v>
          </cell>
          <cell r="I230">
            <v>188</v>
          </cell>
          <cell r="J230">
            <v>1.9115205495449499E-4</v>
          </cell>
          <cell r="K230">
            <v>436</v>
          </cell>
          <cell r="L230">
            <v>15.1136890244151</v>
          </cell>
          <cell r="M230">
            <v>2529</v>
          </cell>
          <cell r="N230">
            <v>2.7544825789308398E-3</v>
          </cell>
          <cell r="O230">
            <v>2375</v>
          </cell>
          <cell r="P230">
            <v>0.88</v>
          </cell>
          <cell r="Q230">
            <v>753</v>
          </cell>
        </row>
        <row r="231">
          <cell r="B231" t="str">
            <v>BIG BASIN 110195690</v>
          </cell>
          <cell r="C231">
            <v>82841101</v>
          </cell>
          <cell r="D231" t="str">
            <v>BIG BASIN 1101</v>
          </cell>
          <cell r="E231">
            <v>95690</v>
          </cell>
          <cell r="F231" t="b">
            <v>0</v>
          </cell>
          <cell r="G231">
            <v>6226.9882008554496</v>
          </cell>
          <cell r="H231">
            <v>6226.9882008554496</v>
          </cell>
          <cell r="I231">
            <v>58</v>
          </cell>
          <cell r="J231">
            <v>4.3813127877799301E-4</v>
          </cell>
          <cell r="K231">
            <v>55</v>
          </cell>
          <cell r="L231">
            <v>3.7552114327189399</v>
          </cell>
          <cell r="M231">
            <v>2782</v>
          </cell>
          <cell r="N231">
            <v>2.6164374122743602E-3</v>
          </cell>
          <cell r="O231">
            <v>2395</v>
          </cell>
          <cell r="P231">
            <v>0.66</v>
          </cell>
          <cell r="Q231">
            <v>821</v>
          </cell>
        </row>
        <row r="232">
          <cell r="B232" t="str">
            <v>BIG BASIN 11019773</v>
          </cell>
          <cell r="C232">
            <v>82841101</v>
          </cell>
          <cell r="D232" t="str">
            <v>BIG BASIN 1101</v>
          </cell>
          <cell r="E232">
            <v>9773</v>
          </cell>
          <cell r="F232" t="b">
            <v>1</v>
          </cell>
          <cell r="G232">
            <v>724.85451530008299</v>
          </cell>
          <cell r="H232">
            <v>724.85451530008299</v>
          </cell>
          <cell r="I232">
            <v>6</v>
          </cell>
          <cell r="J232">
            <v>2.3796166836594499E-4</v>
          </cell>
          <cell r="K232">
            <v>254</v>
          </cell>
          <cell r="L232">
            <v>6.6431229729116206E-2</v>
          </cell>
          <cell r="M232">
            <v>3077</v>
          </cell>
          <cell r="N232">
            <v>1.5808086257941899E-5</v>
          </cell>
          <cell r="O232">
            <v>2998</v>
          </cell>
          <cell r="P232">
            <v>6.09</v>
          </cell>
          <cell r="Q232">
            <v>473</v>
          </cell>
        </row>
        <row r="233">
          <cell r="B233" t="str">
            <v>BIG BASIN 1101CB</v>
          </cell>
          <cell r="C233">
            <v>82841101</v>
          </cell>
          <cell r="D233" t="str">
            <v>BIG BASIN 1101</v>
          </cell>
          <cell r="E233" t="str">
            <v>CB</v>
          </cell>
          <cell r="F233" t="b">
            <v>0</v>
          </cell>
          <cell r="G233">
            <v>7486.7826707435797</v>
          </cell>
          <cell r="H233">
            <v>7486.7826707435797</v>
          </cell>
          <cell r="I233">
            <v>45</v>
          </cell>
          <cell r="J233">
            <v>2.7460952476885298E-4</v>
          </cell>
          <cell r="K233">
            <v>168</v>
          </cell>
          <cell r="L233">
            <v>11.6886482513167</v>
          </cell>
          <cell r="M233">
            <v>2594</v>
          </cell>
          <cell r="N233">
            <v>2.5848552093801201E-3</v>
          </cell>
          <cell r="O233">
            <v>2398</v>
          </cell>
          <cell r="P233">
            <v>26.9</v>
          </cell>
          <cell r="Q233">
            <v>264</v>
          </cell>
        </row>
        <row r="234">
          <cell r="B234" t="str">
            <v>BIG BASIN 110210254</v>
          </cell>
          <cell r="C234">
            <v>82841102</v>
          </cell>
          <cell r="D234" t="str">
            <v>BIG BASIN 1102</v>
          </cell>
          <cell r="E234">
            <v>10254</v>
          </cell>
          <cell r="F234" t="b">
            <v>0</v>
          </cell>
          <cell r="G234">
            <v>3449.8350903844798</v>
          </cell>
          <cell r="H234">
            <v>3449.8350903844798</v>
          </cell>
          <cell r="I234">
            <v>11</v>
          </cell>
          <cell r="J234">
            <v>2.5218463755057502E-4</v>
          </cell>
          <cell r="K234">
            <v>212</v>
          </cell>
          <cell r="L234">
            <v>138.39786035940801</v>
          </cell>
          <cell r="M234">
            <v>1814</v>
          </cell>
          <cell r="N234">
            <v>3.2320027953669901E-2</v>
          </cell>
          <cell r="O234">
            <v>1421</v>
          </cell>
          <cell r="P234">
            <v>0.28999999999999998</v>
          </cell>
          <cell r="Q234">
            <v>1030</v>
          </cell>
        </row>
        <row r="235">
          <cell r="B235" t="str">
            <v>BIG BASIN 110211062</v>
          </cell>
          <cell r="C235">
            <v>82841102</v>
          </cell>
          <cell r="D235" t="str">
            <v>BIG BASIN 1102</v>
          </cell>
          <cell r="E235">
            <v>11062</v>
          </cell>
          <cell r="F235" t="b">
            <v>0</v>
          </cell>
          <cell r="G235">
            <v>21428.234301208398</v>
          </cell>
          <cell r="H235">
            <v>21428.234301208398</v>
          </cell>
          <cell r="I235">
            <v>88</v>
          </cell>
          <cell r="J235">
            <v>1.3572166627172599E-4</v>
          </cell>
          <cell r="K235">
            <v>922</v>
          </cell>
          <cell r="L235">
            <v>71.113575676664894</v>
          </cell>
          <cell r="M235">
            <v>2090</v>
          </cell>
          <cell r="N235">
            <v>7.8989549469020703E-3</v>
          </cell>
          <cell r="O235">
            <v>2050</v>
          </cell>
          <cell r="P235">
            <v>0.25</v>
          </cell>
          <cell r="Q235">
            <v>1075</v>
          </cell>
        </row>
        <row r="236">
          <cell r="B236" t="str">
            <v>BIG BASIN 110212124</v>
          </cell>
          <cell r="C236">
            <v>82841102</v>
          </cell>
          <cell r="D236" t="str">
            <v>BIG BASIN 1102</v>
          </cell>
          <cell r="E236">
            <v>12124</v>
          </cell>
          <cell r="F236" t="b">
            <v>0</v>
          </cell>
          <cell r="G236">
            <v>7217.2961941693902</v>
          </cell>
          <cell r="H236">
            <v>7217.2961941693902</v>
          </cell>
          <cell r="I236">
            <v>59</v>
          </cell>
          <cell r="J236">
            <v>3.0399825901456E-4</v>
          </cell>
          <cell r="K236">
            <v>126</v>
          </cell>
          <cell r="L236">
            <v>21.0181466473306</v>
          </cell>
          <cell r="M236">
            <v>2436</v>
          </cell>
          <cell r="N236">
            <v>4.0118842056584298E-3</v>
          </cell>
          <cell r="O236">
            <v>2256</v>
          </cell>
          <cell r="P236">
            <v>0.28000000000000003</v>
          </cell>
          <cell r="Q236">
            <v>1041</v>
          </cell>
        </row>
        <row r="237">
          <cell r="B237" t="str">
            <v>BIG BASIN 110212758</v>
          </cell>
          <cell r="C237">
            <v>82841102</v>
          </cell>
          <cell r="D237" t="str">
            <v>BIG BASIN 1102</v>
          </cell>
          <cell r="E237">
            <v>12758</v>
          </cell>
          <cell r="F237" t="b">
            <v>0</v>
          </cell>
          <cell r="G237">
            <v>9624.9944894049204</v>
          </cell>
          <cell r="H237">
            <v>9624.9944894049204</v>
          </cell>
          <cell r="I237">
            <v>70</v>
          </cell>
          <cell r="J237">
            <v>3.3734988017755099E-4</v>
          </cell>
          <cell r="K237">
            <v>98</v>
          </cell>
          <cell r="L237">
            <v>10.933694108346399</v>
          </cell>
          <cell r="M237">
            <v>2611</v>
          </cell>
          <cell r="N237">
            <v>2.9470358386379601E-3</v>
          </cell>
          <cell r="O237">
            <v>2358</v>
          </cell>
          <cell r="P237">
            <v>6.96</v>
          </cell>
          <cell r="Q237">
            <v>456</v>
          </cell>
        </row>
        <row r="238">
          <cell r="B238" t="str">
            <v>BIG BASIN 110212992</v>
          </cell>
          <cell r="C238">
            <v>82841102</v>
          </cell>
          <cell r="D238" t="str">
            <v>BIG BASIN 1102</v>
          </cell>
          <cell r="E238">
            <v>12992</v>
          </cell>
          <cell r="F238" t="b">
            <v>0</v>
          </cell>
          <cell r="G238">
            <v>22915.456873319701</v>
          </cell>
          <cell r="H238">
            <v>22915.456873319701</v>
          </cell>
          <cell r="I238">
            <v>160</v>
          </cell>
          <cell r="J238">
            <v>2.0519257150226601E-4</v>
          </cell>
          <cell r="K238">
            <v>379</v>
          </cell>
          <cell r="L238">
            <v>28.592996921954299</v>
          </cell>
          <cell r="M238">
            <v>2353</v>
          </cell>
          <cell r="N238">
            <v>5.6575444361625597E-3</v>
          </cell>
          <cell r="O238">
            <v>2171</v>
          </cell>
          <cell r="P238">
            <v>1.1399999999999999</v>
          </cell>
          <cell r="Q238">
            <v>711</v>
          </cell>
        </row>
        <row r="239">
          <cell r="B239" t="str">
            <v>BIG BASIN 11022253</v>
          </cell>
          <cell r="C239">
            <v>82841102</v>
          </cell>
          <cell r="D239" t="str">
            <v>BIG BASIN 1102</v>
          </cell>
          <cell r="E239">
            <v>2253</v>
          </cell>
          <cell r="F239" t="b">
            <v>0</v>
          </cell>
          <cell r="G239">
            <v>2335.3362898405799</v>
          </cell>
          <cell r="H239">
            <v>2335.3362898405799</v>
          </cell>
          <cell r="I239">
            <v>12</v>
          </cell>
          <cell r="J239">
            <v>2.08212655707029E-4</v>
          </cell>
          <cell r="K239">
            <v>370</v>
          </cell>
          <cell r="L239">
            <v>19.876545595672599</v>
          </cell>
          <cell r="M239">
            <v>2451</v>
          </cell>
          <cell r="N239">
            <v>4.1980839455004202E-3</v>
          </cell>
          <cell r="O239">
            <v>2246</v>
          </cell>
          <cell r="P239">
            <v>0.17</v>
          </cell>
          <cell r="Q239">
            <v>1238</v>
          </cell>
        </row>
        <row r="240">
          <cell r="B240" t="str">
            <v>BIG BASIN 11025066</v>
          </cell>
          <cell r="C240">
            <v>82841102</v>
          </cell>
          <cell r="D240" t="str">
            <v>BIG BASIN 1102</v>
          </cell>
          <cell r="E240">
            <v>5066</v>
          </cell>
          <cell r="F240" t="b">
            <v>0</v>
          </cell>
          <cell r="G240">
            <v>22120.764003686301</v>
          </cell>
          <cell r="H240">
            <v>22120.764003686301</v>
          </cell>
          <cell r="I240">
            <v>121</v>
          </cell>
          <cell r="J240">
            <v>1.8063620298865599E-4</v>
          </cell>
          <cell r="K240">
            <v>508</v>
          </cell>
          <cell r="L240">
            <v>16.176475008712899</v>
          </cell>
          <cell r="M240">
            <v>2514</v>
          </cell>
          <cell r="N240">
            <v>2.90655158846127E-3</v>
          </cell>
          <cell r="O240">
            <v>2359</v>
          </cell>
          <cell r="P240">
            <v>0.48</v>
          </cell>
          <cell r="Q240">
            <v>902</v>
          </cell>
        </row>
        <row r="241">
          <cell r="B241" t="str">
            <v>BIG BASIN 11026219</v>
          </cell>
          <cell r="C241">
            <v>82841102</v>
          </cell>
          <cell r="D241" t="str">
            <v>BIG BASIN 1102</v>
          </cell>
          <cell r="E241">
            <v>6219</v>
          </cell>
          <cell r="F241" t="b">
            <v>0</v>
          </cell>
          <cell r="G241">
            <v>1488.62624821074</v>
          </cell>
          <cell r="H241">
            <v>1488.62624821074</v>
          </cell>
          <cell r="I241">
            <v>11</v>
          </cell>
          <cell r="J241">
            <v>1.32220811792649E-4</v>
          </cell>
          <cell r="K241">
            <v>978</v>
          </cell>
          <cell r="L241">
            <v>6.6431229729116206E-2</v>
          </cell>
          <cell r="M241">
            <v>3066</v>
          </cell>
          <cell r="N241">
            <v>8.7835911231677305E-6</v>
          </cell>
          <cell r="O241">
            <v>3097</v>
          </cell>
          <cell r="P241">
            <v>7</v>
          </cell>
          <cell r="Q241">
            <v>455</v>
          </cell>
        </row>
        <row r="242">
          <cell r="B242" t="str">
            <v>BIG BASIN 110276752</v>
          </cell>
          <cell r="C242">
            <v>82841102</v>
          </cell>
          <cell r="D242" t="str">
            <v>BIG BASIN 1102</v>
          </cell>
          <cell r="E242">
            <v>76752</v>
          </cell>
          <cell r="F242" t="b">
            <v>0</v>
          </cell>
          <cell r="G242">
            <v>4380.3191790584697</v>
          </cell>
          <cell r="H242">
            <v>4380.3191790584697</v>
          </cell>
          <cell r="I242">
            <v>36</v>
          </cell>
          <cell r="J242">
            <v>2.52631844988273E-4</v>
          </cell>
          <cell r="K242">
            <v>209</v>
          </cell>
          <cell r="L242">
            <v>5.3491284453264401</v>
          </cell>
          <cell r="M242">
            <v>2733</v>
          </cell>
          <cell r="N242">
            <v>9.1318030416566204E-4</v>
          </cell>
          <cell r="O242">
            <v>2653</v>
          </cell>
          <cell r="P242">
            <v>0.44</v>
          </cell>
          <cell r="Q242">
            <v>924</v>
          </cell>
        </row>
        <row r="243">
          <cell r="B243" t="str">
            <v>BIG BASIN 11028403</v>
          </cell>
          <cell r="C243">
            <v>82841102</v>
          </cell>
          <cell r="D243" t="str">
            <v>BIG BASIN 1102</v>
          </cell>
          <cell r="E243">
            <v>8403</v>
          </cell>
          <cell r="F243" t="b">
            <v>0</v>
          </cell>
          <cell r="G243">
            <v>7867.72923810065</v>
          </cell>
          <cell r="H243">
            <v>7867.72923810065</v>
          </cell>
          <cell r="I243">
            <v>42</v>
          </cell>
          <cell r="J243">
            <v>1.5777855071242E-4</v>
          </cell>
          <cell r="K243">
            <v>666</v>
          </cell>
          <cell r="L243">
            <v>14.7825170974205</v>
          </cell>
          <cell r="M243">
            <v>2533</v>
          </cell>
          <cell r="N243">
            <v>2.2737775832360201E-3</v>
          </cell>
          <cell r="O243">
            <v>2438</v>
          </cell>
          <cell r="P243">
            <v>0.41</v>
          </cell>
          <cell r="Q243">
            <v>941</v>
          </cell>
        </row>
        <row r="244">
          <cell r="B244" t="str">
            <v>BIG BASIN 110296986</v>
          </cell>
          <cell r="C244">
            <v>82841102</v>
          </cell>
          <cell r="D244" t="str">
            <v>BIG BASIN 1102</v>
          </cell>
          <cell r="E244">
            <v>96986</v>
          </cell>
          <cell r="F244" t="b">
            <v>0</v>
          </cell>
          <cell r="G244">
            <v>9497.5054656972097</v>
          </cell>
          <cell r="H244">
            <v>9497.5054656972097</v>
          </cell>
          <cell r="I244">
            <v>63</v>
          </cell>
          <cell r="J244">
            <v>1.82205384402232E-4</v>
          </cell>
          <cell r="K244">
            <v>496</v>
          </cell>
          <cell r="L244">
            <v>38.9319926304196</v>
          </cell>
          <cell r="M244">
            <v>2285</v>
          </cell>
          <cell r="N244">
            <v>7.5561699416436898E-3</v>
          </cell>
          <cell r="O244">
            <v>2070</v>
          </cell>
          <cell r="P244">
            <v>0.41</v>
          </cell>
          <cell r="Q244">
            <v>938</v>
          </cell>
        </row>
        <row r="245">
          <cell r="B245" t="str">
            <v>BIG BASIN 11029741</v>
          </cell>
          <cell r="C245">
            <v>82841102</v>
          </cell>
          <cell r="D245" t="str">
            <v>BIG BASIN 1102</v>
          </cell>
          <cell r="E245">
            <v>9741</v>
          </cell>
          <cell r="F245" t="b">
            <v>0</v>
          </cell>
          <cell r="G245">
            <v>1036.46610646314</v>
          </cell>
          <cell r="H245">
            <v>1036.46610646314</v>
          </cell>
          <cell r="I245">
            <v>10</v>
          </cell>
          <cell r="J245">
            <v>2.8290795889915799E-4</v>
          </cell>
          <cell r="K245">
            <v>149</v>
          </cell>
          <cell r="L245">
            <v>6.6431229729116206E-2</v>
          </cell>
          <cell r="M245">
            <v>3057</v>
          </cell>
          <cell r="N245">
            <v>1.8793923609825402E-5</v>
          </cell>
          <cell r="O245">
            <v>2967</v>
          </cell>
          <cell r="P245">
            <v>14.27</v>
          </cell>
          <cell r="Q245">
            <v>356</v>
          </cell>
        </row>
        <row r="246">
          <cell r="B246" t="str">
            <v>BIG BASIN 1102CB</v>
          </cell>
          <cell r="C246">
            <v>82841102</v>
          </cell>
          <cell r="D246" t="str">
            <v>BIG BASIN 1102</v>
          </cell>
          <cell r="E246" t="str">
            <v>CB</v>
          </cell>
          <cell r="F246" t="b">
            <v>0</v>
          </cell>
          <cell r="G246">
            <v>9963.4072989740198</v>
          </cell>
          <cell r="H246">
            <v>9963.4072989740198</v>
          </cell>
          <cell r="I246">
            <v>59</v>
          </cell>
          <cell r="J246">
            <v>2.2264987008815799E-4</v>
          </cell>
          <cell r="K246">
            <v>308</v>
          </cell>
          <cell r="L246">
            <v>33.508806584218704</v>
          </cell>
          <cell r="M246">
            <v>2315</v>
          </cell>
          <cell r="N246">
            <v>5.41411717711625E-3</v>
          </cell>
          <cell r="O246">
            <v>2185</v>
          </cell>
          <cell r="P246">
            <v>0.49</v>
          </cell>
          <cell r="Q246">
            <v>898</v>
          </cell>
        </row>
        <row r="247">
          <cell r="B247" t="str">
            <v>BIG BEND 11011704</v>
          </cell>
          <cell r="C247">
            <v>103751101</v>
          </cell>
          <cell r="D247" t="str">
            <v>BIG BEND 1101</v>
          </cell>
          <cell r="E247">
            <v>1704</v>
          </cell>
          <cell r="F247" t="b">
            <v>0</v>
          </cell>
          <cell r="G247">
            <v>4825.0455514817904</v>
          </cell>
          <cell r="H247">
            <v>4825.0455514817904</v>
          </cell>
          <cell r="I247">
            <v>9</v>
          </cell>
          <cell r="J247">
            <v>1.8498801591704199E-4</v>
          </cell>
          <cell r="K247">
            <v>473</v>
          </cell>
          <cell r="L247">
            <v>1060.4778230665299</v>
          </cell>
          <cell r="M247">
            <v>792</v>
          </cell>
          <cell r="N247">
            <v>0.106504560046621</v>
          </cell>
          <cell r="O247">
            <v>727</v>
          </cell>
          <cell r="P247">
            <v>1.47</v>
          </cell>
          <cell r="Q247">
            <v>671</v>
          </cell>
        </row>
        <row r="248">
          <cell r="B248" t="str">
            <v>BIG BEND 1101180398</v>
          </cell>
          <cell r="C248">
            <v>103751101</v>
          </cell>
          <cell r="D248" t="str">
            <v>BIG BEND 1101</v>
          </cell>
          <cell r="E248">
            <v>180398</v>
          </cell>
          <cell r="F248" t="b">
            <v>0</v>
          </cell>
          <cell r="G248">
            <v>8946.0191295261702</v>
          </cell>
          <cell r="H248">
            <v>8946.0191295261702</v>
          </cell>
          <cell r="I248">
            <v>48</v>
          </cell>
          <cell r="J248">
            <v>2.08204783120891E-4</v>
          </cell>
          <cell r="K248">
            <v>371</v>
          </cell>
          <cell r="L248">
            <v>244.78874077023499</v>
          </cell>
          <cell r="M248">
            <v>1555</v>
          </cell>
          <cell r="N248">
            <v>4.3659634076304001E-2</v>
          </cell>
          <cell r="O248">
            <v>1246</v>
          </cell>
          <cell r="P248">
            <v>24.5</v>
          </cell>
          <cell r="Q248">
            <v>278</v>
          </cell>
        </row>
        <row r="249">
          <cell r="B249" t="str">
            <v>BIG BEND 1101641808</v>
          </cell>
          <cell r="C249">
            <v>103751101</v>
          </cell>
          <cell r="D249" t="str">
            <v>BIG BEND 1101</v>
          </cell>
          <cell r="E249">
            <v>641808</v>
          </cell>
          <cell r="F249" t="b">
            <v>0</v>
          </cell>
          <cell r="G249">
            <v>41435.702901771903</v>
          </cell>
          <cell r="H249">
            <v>41435.702901771903</v>
          </cell>
          <cell r="I249">
            <v>234</v>
          </cell>
          <cell r="J249">
            <v>1.4734821117945901E-4</v>
          </cell>
          <cell r="K249">
            <v>768</v>
          </cell>
          <cell r="L249">
            <v>181.27885692705701</v>
          </cell>
          <cell r="M249">
            <v>1681</v>
          </cell>
          <cell r="N249">
            <v>2.2822117286759001E-2</v>
          </cell>
          <cell r="O249">
            <v>1608</v>
          </cell>
          <cell r="P249">
            <v>0.36</v>
          </cell>
          <cell r="Q249">
            <v>973</v>
          </cell>
        </row>
        <row r="250">
          <cell r="B250" t="str">
            <v>BIG BEND 1101CB</v>
          </cell>
          <cell r="C250">
            <v>103751101</v>
          </cell>
          <cell r="D250" t="str">
            <v>BIG BEND 1101</v>
          </cell>
          <cell r="E250" t="str">
            <v>CB</v>
          </cell>
          <cell r="F250" t="b">
            <v>0</v>
          </cell>
          <cell r="G250">
            <v>37377.208935817704</v>
          </cell>
          <cell r="H250">
            <v>37377.208935817704</v>
          </cell>
          <cell r="I250">
            <v>171</v>
          </cell>
          <cell r="J250">
            <v>1.36781349915155E-4</v>
          </cell>
          <cell r="K250">
            <v>910</v>
          </cell>
          <cell r="L250">
            <v>60.827287260191497</v>
          </cell>
          <cell r="M250">
            <v>2149</v>
          </cell>
          <cell r="N250">
            <v>1.02069288752893E-2</v>
          </cell>
          <cell r="O250">
            <v>1950</v>
          </cell>
          <cell r="P250">
            <v>66.069999999999993</v>
          </cell>
          <cell r="Q250">
            <v>74</v>
          </cell>
        </row>
        <row r="251">
          <cell r="B251" t="str">
            <v>BIG BEND 11021972</v>
          </cell>
          <cell r="C251">
            <v>103751102</v>
          </cell>
          <cell r="D251" t="str">
            <v>BIG BEND 1102</v>
          </cell>
          <cell r="E251">
            <v>1972</v>
          </cell>
          <cell r="F251" t="b">
            <v>0</v>
          </cell>
          <cell r="G251">
            <v>34265.982701558001</v>
          </cell>
          <cell r="H251">
            <v>34265.982701558001</v>
          </cell>
          <cell r="I251">
            <v>177</v>
          </cell>
          <cell r="J251">
            <v>1.17109744187264E-4</v>
          </cell>
          <cell r="K251">
            <v>1243</v>
          </cell>
          <cell r="L251">
            <v>377.32463372428202</v>
          </cell>
          <cell r="M251">
            <v>1326</v>
          </cell>
          <cell r="N251">
            <v>4.0960539586240102E-2</v>
          </cell>
          <cell r="O251">
            <v>1288</v>
          </cell>
          <cell r="P251">
            <v>73.040000000000006</v>
          </cell>
          <cell r="Q251">
            <v>64</v>
          </cell>
        </row>
        <row r="252">
          <cell r="B252" t="str">
            <v>BIG BEND 1102CB</v>
          </cell>
          <cell r="C252">
            <v>103751102</v>
          </cell>
          <cell r="D252" t="str">
            <v>BIG BEND 1102</v>
          </cell>
          <cell r="E252" t="str">
            <v>CB</v>
          </cell>
          <cell r="F252" t="b">
            <v>0</v>
          </cell>
          <cell r="G252">
            <v>27411.829298561301</v>
          </cell>
          <cell r="H252">
            <v>27411.829298561301</v>
          </cell>
          <cell r="I252">
            <v>139</v>
          </cell>
          <cell r="J252">
            <v>1.2425491011686199E-4</v>
          </cell>
          <cell r="K252">
            <v>1113</v>
          </cell>
          <cell r="L252">
            <v>619.89554828626501</v>
          </cell>
          <cell r="M252">
            <v>1081</v>
          </cell>
          <cell r="N252">
            <v>8.4888039216044597E-2</v>
          </cell>
          <cell r="O252">
            <v>865</v>
          </cell>
          <cell r="P252">
            <v>0.48</v>
          </cell>
          <cell r="Q252">
            <v>900</v>
          </cell>
        </row>
        <row r="253">
          <cell r="B253" t="str">
            <v>BIG MEADOWS 21012016</v>
          </cell>
          <cell r="C253">
            <v>102812101</v>
          </cell>
          <cell r="D253" t="str">
            <v>BIG MEADOWS 2101</v>
          </cell>
          <cell r="E253">
            <v>2016</v>
          </cell>
          <cell r="F253" t="b">
            <v>1</v>
          </cell>
          <cell r="G253">
            <v>6829.69916177494</v>
          </cell>
          <cell r="H253">
            <v>150.972394486127</v>
          </cell>
          <cell r="I253">
            <v>65</v>
          </cell>
          <cell r="J253">
            <v>4.08128448583511E-5</v>
          </cell>
          <cell r="K253">
            <v>3249</v>
          </cell>
          <cell r="L253">
            <v>6.5187684173012198E-2</v>
          </cell>
          <cell r="M253">
            <v>3525</v>
          </cell>
          <cell r="N253">
            <v>2.66135596013868E-6</v>
          </cell>
          <cell r="O253">
            <v>3445</v>
          </cell>
          <cell r="P253">
            <v>0.04</v>
          </cell>
          <cell r="Q253">
            <v>2208</v>
          </cell>
        </row>
        <row r="254">
          <cell r="B254" t="str">
            <v>BIG MEADOWS 21012246</v>
          </cell>
          <cell r="C254">
            <v>102812101</v>
          </cell>
          <cell r="D254" t="str">
            <v>BIG MEADOWS 2101</v>
          </cell>
          <cell r="E254">
            <v>2246</v>
          </cell>
          <cell r="F254" t="b">
            <v>0</v>
          </cell>
          <cell r="G254">
            <v>2937.4924004444601</v>
          </cell>
          <cell r="H254">
            <v>2937.4924004444601</v>
          </cell>
          <cell r="I254">
            <v>23</v>
          </cell>
          <cell r="J254">
            <v>4.2983602369254701E-5</v>
          </cell>
          <cell r="K254">
            <v>3209</v>
          </cell>
          <cell r="L254">
            <v>6.6431758675379496E-2</v>
          </cell>
          <cell r="M254">
            <v>2998</v>
          </cell>
          <cell r="N254">
            <v>2.8554762995927999E-6</v>
          </cell>
          <cell r="O254">
            <v>3429</v>
          </cell>
          <cell r="P254">
            <v>0.1</v>
          </cell>
          <cell r="Q254">
            <v>1481</v>
          </cell>
        </row>
        <row r="255">
          <cell r="B255" t="str">
            <v>BIG MEADOWS 21012248</v>
          </cell>
          <cell r="C255">
            <v>102812101</v>
          </cell>
          <cell r="D255" t="str">
            <v>BIG MEADOWS 2101</v>
          </cell>
          <cell r="E255">
            <v>2248</v>
          </cell>
          <cell r="F255" t="b">
            <v>0</v>
          </cell>
          <cell r="G255">
            <v>14727.9743932937</v>
          </cell>
          <cell r="H255">
            <v>14727.9743932937</v>
          </cell>
          <cell r="I255">
            <v>28</v>
          </cell>
          <cell r="J255">
            <v>6.58112270078466E-5</v>
          </cell>
          <cell r="K255">
            <v>2594</v>
          </cell>
          <cell r="L255">
            <v>1037.9426948853099</v>
          </cell>
          <cell r="M255">
            <v>801</v>
          </cell>
          <cell r="N255">
            <v>7.7858702164945004E-2</v>
          </cell>
          <cell r="O255">
            <v>916</v>
          </cell>
          <cell r="P255">
            <v>0.05</v>
          </cell>
          <cell r="Q255">
            <v>1922</v>
          </cell>
        </row>
        <row r="256">
          <cell r="B256" t="str">
            <v>BIG MEADOWS 21012260</v>
          </cell>
          <cell r="C256">
            <v>102812101</v>
          </cell>
          <cell r="D256" t="str">
            <v>BIG MEADOWS 2101</v>
          </cell>
          <cell r="E256">
            <v>2260</v>
          </cell>
          <cell r="F256" t="b">
            <v>0</v>
          </cell>
          <cell r="G256">
            <v>36303.335324739703</v>
          </cell>
          <cell r="H256">
            <v>25414.2278657518</v>
          </cell>
          <cell r="I256">
            <v>185</v>
          </cell>
          <cell r="J256">
            <v>7.1483881052063696E-5</v>
          </cell>
          <cell r="K256">
            <v>2433</v>
          </cell>
          <cell r="L256">
            <v>1004.25897665329</v>
          </cell>
          <cell r="M256">
            <v>833</v>
          </cell>
          <cell r="N256">
            <v>6.7786202931270301E-2</v>
          </cell>
          <cell r="O256">
            <v>995</v>
          </cell>
          <cell r="P256">
            <v>0.08</v>
          </cell>
          <cell r="Q256">
            <v>1667</v>
          </cell>
        </row>
        <row r="257">
          <cell r="B257" t="str">
            <v>BIG MEADOWS 21012474</v>
          </cell>
          <cell r="C257">
            <v>102812101</v>
          </cell>
          <cell r="D257" t="str">
            <v>BIG MEADOWS 2101</v>
          </cell>
          <cell r="E257">
            <v>2474</v>
          </cell>
          <cell r="F257" t="b">
            <v>0</v>
          </cell>
          <cell r="G257">
            <v>13467.349786508699</v>
          </cell>
          <cell r="H257">
            <v>13410.8685054377</v>
          </cell>
          <cell r="I257">
            <v>83</v>
          </cell>
          <cell r="J257">
            <v>3.6201124487433797E-5</v>
          </cell>
          <cell r="K257">
            <v>3329</v>
          </cell>
          <cell r="L257">
            <v>276.60695128766298</v>
          </cell>
          <cell r="M257">
            <v>1482</v>
          </cell>
          <cell r="N257">
            <v>1.0034554935322799E-2</v>
          </cell>
          <cell r="O257">
            <v>1958</v>
          </cell>
          <cell r="P257">
            <v>10.79</v>
          </cell>
          <cell r="Q257">
            <v>394</v>
          </cell>
        </row>
        <row r="258">
          <cell r="B258" t="str">
            <v>BIG MEADOWS 21012476</v>
          </cell>
          <cell r="C258">
            <v>102812101</v>
          </cell>
          <cell r="D258" t="str">
            <v>BIG MEADOWS 2101</v>
          </cell>
          <cell r="E258">
            <v>2476</v>
          </cell>
          <cell r="F258" t="b">
            <v>0</v>
          </cell>
          <cell r="G258">
            <v>14000.893084928101</v>
          </cell>
          <cell r="H258">
            <v>13050.712216203699</v>
          </cell>
          <cell r="I258">
            <v>75</v>
          </cell>
          <cell r="J258">
            <v>7.3607658602692906E-5</v>
          </cell>
          <cell r="K258">
            <v>2378</v>
          </cell>
          <cell r="L258">
            <v>31.4311021930286</v>
          </cell>
          <cell r="M258">
            <v>2335</v>
          </cell>
          <cell r="N258">
            <v>3.0704394454250999E-3</v>
          </cell>
          <cell r="O258">
            <v>2342</v>
          </cell>
          <cell r="P258">
            <v>0.03</v>
          </cell>
          <cell r="Q258">
            <v>2379</v>
          </cell>
        </row>
        <row r="259">
          <cell r="B259" t="str">
            <v>BIG MEADOWS 21012510</v>
          </cell>
          <cell r="C259">
            <v>102812101</v>
          </cell>
          <cell r="D259" t="str">
            <v>BIG MEADOWS 2101</v>
          </cell>
          <cell r="E259">
            <v>2510</v>
          </cell>
          <cell r="F259" t="b">
            <v>0</v>
          </cell>
          <cell r="G259">
            <v>14243.477031604099</v>
          </cell>
          <cell r="H259">
            <v>12778.5067860979</v>
          </cell>
          <cell r="I259">
            <v>22</v>
          </cell>
          <cell r="J259">
            <v>6.2454055642731303E-5</v>
          </cell>
          <cell r="K259">
            <v>2707</v>
          </cell>
          <cell r="L259">
            <v>6.6023350379147805E-2</v>
          </cell>
          <cell r="M259">
            <v>3213</v>
          </cell>
          <cell r="N259">
            <v>4.1333401824315999E-6</v>
          </cell>
          <cell r="O259">
            <v>3328</v>
          </cell>
          <cell r="P259">
            <v>0.02</v>
          </cell>
          <cell r="Q259">
            <v>2457</v>
          </cell>
        </row>
        <row r="260">
          <cell r="B260" t="str">
            <v>BIG MEADOWS 21012586</v>
          </cell>
          <cell r="C260">
            <v>102812101</v>
          </cell>
          <cell r="D260" t="str">
            <v>BIG MEADOWS 2101</v>
          </cell>
          <cell r="E260">
            <v>2586</v>
          </cell>
          <cell r="F260" t="b">
            <v>0</v>
          </cell>
          <cell r="G260">
            <v>17615.516767710498</v>
          </cell>
          <cell r="H260">
            <v>10070.6101047106</v>
          </cell>
          <cell r="I260">
            <v>91</v>
          </cell>
          <cell r="J260">
            <v>4.8503121268533301E-5</v>
          </cell>
          <cell r="K260">
            <v>3075</v>
          </cell>
          <cell r="L260">
            <v>1089.57168847656</v>
          </cell>
          <cell r="M260">
            <v>778</v>
          </cell>
          <cell r="N260">
            <v>4.1237487895723401E-2</v>
          </cell>
          <cell r="O260">
            <v>1285</v>
          </cell>
          <cell r="P260">
            <v>0.09</v>
          </cell>
          <cell r="Q260">
            <v>1567</v>
          </cell>
        </row>
        <row r="261">
          <cell r="B261" t="str">
            <v>BIG MEADOWS 2101439</v>
          </cell>
          <cell r="C261">
            <v>102812101</v>
          </cell>
          <cell r="D261" t="str">
            <v>BIG MEADOWS 2101</v>
          </cell>
          <cell r="E261">
            <v>439</v>
          </cell>
          <cell r="F261" t="b">
            <v>0</v>
          </cell>
          <cell r="G261">
            <v>1501.1744737901199</v>
          </cell>
          <cell r="H261">
            <v>1069.2533497187601</v>
          </cell>
          <cell r="I261">
            <v>12</v>
          </cell>
          <cell r="J261">
            <v>7.0103991220094004E-5</v>
          </cell>
          <cell r="K261">
            <v>2470</v>
          </cell>
          <cell r="L261">
            <v>6.6110866442625996E-2</v>
          </cell>
          <cell r="M261">
            <v>3191</v>
          </cell>
          <cell r="N261">
            <v>4.6177503437841798E-6</v>
          </cell>
          <cell r="O261">
            <v>3286</v>
          </cell>
          <cell r="P261">
            <v>1.58</v>
          </cell>
          <cell r="Q261">
            <v>664</v>
          </cell>
        </row>
        <row r="262">
          <cell r="B262" t="str">
            <v>BIG MEADOWS 2101CB</v>
          </cell>
          <cell r="C262">
            <v>102812101</v>
          </cell>
          <cell r="D262" t="str">
            <v>BIG MEADOWS 2101</v>
          </cell>
          <cell r="E262" t="str">
            <v>CB</v>
          </cell>
          <cell r="F262" t="b">
            <v>0</v>
          </cell>
          <cell r="G262">
            <v>3388.6183732371601</v>
          </cell>
          <cell r="H262">
            <v>3388.6183732371601</v>
          </cell>
          <cell r="I262">
            <v>21</v>
          </cell>
          <cell r="J262">
            <v>6.3880207692688695E-5</v>
          </cell>
          <cell r="K262">
            <v>2651</v>
          </cell>
          <cell r="L262">
            <v>12.512810277377399</v>
          </cell>
          <cell r="M262">
            <v>2578</v>
          </cell>
          <cell r="N262">
            <v>7.9069476401588397E-4</v>
          </cell>
          <cell r="O262">
            <v>2673</v>
          </cell>
          <cell r="P262">
            <v>0.04</v>
          </cell>
          <cell r="Q262">
            <v>2209</v>
          </cell>
        </row>
        <row r="263">
          <cell r="B263" t="str">
            <v>BIG RIVER 11011052</v>
          </cell>
          <cell r="C263">
            <v>43081101</v>
          </cell>
          <cell r="D263" t="str">
            <v>BIG RIVER 1101</v>
          </cell>
          <cell r="E263">
            <v>1052</v>
          </cell>
          <cell r="F263" t="b">
            <v>0</v>
          </cell>
          <cell r="G263">
            <v>6204.8696331601004</v>
          </cell>
          <cell r="H263">
            <v>5356.1469746908897</v>
          </cell>
          <cell r="I263">
            <v>49</v>
          </cell>
          <cell r="J263">
            <v>5.65690362513439E-5</v>
          </cell>
          <cell r="K263">
            <v>2870</v>
          </cell>
          <cell r="L263">
            <v>5.2348373555228704</v>
          </cell>
          <cell r="M263">
            <v>2741</v>
          </cell>
          <cell r="N263">
            <v>3.4865873568863301E-4</v>
          </cell>
          <cell r="O263">
            <v>2780</v>
          </cell>
          <cell r="P263">
            <v>0.08</v>
          </cell>
          <cell r="Q263">
            <v>1629</v>
          </cell>
        </row>
        <row r="264">
          <cell r="B264" t="str">
            <v>BIG RIVER 11011286</v>
          </cell>
          <cell r="C264">
            <v>43081101</v>
          </cell>
          <cell r="D264" t="str">
            <v>BIG RIVER 1101</v>
          </cell>
          <cell r="E264">
            <v>1286</v>
          </cell>
          <cell r="F264" t="b">
            <v>0</v>
          </cell>
          <cell r="G264">
            <v>12241.8562919207</v>
          </cell>
          <cell r="H264">
            <v>7682.9666429933104</v>
          </cell>
          <cell r="I264">
            <v>92</v>
          </cell>
          <cell r="J264">
            <v>6.6712575911938901E-5</v>
          </cell>
          <cell r="K264">
            <v>2563</v>
          </cell>
          <cell r="L264">
            <v>5.3157140653422399</v>
          </cell>
          <cell r="M264">
            <v>2739</v>
          </cell>
          <cell r="N264">
            <v>4.0112262920878101E-4</v>
          </cell>
          <cell r="O264">
            <v>2762</v>
          </cell>
          <cell r="P264">
            <v>7.0000000000000007E-2</v>
          </cell>
          <cell r="Q264">
            <v>1737</v>
          </cell>
        </row>
        <row r="265">
          <cell r="B265" t="str">
            <v>BIG RIVER 11012183</v>
          </cell>
          <cell r="C265">
            <v>43081101</v>
          </cell>
          <cell r="D265" t="str">
            <v>BIG RIVER 1101</v>
          </cell>
          <cell r="E265">
            <v>2183</v>
          </cell>
          <cell r="F265" t="b">
            <v>0</v>
          </cell>
          <cell r="G265">
            <v>4246.8638286935602</v>
          </cell>
          <cell r="H265">
            <v>4246.8638286935602</v>
          </cell>
          <cell r="I265">
            <v>33</v>
          </cell>
          <cell r="J265">
            <v>9.4676694778062203E-5</v>
          </cell>
          <cell r="K265">
            <v>1774</v>
          </cell>
          <cell r="L265">
            <v>4.3863803541830499</v>
          </cell>
          <cell r="M265">
            <v>2771</v>
          </cell>
          <cell r="N265">
            <v>2.7436394379875E-4</v>
          </cell>
          <cell r="O265">
            <v>2806</v>
          </cell>
          <cell r="P265">
            <v>0.05</v>
          </cell>
          <cell r="Q265">
            <v>2047</v>
          </cell>
        </row>
        <row r="266">
          <cell r="B266" t="str">
            <v>BIG RIVER 1101262924</v>
          </cell>
          <cell r="C266">
            <v>43081101</v>
          </cell>
          <cell r="D266" t="str">
            <v>BIG RIVER 1101</v>
          </cell>
          <cell r="E266">
            <v>262924</v>
          </cell>
          <cell r="F266" t="b">
            <v>0</v>
          </cell>
          <cell r="G266">
            <v>3139.88684484128</v>
          </cell>
          <cell r="H266">
            <v>3032.2864879500598</v>
          </cell>
          <cell r="I266">
            <v>30</v>
          </cell>
          <cell r="J266">
            <v>6.9614122154841094E-5</v>
          </cell>
          <cell r="K266">
            <v>2485</v>
          </cell>
          <cell r="L266">
            <v>6.6389026093974707E-2</v>
          </cell>
          <cell r="M266">
            <v>3125</v>
          </cell>
          <cell r="N266">
            <v>4.6223605774575101E-6</v>
          </cell>
          <cell r="O266">
            <v>3285</v>
          </cell>
          <cell r="Q266">
            <v>3238</v>
          </cell>
        </row>
        <row r="267">
          <cell r="B267" t="str">
            <v>BIG RIVER 11013002</v>
          </cell>
          <cell r="C267">
            <v>43081101</v>
          </cell>
          <cell r="D267" t="str">
            <v>BIG RIVER 1101</v>
          </cell>
          <cell r="E267">
            <v>3002</v>
          </cell>
          <cell r="F267" t="b">
            <v>0</v>
          </cell>
          <cell r="G267">
            <v>13206.834200761499</v>
          </cell>
          <cell r="H267">
            <v>11656.2738853582</v>
          </cell>
          <cell r="I267">
            <v>76</v>
          </cell>
          <cell r="J267">
            <v>8.5336441855664197E-5</v>
          </cell>
          <cell r="K267">
            <v>2046</v>
          </cell>
          <cell r="L267">
            <v>10.9995067512323</v>
          </cell>
          <cell r="M267">
            <v>2610</v>
          </cell>
          <cell r="N267">
            <v>1.4639988611893401E-3</v>
          </cell>
          <cell r="O267">
            <v>2564</v>
          </cell>
          <cell r="P267">
            <v>0.15</v>
          </cell>
          <cell r="Q267">
            <v>1296</v>
          </cell>
        </row>
        <row r="268">
          <cell r="B268" t="str">
            <v>BIG RIVER 11013019</v>
          </cell>
          <cell r="C268">
            <v>43081101</v>
          </cell>
          <cell r="D268" t="str">
            <v>BIG RIVER 1101</v>
          </cell>
          <cell r="E268">
            <v>3019</v>
          </cell>
          <cell r="F268" t="b">
            <v>1</v>
          </cell>
          <cell r="G268">
            <v>1511.59810632994</v>
          </cell>
          <cell r="H268">
            <v>426.93679365134602</v>
          </cell>
          <cell r="I268">
            <v>11</v>
          </cell>
          <cell r="J268">
            <v>7.3048813646892004E-5</v>
          </cell>
          <cell r="K268">
            <v>2394</v>
          </cell>
          <cell r="L268">
            <v>21.6652405845613</v>
          </cell>
          <cell r="M268">
            <v>2431</v>
          </cell>
          <cell r="N268">
            <v>1.51651963415313E-3</v>
          </cell>
          <cell r="O268">
            <v>2553</v>
          </cell>
          <cell r="Q268">
            <v>2928</v>
          </cell>
        </row>
        <row r="269">
          <cell r="B269" t="str">
            <v>BIG RIVER 11015065</v>
          </cell>
          <cell r="C269">
            <v>43081101</v>
          </cell>
          <cell r="D269" t="str">
            <v>BIG RIVER 1101</v>
          </cell>
          <cell r="E269">
            <v>5065</v>
          </cell>
          <cell r="F269" t="b">
            <v>0</v>
          </cell>
          <cell r="G269">
            <v>3543.5773702966098</v>
          </cell>
          <cell r="H269">
            <v>3543.5773702966098</v>
          </cell>
          <cell r="I269">
            <v>27</v>
          </cell>
          <cell r="J269">
            <v>7.4897526549951398E-5</v>
          </cell>
          <cell r="K269">
            <v>2334</v>
          </cell>
          <cell r="L269">
            <v>6.6431834237477602E-2</v>
          </cell>
          <cell r="M269">
            <v>2987</v>
          </cell>
          <cell r="N269">
            <v>4.9755800685634603E-6</v>
          </cell>
          <cell r="O269">
            <v>3267</v>
          </cell>
          <cell r="P269">
            <v>0.1</v>
          </cell>
          <cell r="Q269">
            <v>1465</v>
          </cell>
        </row>
        <row r="270">
          <cell r="B270" t="str">
            <v>BIG RIVER 110155402</v>
          </cell>
          <cell r="C270">
            <v>43081101</v>
          </cell>
          <cell r="D270" t="str">
            <v>BIG RIVER 1101</v>
          </cell>
          <cell r="E270">
            <v>55402</v>
          </cell>
          <cell r="F270" t="b">
            <v>0</v>
          </cell>
          <cell r="G270">
            <v>14989.688695141</v>
          </cell>
          <cell r="H270">
            <v>3994.4824843582301</v>
          </cell>
          <cell r="I270">
            <v>104</v>
          </cell>
          <cell r="J270">
            <v>6.4571521019812298E-5</v>
          </cell>
          <cell r="K270">
            <v>2623</v>
          </cell>
          <cell r="L270">
            <v>16.726603328062399</v>
          </cell>
          <cell r="M270">
            <v>2505</v>
          </cell>
          <cell r="N270">
            <v>1.1234009322653199E-3</v>
          </cell>
          <cell r="O270">
            <v>2612</v>
          </cell>
          <cell r="P270">
            <v>0.02</v>
          </cell>
          <cell r="Q270">
            <v>2517</v>
          </cell>
        </row>
        <row r="271">
          <cell r="B271" t="str">
            <v>BIG RIVER 110169032</v>
          </cell>
          <cell r="C271">
            <v>43081101</v>
          </cell>
          <cell r="D271" t="str">
            <v>BIG RIVER 1101</v>
          </cell>
          <cell r="E271">
            <v>69032</v>
          </cell>
          <cell r="F271" t="b">
            <v>0</v>
          </cell>
          <cell r="G271">
            <v>13655.5842234502</v>
          </cell>
          <cell r="H271">
            <v>13655.5842234502</v>
          </cell>
          <cell r="I271">
            <v>101</v>
          </cell>
          <cell r="J271">
            <v>8.8997948377354E-5</v>
          </cell>
          <cell r="K271">
            <v>1949</v>
          </cell>
          <cell r="L271">
            <v>4.7713265272742698</v>
          </cell>
          <cell r="M271">
            <v>2762</v>
          </cell>
          <cell r="N271">
            <v>4.1876901941126002E-4</v>
          </cell>
          <cell r="O271">
            <v>2759</v>
          </cell>
          <cell r="P271">
            <v>0.08</v>
          </cell>
          <cell r="Q271">
            <v>1653</v>
          </cell>
        </row>
        <row r="272">
          <cell r="B272" t="str">
            <v>BIG RIVER 11017273</v>
          </cell>
          <cell r="C272">
            <v>43081101</v>
          </cell>
          <cell r="D272" t="str">
            <v>BIG RIVER 1101</v>
          </cell>
          <cell r="E272">
            <v>7273</v>
          </cell>
          <cell r="F272" t="b">
            <v>0</v>
          </cell>
          <cell r="G272">
            <v>10648.417936575501</v>
          </cell>
          <cell r="H272">
            <v>10648.417936575501</v>
          </cell>
          <cell r="I272">
            <v>38</v>
          </cell>
          <cell r="J272">
            <v>1.0776071778511499E-4</v>
          </cell>
          <cell r="K272">
            <v>1456</v>
          </cell>
          <cell r="L272">
            <v>24.451406032652301</v>
          </cell>
          <cell r="M272">
            <v>2395</v>
          </cell>
          <cell r="N272">
            <v>2.7408405130050499E-3</v>
          </cell>
          <cell r="O272">
            <v>2377</v>
          </cell>
          <cell r="Q272">
            <v>3023</v>
          </cell>
        </row>
        <row r="273">
          <cell r="B273" t="str">
            <v>BIG RIVER 110179628</v>
          </cell>
          <cell r="C273">
            <v>43081101</v>
          </cell>
          <cell r="D273" t="str">
            <v>BIG RIVER 1101</v>
          </cell>
          <cell r="E273">
            <v>79628</v>
          </cell>
          <cell r="F273" t="b">
            <v>0</v>
          </cell>
          <cell r="G273">
            <v>23813.935757742998</v>
          </cell>
          <cell r="H273">
            <v>23813.935757742998</v>
          </cell>
          <cell r="I273">
            <v>156</v>
          </cell>
          <cell r="J273">
            <v>7.9121851775618303E-5</v>
          </cell>
          <cell r="K273">
            <v>2230</v>
          </cell>
          <cell r="L273">
            <v>2.6556318780042498</v>
          </cell>
          <cell r="M273">
            <v>2822</v>
          </cell>
          <cell r="N273">
            <v>2.1050910081181601E-4</v>
          </cell>
          <cell r="O273">
            <v>2831</v>
          </cell>
          <cell r="P273">
            <v>0.17</v>
          </cell>
          <cell r="Q273">
            <v>1233</v>
          </cell>
        </row>
        <row r="274">
          <cell r="B274" t="str">
            <v>BIG RIVER 1101952</v>
          </cell>
          <cell r="C274">
            <v>43081101</v>
          </cell>
          <cell r="D274" t="str">
            <v>BIG RIVER 1101</v>
          </cell>
          <cell r="E274">
            <v>952</v>
          </cell>
          <cell r="F274" t="b">
            <v>0</v>
          </cell>
          <cell r="G274">
            <v>16341.5936371401</v>
          </cell>
          <cell r="H274">
            <v>16341.5936371401</v>
          </cell>
          <cell r="I274">
            <v>130</v>
          </cell>
          <cell r="J274">
            <v>1.02281829024902E-4</v>
          </cell>
          <cell r="K274">
            <v>1595</v>
          </cell>
          <cell r="L274">
            <v>2.9906849306774599</v>
          </cell>
          <cell r="M274">
            <v>2812</v>
          </cell>
          <cell r="N274">
            <v>2.7431030246800501E-4</v>
          </cell>
          <cell r="O274">
            <v>2807</v>
          </cell>
          <cell r="P274">
            <v>0.36</v>
          </cell>
          <cell r="Q274">
            <v>970</v>
          </cell>
        </row>
        <row r="275">
          <cell r="B275" t="str">
            <v>BIG RIVER 1101954</v>
          </cell>
          <cell r="C275">
            <v>43081101</v>
          </cell>
          <cell r="D275" t="str">
            <v>BIG RIVER 1101</v>
          </cell>
          <cell r="E275">
            <v>954</v>
          </cell>
          <cell r="F275" t="b">
            <v>0</v>
          </cell>
          <cell r="G275">
            <v>13095.059150621701</v>
          </cell>
          <cell r="H275">
            <v>12372.699042807501</v>
          </cell>
          <cell r="I275">
            <v>78</v>
          </cell>
          <cell r="J275">
            <v>9.4465166442275297E-5</v>
          </cell>
          <cell r="K275">
            <v>1782</v>
          </cell>
          <cell r="L275">
            <v>22.590768904566101</v>
          </cell>
          <cell r="M275">
            <v>2415</v>
          </cell>
          <cell r="N275">
            <v>1.82435701700083E-3</v>
          </cell>
          <cell r="O275">
            <v>2499</v>
          </cell>
          <cell r="P275">
            <v>0.05</v>
          </cell>
          <cell r="Q275">
            <v>1972</v>
          </cell>
        </row>
        <row r="276">
          <cell r="B276" t="str">
            <v>BIG RIVER 1101CB</v>
          </cell>
          <cell r="C276">
            <v>43081101</v>
          </cell>
          <cell r="D276" t="str">
            <v>BIG RIVER 1101</v>
          </cell>
          <cell r="E276" t="str">
            <v>CB</v>
          </cell>
          <cell r="F276" t="b">
            <v>1</v>
          </cell>
          <cell r="G276">
            <v>35.381507119560098</v>
          </cell>
          <cell r="H276">
            <v>35.381507119560098</v>
          </cell>
          <cell r="I276">
            <v>1</v>
          </cell>
          <cell r="J276">
            <v>1.42930206493474E-4</v>
          </cell>
          <cell r="K276">
            <v>826</v>
          </cell>
          <cell r="L276">
            <v>6.6431834237477602E-2</v>
          </cell>
          <cell r="M276">
            <v>2990</v>
          </cell>
          <cell r="N276">
            <v>9.4951157853029506E-6</v>
          </cell>
          <cell r="O276">
            <v>3078</v>
          </cell>
          <cell r="P276">
            <v>0.05</v>
          </cell>
          <cell r="Q276">
            <v>1945</v>
          </cell>
        </row>
        <row r="277">
          <cell r="B277" t="str">
            <v>BIG TREES  04025300</v>
          </cell>
          <cell r="C277">
            <v>83050402</v>
          </cell>
          <cell r="D277" t="str">
            <v>BIG TREES  0402</v>
          </cell>
          <cell r="E277">
            <v>5300</v>
          </cell>
          <cell r="F277" t="b">
            <v>0</v>
          </cell>
          <cell r="G277">
            <v>15760.3239417283</v>
          </cell>
          <cell r="H277">
            <v>15760.3239417283</v>
          </cell>
          <cell r="I277">
            <v>115</v>
          </cell>
          <cell r="J277">
            <v>2.0513197415984101E-4</v>
          </cell>
          <cell r="K277">
            <v>380</v>
          </cell>
          <cell r="L277">
            <v>0.27314547654848198</v>
          </cell>
          <cell r="M277">
            <v>2925</v>
          </cell>
          <cell r="N277">
            <v>3.9714438565234902E-5</v>
          </cell>
          <cell r="O277">
            <v>2914</v>
          </cell>
          <cell r="Q277">
            <v>2767</v>
          </cell>
        </row>
        <row r="278">
          <cell r="B278" t="str">
            <v>BIG TREES  0402737512</v>
          </cell>
          <cell r="C278">
            <v>83050402</v>
          </cell>
          <cell r="D278" t="str">
            <v>BIG TREES  0402</v>
          </cell>
          <cell r="E278">
            <v>737512</v>
          </cell>
          <cell r="F278" t="b">
            <v>0</v>
          </cell>
          <cell r="G278">
            <v>11180.7592509309</v>
          </cell>
          <cell r="H278">
            <v>10917.393277589001</v>
          </cell>
          <cell r="I278">
            <v>89</v>
          </cell>
          <cell r="J278">
            <v>2.93100974416253E-4</v>
          </cell>
          <cell r="K278">
            <v>137</v>
          </cell>
          <cell r="L278">
            <v>6.6402491722094295E-2</v>
          </cell>
          <cell r="M278">
            <v>3118</v>
          </cell>
          <cell r="N278">
            <v>1.94650549888917E-5</v>
          </cell>
          <cell r="O278">
            <v>2963</v>
          </cell>
          <cell r="Q278">
            <v>3008</v>
          </cell>
        </row>
        <row r="279">
          <cell r="B279" t="str">
            <v>BOGARD 1101CB</v>
          </cell>
          <cell r="C279">
            <v>103301101</v>
          </cell>
          <cell r="D279" t="str">
            <v>BOGARD 1101</v>
          </cell>
          <cell r="E279" t="str">
            <v>CB</v>
          </cell>
          <cell r="F279" t="b">
            <v>1</v>
          </cell>
          <cell r="G279">
            <v>830.50118554781204</v>
          </cell>
          <cell r="H279">
            <v>830.50118554781204</v>
          </cell>
          <cell r="I279">
            <v>7</v>
          </cell>
          <cell r="J279">
            <v>2.8326961390640799E-5</v>
          </cell>
          <cell r="K279">
            <v>3450</v>
          </cell>
          <cell r="L279">
            <v>82.525143268210201</v>
          </cell>
          <cell r="M279">
            <v>2038</v>
          </cell>
          <cell r="N279">
            <v>2.7213077353292901E-3</v>
          </cell>
          <cell r="O279">
            <v>2380</v>
          </cell>
          <cell r="P279">
            <v>0</v>
          </cell>
          <cell r="Q279">
            <v>2645</v>
          </cell>
        </row>
        <row r="280">
          <cell r="B280" t="str">
            <v>BOLINAS 11011064</v>
          </cell>
          <cell r="C280">
            <v>42261101</v>
          </cell>
          <cell r="D280" t="str">
            <v>BOLINAS 1101</v>
          </cell>
          <cell r="E280">
            <v>1064</v>
          </cell>
          <cell r="F280" t="b">
            <v>0</v>
          </cell>
          <cell r="G280">
            <v>7144.3315527908399</v>
          </cell>
          <cell r="H280">
            <v>1005.39003120823</v>
          </cell>
          <cell r="I280">
            <v>51</v>
          </cell>
          <cell r="J280">
            <v>5.2154130192623903E-5</v>
          </cell>
          <cell r="K280">
            <v>2989</v>
          </cell>
          <cell r="L280">
            <v>0.37559058356518799</v>
          </cell>
          <cell r="M280">
            <v>2922</v>
          </cell>
          <cell r="N280">
            <v>1.7390832114409601E-5</v>
          </cell>
          <cell r="O280">
            <v>2983</v>
          </cell>
          <cell r="P280">
            <v>0.02</v>
          </cell>
          <cell r="Q280">
            <v>2426</v>
          </cell>
        </row>
        <row r="281">
          <cell r="B281" t="str">
            <v>BOLINAS 11011232</v>
          </cell>
          <cell r="C281">
            <v>42261101</v>
          </cell>
          <cell r="D281" t="str">
            <v>BOLINAS 1101</v>
          </cell>
          <cell r="E281">
            <v>1232</v>
          </cell>
          <cell r="F281" t="b">
            <v>0</v>
          </cell>
          <cell r="G281">
            <v>3935.77244151375</v>
          </cell>
          <cell r="H281">
            <v>3637.3088289874099</v>
          </cell>
          <cell r="I281">
            <v>22</v>
          </cell>
          <cell r="J281">
            <v>9.1240238838335706E-5</v>
          </cell>
          <cell r="K281">
            <v>1868</v>
          </cell>
          <cell r="L281">
            <v>55.627200581472003</v>
          </cell>
          <cell r="M281">
            <v>2178</v>
          </cell>
          <cell r="N281">
            <v>4.5024397445257696E-3</v>
          </cell>
          <cell r="O281">
            <v>2230</v>
          </cell>
          <cell r="P281">
            <v>3.14</v>
          </cell>
          <cell r="Q281">
            <v>560</v>
          </cell>
        </row>
        <row r="282">
          <cell r="B282" t="str">
            <v>BOLINAS 11011236</v>
          </cell>
          <cell r="C282">
            <v>42261101</v>
          </cell>
          <cell r="D282" t="str">
            <v>BOLINAS 1101</v>
          </cell>
          <cell r="E282">
            <v>1236</v>
          </cell>
          <cell r="F282" t="b">
            <v>0</v>
          </cell>
          <cell r="G282">
            <v>6557.8128617972397</v>
          </cell>
          <cell r="H282">
            <v>5809.1132779005602</v>
          </cell>
          <cell r="I282">
            <v>34</v>
          </cell>
          <cell r="J282">
            <v>1.15317731101908E-4</v>
          </cell>
          <cell r="K282">
            <v>1292</v>
          </cell>
          <cell r="L282">
            <v>31.221880577723699</v>
          </cell>
          <cell r="M282">
            <v>2338</v>
          </cell>
          <cell r="N282">
            <v>2.3633445595346802E-3</v>
          </cell>
          <cell r="O282">
            <v>2429</v>
          </cell>
          <cell r="P282">
            <v>0.06</v>
          </cell>
          <cell r="Q282">
            <v>1825</v>
          </cell>
        </row>
        <row r="283">
          <cell r="B283" t="str">
            <v>BOLINAS 110137034</v>
          </cell>
          <cell r="C283">
            <v>42261101</v>
          </cell>
          <cell r="D283" t="str">
            <v>BOLINAS 1101</v>
          </cell>
          <cell r="E283">
            <v>37034</v>
          </cell>
          <cell r="F283" t="b">
            <v>0</v>
          </cell>
          <cell r="G283">
            <v>7287.0481453562898</v>
          </cell>
          <cell r="H283">
            <v>7287.0481453562898</v>
          </cell>
          <cell r="I283">
            <v>16</v>
          </cell>
          <cell r="J283">
            <v>1.12232461106032E-4</v>
          </cell>
          <cell r="K283">
            <v>1360</v>
          </cell>
          <cell r="L283">
            <v>44.6193509306758</v>
          </cell>
          <cell r="M283">
            <v>2249</v>
          </cell>
          <cell r="N283">
            <v>6.7010043865348796E-3</v>
          </cell>
          <cell r="O283">
            <v>2109</v>
          </cell>
          <cell r="P283">
            <v>0.31</v>
          </cell>
          <cell r="Q283">
            <v>1007</v>
          </cell>
        </row>
        <row r="284">
          <cell r="B284" t="str">
            <v>BOLINAS 1101504</v>
          </cell>
          <cell r="C284">
            <v>42261101</v>
          </cell>
          <cell r="D284" t="str">
            <v>BOLINAS 1101</v>
          </cell>
          <cell r="E284">
            <v>504</v>
          </cell>
          <cell r="F284" t="b">
            <v>0</v>
          </cell>
          <cell r="G284">
            <v>10763.125211411199</v>
          </cell>
          <cell r="H284">
            <v>10763.125211411199</v>
          </cell>
          <cell r="I284">
            <v>53</v>
          </cell>
          <cell r="J284">
            <v>1.16750116455058E-4</v>
          </cell>
          <cell r="K284">
            <v>1255</v>
          </cell>
          <cell r="L284">
            <v>93.903118668170507</v>
          </cell>
          <cell r="M284">
            <v>1988</v>
          </cell>
          <cell r="N284">
            <v>8.7024510421614999E-3</v>
          </cell>
          <cell r="O284">
            <v>2016</v>
          </cell>
          <cell r="P284">
            <v>0.26</v>
          </cell>
          <cell r="Q284">
            <v>1063</v>
          </cell>
        </row>
        <row r="285">
          <cell r="B285" t="str">
            <v>BOLINAS 1101528</v>
          </cell>
          <cell r="C285">
            <v>42261101</v>
          </cell>
          <cell r="D285" t="str">
            <v>BOLINAS 1101</v>
          </cell>
          <cell r="E285">
            <v>528</v>
          </cell>
          <cell r="F285" t="b">
            <v>0</v>
          </cell>
          <cell r="G285">
            <v>4980.1499578889598</v>
          </cell>
          <cell r="H285">
            <v>2865.78483655747</v>
          </cell>
          <cell r="I285">
            <v>46</v>
          </cell>
          <cell r="J285">
            <v>4.0676983985576899E-5</v>
          </cell>
          <cell r="K285">
            <v>3254</v>
          </cell>
          <cell r="L285">
            <v>1.4409922549972001</v>
          </cell>
          <cell r="M285">
            <v>2869</v>
          </cell>
          <cell r="N285">
            <v>5.4065420319740599E-5</v>
          </cell>
          <cell r="O285">
            <v>2899</v>
          </cell>
          <cell r="P285">
            <v>0.21</v>
          </cell>
          <cell r="Q285">
            <v>1140</v>
          </cell>
        </row>
        <row r="286">
          <cell r="B286" t="str">
            <v>BOLINAS 1101530</v>
          </cell>
          <cell r="C286">
            <v>42261101</v>
          </cell>
          <cell r="D286" t="str">
            <v>BOLINAS 1101</v>
          </cell>
          <cell r="E286">
            <v>530</v>
          </cell>
          <cell r="F286" t="b">
            <v>0</v>
          </cell>
          <cell r="G286">
            <v>17644.165646213001</v>
          </cell>
          <cell r="H286">
            <v>17644.165646213001</v>
          </cell>
          <cell r="I286">
            <v>23</v>
          </cell>
          <cell r="J286">
            <v>1.4891792166467401E-4</v>
          </cell>
          <cell r="K286">
            <v>752</v>
          </cell>
          <cell r="L286">
            <v>1687.64327701567</v>
          </cell>
          <cell r="M286">
            <v>526</v>
          </cell>
          <cell r="N286">
            <v>0.162726602603494</v>
          </cell>
          <cell r="O286">
            <v>458</v>
          </cell>
          <cell r="P286">
            <v>0.71</v>
          </cell>
          <cell r="Q286">
            <v>801</v>
          </cell>
        </row>
        <row r="287">
          <cell r="B287" t="str">
            <v>BOLINAS 1101806</v>
          </cell>
          <cell r="C287">
            <v>42261101</v>
          </cell>
          <cell r="D287" t="str">
            <v>BOLINAS 1101</v>
          </cell>
          <cell r="E287">
            <v>806</v>
          </cell>
          <cell r="F287" t="b">
            <v>0</v>
          </cell>
          <cell r="G287">
            <v>4898.4532963849397</v>
          </cell>
          <cell r="H287">
            <v>4898.4532963849397</v>
          </cell>
          <cell r="I287">
            <v>17</v>
          </cell>
          <cell r="J287">
            <v>2.7974191834800801E-4</v>
          </cell>
          <cell r="K287">
            <v>154</v>
          </cell>
          <cell r="L287">
            <v>135.787716523098</v>
          </cell>
          <cell r="M287">
            <v>1828</v>
          </cell>
          <cell r="N287">
            <v>3.0667107363243198E-2</v>
          </cell>
          <cell r="O287">
            <v>1450</v>
          </cell>
          <cell r="P287">
            <v>0.55000000000000004</v>
          </cell>
          <cell r="Q287">
            <v>868</v>
          </cell>
        </row>
        <row r="288">
          <cell r="B288" t="str">
            <v>BOLINAS 1101CB</v>
          </cell>
          <cell r="C288">
            <v>42261101</v>
          </cell>
          <cell r="D288" t="str">
            <v>BOLINAS 1101</v>
          </cell>
          <cell r="E288" t="str">
            <v>CB</v>
          </cell>
          <cell r="F288" t="b">
            <v>0</v>
          </cell>
          <cell r="G288">
            <v>3500.02298516274</v>
          </cell>
          <cell r="H288">
            <v>3442.3440920092899</v>
          </cell>
          <cell r="I288">
            <v>26</v>
          </cell>
          <cell r="J288">
            <v>1.20241225833804E-4</v>
          </cell>
          <cell r="K288">
            <v>1181</v>
          </cell>
          <cell r="L288">
            <v>17.431053351037701</v>
          </cell>
          <cell r="M288">
            <v>2492</v>
          </cell>
          <cell r="N288">
            <v>1.7811410046823799E-3</v>
          </cell>
          <cell r="O288">
            <v>2506</v>
          </cell>
          <cell r="P288">
            <v>0.23</v>
          </cell>
          <cell r="Q288">
            <v>1119</v>
          </cell>
        </row>
        <row r="289">
          <cell r="B289" t="str">
            <v>BONNIE NOOK 110186696</v>
          </cell>
          <cell r="C289">
            <v>152301101</v>
          </cell>
          <cell r="D289" t="str">
            <v>BONNIE NOOK 1101</v>
          </cell>
          <cell r="E289">
            <v>86696</v>
          </cell>
          <cell r="F289" t="b">
            <v>0</v>
          </cell>
          <cell r="G289">
            <v>15512.388617143401</v>
          </cell>
          <cell r="H289">
            <v>15512.388617143401</v>
          </cell>
          <cell r="I289">
            <v>86</v>
          </cell>
          <cell r="J289">
            <v>2.27530657232205E-4</v>
          </cell>
          <cell r="K289">
            <v>293</v>
          </cell>
          <cell r="L289">
            <v>118.10334377936501</v>
          </cell>
          <cell r="M289">
            <v>1879</v>
          </cell>
          <cell r="N289">
            <v>1.56057155098785E-2</v>
          </cell>
          <cell r="O289">
            <v>1766</v>
          </cell>
          <cell r="P289">
            <v>11.17</v>
          </cell>
          <cell r="Q289">
            <v>386</v>
          </cell>
        </row>
        <row r="290">
          <cell r="B290" t="str">
            <v>BONNIE NOOK 1101CB</v>
          </cell>
          <cell r="C290">
            <v>152301101</v>
          </cell>
          <cell r="D290" t="str">
            <v>BONNIE NOOK 1101</v>
          </cell>
          <cell r="E290" t="str">
            <v>CB</v>
          </cell>
          <cell r="F290" t="b">
            <v>0</v>
          </cell>
          <cell r="G290">
            <v>23251.1044123233</v>
          </cell>
          <cell r="H290">
            <v>23251.1044123233</v>
          </cell>
          <cell r="I290">
            <v>153</v>
          </cell>
          <cell r="J290">
            <v>1.9229340300865399E-4</v>
          </cell>
          <cell r="K290">
            <v>432</v>
          </cell>
          <cell r="L290">
            <v>98.724372973423101</v>
          </cell>
          <cell r="M290">
            <v>1962</v>
          </cell>
          <cell r="N290">
            <v>2.6396248468149201E-2</v>
          </cell>
          <cell r="O290">
            <v>1526</v>
          </cell>
          <cell r="P290">
            <v>44.02</v>
          </cell>
          <cell r="Q290">
            <v>163</v>
          </cell>
        </row>
        <row r="291">
          <cell r="B291" t="str">
            <v>BONNIE NOOK 1102CB</v>
          </cell>
          <cell r="C291">
            <v>152301102</v>
          </cell>
          <cell r="D291" t="str">
            <v>BONNIE NOOK 1102</v>
          </cell>
          <cell r="E291" t="str">
            <v>CB</v>
          </cell>
          <cell r="F291" t="b">
            <v>0</v>
          </cell>
          <cell r="G291">
            <v>54723.580461758</v>
          </cell>
          <cell r="H291">
            <v>54723.580461758</v>
          </cell>
          <cell r="I291">
            <v>337</v>
          </cell>
          <cell r="J291">
            <v>1.12566467915946E-4</v>
          </cell>
          <cell r="K291">
            <v>1353</v>
          </cell>
          <cell r="L291">
            <v>93.672160983005895</v>
          </cell>
          <cell r="M291">
            <v>1990</v>
          </cell>
          <cell r="N291">
            <v>7.1701787691935501E-3</v>
          </cell>
          <cell r="O291">
            <v>2087</v>
          </cell>
          <cell r="P291">
            <v>71.14</v>
          </cell>
          <cell r="Q291">
            <v>67</v>
          </cell>
        </row>
        <row r="292">
          <cell r="B292" t="str">
            <v>BOSTON 0401CR242</v>
          </cell>
          <cell r="C292">
            <v>13320401</v>
          </cell>
          <cell r="D292" t="str">
            <v>BOSTON 0401</v>
          </cell>
          <cell r="E292" t="str">
            <v>CR242</v>
          </cell>
          <cell r="F292" t="b">
            <v>1</v>
          </cell>
          <cell r="G292">
            <v>7351.3671785337701</v>
          </cell>
          <cell r="H292">
            <v>499.48896822679802</v>
          </cell>
          <cell r="I292">
            <v>59</v>
          </cell>
          <cell r="J292">
            <v>1.23553735324155E-5</v>
          </cell>
          <cell r="K292">
            <v>3604</v>
          </cell>
          <cell r="L292">
            <v>6.5190546719704603E-2</v>
          </cell>
          <cell r="M292">
            <v>3520</v>
          </cell>
          <cell r="N292">
            <v>8.0537309951754198E-7</v>
          </cell>
          <cell r="O292">
            <v>3608</v>
          </cell>
          <cell r="P292">
            <v>0.02</v>
          </cell>
          <cell r="Q292">
            <v>2462</v>
          </cell>
        </row>
        <row r="293">
          <cell r="B293" t="str">
            <v>BRENTWOOD 2105502672</v>
          </cell>
          <cell r="C293">
            <v>14592105</v>
          </cell>
          <cell r="D293" t="str">
            <v>BRENTWOOD 2105</v>
          </cell>
          <cell r="E293">
            <v>502672</v>
          </cell>
          <cell r="F293" t="b">
            <v>0</v>
          </cell>
          <cell r="G293">
            <v>30486.2559509233</v>
          </cell>
          <cell r="H293">
            <v>2285.3290666573698</v>
          </cell>
          <cell r="I293">
            <v>127</v>
          </cell>
          <cell r="J293">
            <v>5.97450711534146E-5</v>
          </cell>
          <cell r="K293">
            <v>2781</v>
          </cell>
          <cell r="L293">
            <v>641.496701053317</v>
          </cell>
          <cell r="M293">
            <v>1071</v>
          </cell>
          <cell r="N293">
            <v>2.5636180440681399E-2</v>
          </cell>
          <cell r="O293">
            <v>1542</v>
          </cell>
          <cell r="P293">
            <v>0.03</v>
          </cell>
          <cell r="Q293">
            <v>2388</v>
          </cell>
        </row>
        <row r="294">
          <cell r="B294" t="str">
            <v>BRENTWOOD 21056512</v>
          </cell>
          <cell r="C294">
            <v>14592105</v>
          </cell>
          <cell r="D294" t="str">
            <v>BRENTWOOD 2105</v>
          </cell>
          <cell r="E294">
            <v>6512</v>
          </cell>
          <cell r="F294" t="b">
            <v>0</v>
          </cell>
          <cell r="G294">
            <v>1047.79962319022</v>
          </cell>
          <cell r="H294">
            <v>1047.79962319022</v>
          </cell>
          <cell r="I294">
            <v>5</v>
          </cell>
          <cell r="J294">
            <v>6.0554943775059598E-5</v>
          </cell>
          <cell r="K294">
            <v>2761</v>
          </cell>
          <cell r="L294">
            <v>1094.50904132654</v>
          </cell>
          <cell r="M294">
            <v>777</v>
          </cell>
          <cell r="N294">
            <v>0.189090407425416</v>
          </cell>
          <cell r="O294">
            <v>372</v>
          </cell>
          <cell r="P294">
            <v>0.08</v>
          </cell>
          <cell r="Q294">
            <v>1593</v>
          </cell>
        </row>
        <row r="295">
          <cell r="B295" t="str">
            <v>BRENTWOOD 210596324</v>
          </cell>
          <cell r="C295">
            <v>14592105</v>
          </cell>
          <cell r="D295" t="str">
            <v>BRENTWOOD 2105</v>
          </cell>
          <cell r="E295">
            <v>96324</v>
          </cell>
          <cell r="F295" t="b">
            <v>1</v>
          </cell>
          <cell r="G295">
            <v>775.76844114851599</v>
          </cell>
          <cell r="H295">
            <v>775.76844114851599</v>
          </cell>
          <cell r="I295">
            <v>6</v>
          </cell>
          <cell r="J295">
            <v>1.3261904799340599E-4</v>
          </cell>
          <cell r="K295">
            <v>970</v>
          </cell>
          <cell r="L295">
            <v>3560.1406902972199</v>
          </cell>
          <cell r="M295">
            <v>193</v>
          </cell>
          <cell r="N295">
            <v>0.43170197145985001</v>
          </cell>
          <cell r="O295">
            <v>46</v>
          </cell>
          <cell r="P295">
            <v>0.03</v>
          </cell>
          <cell r="Q295">
            <v>2285</v>
          </cell>
        </row>
        <row r="296">
          <cell r="B296" t="str">
            <v>BRENTWOOD 210598606</v>
          </cell>
          <cell r="C296">
            <v>14592105</v>
          </cell>
          <cell r="D296" t="str">
            <v>BRENTWOOD 2105</v>
          </cell>
          <cell r="E296">
            <v>98606</v>
          </cell>
          <cell r="F296" t="b">
            <v>1</v>
          </cell>
          <cell r="G296">
            <v>13179.766687244901</v>
          </cell>
          <cell r="H296">
            <v>138.47819657036899</v>
          </cell>
          <cell r="I296">
            <v>88</v>
          </cell>
          <cell r="J296">
            <v>8.8531231754706907E-5</v>
          </cell>
          <cell r="K296">
            <v>1972</v>
          </cell>
          <cell r="L296">
            <v>91.907961036158198</v>
          </cell>
          <cell r="M296">
            <v>1993</v>
          </cell>
          <cell r="N296">
            <v>3.7137672599686501E-3</v>
          </cell>
          <cell r="O296">
            <v>2274</v>
          </cell>
          <cell r="Q296">
            <v>2931</v>
          </cell>
        </row>
        <row r="297">
          <cell r="B297" t="str">
            <v>BRENTWOOD 2105B504R</v>
          </cell>
          <cell r="C297">
            <v>14592105</v>
          </cell>
          <cell r="D297" t="str">
            <v>BRENTWOOD 2105</v>
          </cell>
          <cell r="E297" t="str">
            <v>B504R</v>
          </cell>
          <cell r="F297" t="b">
            <v>0</v>
          </cell>
          <cell r="G297">
            <v>18129.264734500801</v>
          </cell>
          <cell r="H297">
            <v>14074.6886739615</v>
          </cell>
          <cell r="I297">
            <v>97</v>
          </cell>
          <cell r="J297">
            <v>9.8713601236292796E-5</v>
          </cell>
          <cell r="K297">
            <v>1676</v>
          </cell>
          <cell r="L297">
            <v>3474.27794113441</v>
          </cell>
          <cell r="M297">
            <v>204</v>
          </cell>
          <cell r="N297">
            <v>0.26071143055538298</v>
          </cell>
          <cell r="O297">
            <v>196</v>
          </cell>
          <cell r="P297">
            <v>0.1</v>
          </cell>
          <cell r="Q297">
            <v>1494</v>
          </cell>
        </row>
        <row r="298">
          <cell r="B298" t="str">
            <v>BRIDGEVILLE 110137484</v>
          </cell>
          <cell r="C298">
            <v>192461101</v>
          </cell>
          <cell r="D298" t="str">
            <v>BRIDGEVILLE 1101</v>
          </cell>
          <cell r="E298">
            <v>37484</v>
          </cell>
          <cell r="F298" t="b">
            <v>0</v>
          </cell>
          <cell r="G298">
            <v>15938.075587789899</v>
          </cell>
          <cell r="H298">
            <v>12688.695842360699</v>
          </cell>
          <cell r="I298">
            <v>74</v>
          </cell>
          <cell r="J298">
            <v>1.9490129346416501E-4</v>
          </cell>
          <cell r="K298">
            <v>416</v>
          </cell>
          <cell r="L298">
            <v>197.63905676917801</v>
          </cell>
          <cell r="M298">
            <v>1647</v>
          </cell>
          <cell r="N298">
            <v>2.5267482818841398E-2</v>
          </cell>
          <cell r="O298">
            <v>1551</v>
          </cell>
          <cell r="P298">
            <v>3.58</v>
          </cell>
          <cell r="Q298">
            <v>540</v>
          </cell>
        </row>
        <row r="299">
          <cell r="B299" t="str">
            <v>BRIDGEVILLE 110169866</v>
          </cell>
          <cell r="C299">
            <v>192461101</v>
          </cell>
          <cell r="D299" t="str">
            <v>BRIDGEVILLE 1101</v>
          </cell>
          <cell r="E299">
            <v>69866</v>
          </cell>
          <cell r="F299" t="b">
            <v>0</v>
          </cell>
          <cell r="G299">
            <v>10571.2355566197</v>
          </cell>
          <cell r="H299">
            <v>10571.2355566197</v>
          </cell>
          <cell r="I299">
            <v>46</v>
          </cell>
          <cell r="J299">
            <v>2.3171820588607301E-4</v>
          </cell>
          <cell r="K299">
            <v>281</v>
          </cell>
          <cell r="L299">
            <v>514.43426480505298</v>
          </cell>
          <cell r="M299">
            <v>1188</v>
          </cell>
          <cell r="N299">
            <v>0.12256218789472401</v>
          </cell>
          <cell r="O299">
            <v>634</v>
          </cell>
          <cell r="P299">
            <v>3.53</v>
          </cell>
          <cell r="Q299">
            <v>543</v>
          </cell>
        </row>
        <row r="300">
          <cell r="B300" t="str">
            <v>BRIDGEVILLE 1101CB</v>
          </cell>
          <cell r="C300">
            <v>192461101</v>
          </cell>
          <cell r="D300" t="str">
            <v>BRIDGEVILLE 1101</v>
          </cell>
          <cell r="E300" t="str">
            <v>CB</v>
          </cell>
          <cell r="F300" t="b">
            <v>0</v>
          </cell>
          <cell r="G300">
            <v>13703.2012357326</v>
          </cell>
          <cell r="H300">
            <v>13703.2012357326</v>
          </cell>
          <cell r="I300">
            <v>51</v>
          </cell>
          <cell r="J300">
            <v>1.8978361404151599E-4</v>
          </cell>
          <cell r="K300">
            <v>443</v>
          </cell>
          <cell r="L300">
            <v>315.28752827855499</v>
          </cell>
          <cell r="M300">
            <v>1424</v>
          </cell>
          <cell r="N300">
            <v>6.0495039819644401E-2</v>
          </cell>
          <cell r="O300">
            <v>1059</v>
          </cell>
          <cell r="P300">
            <v>2.08</v>
          </cell>
          <cell r="Q300">
            <v>624</v>
          </cell>
        </row>
        <row r="301">
          <cell r="B301" t="str">
            <v>BRIDGEVILLE 110237486</v>
          </cell>
          <cell r="C301">
            <v>192461102</v>
          </cell>
          <cell r="D301" t="str">
            <v>BRIDGEVILLE 1102</v>
          </cell>
          <cell r="E301">
            <v>37486</v>
          </cell>
          <cell r="F301" t="b">
            <v>0</v>
          </cell>
          <cell r="G301">
            <v>12199.508780791301</v>
          </cell>
          <cell r="H301">
            <v>11162.2657847009</v>
          </cell>
          <cell r="I301">
            <v>85</v>
          </cell>
          <cell r="J301">
            <v>1.88067483274304E-4</v>
          </cell>
          <cell r="K301">
            <v>454</v>
          </cell>
          <cell r="L301">
            <v>224.24695114255101</v>
          </cell>
          <cell r="M301">
            <v>1597</v>
          </cell>
          <cell r="N301">
            <v>3.9237041581361501E-2</v>
          </cell>
          <cell r="O301">
            <v>1315</v>
          </cell>
          <cell r="P301">
            <v>0</v>
          </cell>
          <cell r="Q301">
            <v>2623</v>
          </cell>
        </row>
        <row r="302">
          <cell r="B302" t="str">
            <v>BRIDGEVILLE 1102384530</v>
          </cell>
          <cell r="C302">
            <v>192461102</v>
          </cell>
          <cell r="D302" t="str">
            <v>BRIDGEVILLE 1102</v>
          </cell>
          <cell r="E302">
            <v>384530</v>
          </cell>
          <cell r="F302" t="b">
            <v>0</v>
          </cell>
          <cell r="G302">
            <v>6144.6716129315</v>
          </cell>
          <cell r="H302">
            <v>6144.6716129315</v>
          </cell>
          <cell r="I302">
            <v>12</v>
          </cell>
          <cell r="J302">
            <v>1.16608459145275E-4</v>
          </cell>
          <cell r="K302">
            <v>1259</v>
          </cell>
          <cell r="L302">
            <v>223.804825335906</v>
          </cell>
          <cell r="M302">
            <v>1598</v>
          </cell>
          <cell r="N302">
            <v>2.4779257417686201E-2</v>
          </cell>
          <cell r="O302">
            <v>1565</v>
          </cell>
          <cell r="Q302">
            <v>3460</v>
          </cell>
        </row>
        <row r="303">
          <cell r="B303" t="str">
            <v>BRIDGEVILLE 110255612</v>
          </cell>
          <cell r="C303">
            <v>192461102</v>
          </cell>
          <cell r="D303" t="str">
            <v>BRIDGEVILLE 1102</v>
          </cell>
          <cell r="E303">
            <v>55612</v>
          </cell>
          <cell r="F303" t="b">
            <v>0</v>
          </cell>
          <cell r="G303">
            <v>35781.531384269503</v>
          </cell>
          <cell r="H303">
            <v>35781.531384269503</v>
          </cell>
          <cell r="I303">
            <v>93</v>
          </cell>
          <cell r="J303">
            <v>1.5400880944910599E-4</v>
          </cell>
          <cell r="K303">
            <v>707</v>
          </cell>
          <cell r="L303">
            <v>611.96808001109196</v>
          </cell>
          <cell r="M303">
            <v>1092</v>
          </cell>
          <cell r="N303">
            <v>9.08944999108557E-2</v>
          </cell>
          <cell r="O303">
            <v>816</v>
          </cell>
          <cell r="P303">
            <v>0.12</v>
          </cell>
          <cell r="Q303">
            <v>1370</v>
          </cell>
        </row>
        <row r="304">
          <cell r="B304" t="str">
            <v>BRIDGEVILLE 1102CB</v>
          </cell>
          <cell r="C304">
            <v>192461102</v>
          </cell>
          <cell r="D304" t="str">
            <v>BRIDGEVILLE 1102</v>
          </cell>
          <cell r="E304" t="str">
            <v>CB</v>
          </cell>
          <cell r="F304" t="b">
            <v>0</v>
          </cell>
          <cell r="G304">
            <v>19625.35361826</v>
          </cell>
          <cell r="H304">
            <v>4723.1827147056902</v>
          </cell>
          <cell r="I304">
            <v>52</v>
          </cell>
          <cell r="J304">
            <v>1.8739408536324199E-4</v>
          </cell>
          <cell r="K304">
            <v>458</v>
          </cell>
          <cell r="L304">
            <v>86.472864501863697</v>
          </cell>
          <cell r="M304">
            <v>2019</v>
          </cell>
          <cell r="N304">
            <v>1.5060830315268999E-2</v>
          </cell>
          <cell r="O304">
            <v>1780</v>
          </cell>
          <cell r="P304">
            <v>0</v>
          </cell>
          <cell r="Q304">
            <v>2627</v>
          </cell>
        </row>
        <row r="305">
          <cell r="B305" t="str">
            <v>BROWNS VALLEY 11011268</v>
          </cell>
          <cell r="C305">
            <v>152921101</v>
          </cell>
          <cell r="D305" t="str">
            <v>BROWNS VALLEY 1101</v>
          </cell>
          <cell r="E305">
            <v>1268</v>
          </cell>
          <cell r="F305" t="b">
            <v>0</v>
          </cell>
          <cell r="G305">
            <v>17550.338428113198</v>
          </cell>
          <cell r="H305">
            <v>17538.544680374202</v>
          </cell>
          <cell r="I305">
            <v>106</v>
          </cell>
          <cell r="J305">
            <v>8.58461905220295E-5</v>
          </cell>
          <cell r="K305">
            <v>2035</v>
          </cell>
          <cell r="L305">
            <v>1744.8559769189301</v>
          </cell>
          <cell r="M305">
            <v>517</v>
          </cell>
          <cell r="N305">
            <v>0.144351985946542</v>
          </cell>
          <cell r="O305">
            <v>550</v>
          </cell>
          <cell r="P305">
            <v>0.13</v>
          </cell>
          <cell r="Q305">
            <v>1351</v>
          </cell>
        </row>
        <row r="306">
          <cell r="B306" t="str">
            <v>BROWNS VALLEY 110117011</v>
          </cell>
          <cell r="C306">
            <v>152921101</v>
          </cell>
          <cell r="D306" t="str">
            <v>BROWNS VALLEY 1101</v>
          </cell>
          <cell r="E306">
            <v>17011</v>
          </cell>
          <cell r="F306" t="b">
            <v>0</v>
          </cell>
          <cell r="G306">
            <v>3005.3172043977902</v>
          </cell>
          <cell r="H306">
            <v>3005.3172043977902</v>
          </cell>
          <cell r="I306">
            <v>22</v>
          </cell>
          <cell r="J306">
            <v>9.7443481784218594E-5</v>
          </cell>
          <cell r="K306">
            <v>1702</v>
          </cell>
          <cell r="L306">
            <v>2978.7373966004202</v>
          </cell>
          <cell r="M306">
            <v>270</v>
          </cell>
          <cell r="N306">
            <v>0.241527406930552</v>
          </cell>
          <cell r="O306">
            <v>232</v>
          </cell>
          <cell r="P306">
            <v>7.0000000000000007E-2</v>
          </cell>
          <cell r="Q306">
            <v>1747</v>
          </cell>
        </row>
        <row r="307">
          <cell r="B307" t="str">
            <v>BROWNS VALLEY 110136622</v>
          </cell>
          <cell r="C307">
            <v>152921101</v>
          </cell>
          <cell r="D307" t="str">
            <v>BROWNS VALLEY 1101</v>
          </cell>
          <cell r="E307">
            <v>36622</v>
          </cell>
          <cell r="F307" t="b">
            <v>0</v>
          </cell>
          <cell r="G307">
            <v>15095.817368390301</v>
          </cell>
          <cell r="H307">
            <v>8277.8200119190205</v>
          </cell>
          <cell r="I307">
            <v>42</v>
          </cell>
          <cell r="J307">
            <v>1.06962935445297E-4</v>
          </cell>
          <cell r="K307">
            <v>1475</v>
          </cell>
          <cell r="L307">
            <v>1906.21394863502</v>
          </cell>
          <cell r="M307">
            <v>474</v>
          </cell>
          <cell r="N307">
            <v>0.21771020892076001</v>
          </cell>
          <cell r="O307">
            <v>288</v>
          </cell>
          <cell r="P307">
            <v>0.01</v>
          </cell>
          <cell r="Q307">
            <v>2620</v>
          </cell>
        </row>
        <row r="308">
          <cell r="B308" t="str">
            <v>BROWNS VALLEY 110193870</v>
          </cell>
          <cell r="C308">
            <v>152921101</v>
          </cell>
          <cell r="D308" t="str">
            <v>BROWNS VALLEY 1101</v>
          </cell>
          <cell r="E308">
            <v>93870</v>
          </cell>
          <cell r="F308" t="b">
            <v>0</v>
          </cell>
          <cell r="G308">
            <v>54990.458209420001</v>
          </cell>
          <cell r="H308">
            <v>29826.959728018999</v>
          </cell>
          <cell r="I308">
            <v>342</v>
          </cell>
          <cell r="J308">
            <v>6.6942388465416597E-5</v>
          </cell>
          <cell r="K308">
            <v>2559</v>
          </cell>
          <cell r="L308">
            <v>1508.5624323858201</v>
          </cell>
          <cell r="M308">
            <v>593</v>
          </cell>
          <cell r="N308">
            <v>9.8287443501943794E-2</v>
          </cell>
          <cell r="O308">
            <v>774</v>
          </cell>
          <cell r="P308">
            <v>0.09</v>
          </cell>
          <cell r="Q308">
            <v>1545</v>
          </cell>
        </row>
        <row r="309">
          <cell r="B309" t="str">
            <v>BROWNS VALLEY 110197188</v>
          </cell>
          <cell r="C309">
            <v>152921101</v>
          </cell>
          <cell r="D309" t="str">
            <v>BROWNS VALLEY 1101</v>
          </cell>
          <cell r="E309">
            <v>97188</v>
          </cell>
          <cell r="F309" t="b">
            <v>0</v>
          </cell>
          <cell r="G309">
            <v>10919.7898734623</v>
          </cell>
          <cell r="H309">
            <v>10919.7898734623</v>
          </cell>
          <cell r="I309">
            <v>71</v>
          </cell>
          <cell r="J309">
            <v>1.1851637892894799E-4</v>
          </cell>
          <cell r="K309">
            <v>1217</v>
          </cell>
          <cell r="L309">
            <v>794.00693389589901</v>
          </cell>
          <cell r="M309">
            <v>946</v>
          </cell>
          <cell r="N309">
            <v>6.8613178643681397E-2</v>
          </cell>
          <cell r="O309">
            <v>988</v>
          </cell>
          <cell r="P309">
            <v>0.06</v>
          </cell>
          <cell r="Q309">
            <v>1870</v>
          </cell>
        </row>
        <row r="310">
          <cell r="B310" t="str">
            <v>BROWNS VALLEY 1101CB</v>
          </cell>
          <cell r="C310">
            <v>152921101</v>
          </cell>
          <cell r="D310" t="str">
            <v>BROWNS VALLEY 1101</v>
          </cell>
          <cell r="E310" t="str">
            <v>CB</v>
          </cell>
          <cell r="F310" t="b">
            <v>0</v>
          </cell>
          <cell r="G310">
            <v>4580.4087777343502</v>
          </cell>
          <cell r="H310">
            <v>3639.3630722637799</v>
          </cell>
          <cell r="I310">
            <v>17</v>
          </cell>
          <cell r="J310">
            <v>1.2727152074255699E-4</v>
          </cell>
          <cell r="K310">
            <v>1059</v>
          </cell>
          <cell r="L310">
            <v>1563.9973163145301</v>
          </cell>
          <cell r="M310">
            <v>574</v>
          </cell>
          <cell r="N310">
            <v>0.174299986815559</v>
          </cell>
          <cell r="O310">
            <v>422</v>
          </cell>
          <cell r="Q310">
            <v>3230</v>
          </cell>
        </row>
        <row r="311">
          <cell r="B311" t="str">
            <v>BRUNSWICK 11021010</v>
          </cell>
          <cell r="C311">
            <v>152481102</v>
          </cell>
          <cell r="D311" t="str">
            <v>BRUNSWICK 1102</v>
          </cell>
          <cell r="E311">
            <v>1010</v>
          </cell>
          <cell r="F311" t="b">
            <v>0</v>
          </cell>
          <cell r="G311">
            <v>71394.2707333336</v>
          </cell>
          <cell r="H311">
            <v>71394.2707333336</v>
          </cell>
          <cell r="I311">
            <v>479</v>
          </cell>
          <cell r="J311">
            <v>1.10013935862975E-4</v>
          </cell>
          <cell r="K311">
            <v>1412</v>
          </cell>
          <cell r="L311">
            <v>172.58051315895199</v>
          </cell>
          <cell r="M311">
            <v>1708</v>
          </cell>
          <cell r="N311">
            <v>2.11682265472131E-2</v>
          </cell>
          <cell r="O311">
            <v>1649</v>
          </cell>
          <cell r="P311">
            <v>129.44999999999999</v>
          </cell>
          <cell r="Q311">
            <v>6</v>
          </cell>
        </row>
        <row r="312">
          <cell r="B312" t="str">
            <v>BRUNSWICK 1102940</v>
          </cell>
          <cell r="C312">
            <v>152481102</v>
          </cell>
          <cell r="D312" t="str">
            <v>BRUNSWICK 1102</v>
          </cell>
          <cell r="E312">
            <v>940</v>
          </cell>
          <cell r="F312" t="b">
            <v>0</v>
          </cell>
          <cell r="G312">
            <v>5636.9671767769796</v>
          </cell>
          <cell r="H312">
            <v>1911.10102216939</v>
          </cell>
          <cell r="I312">
            <v>46</v>
          </cell>
          <cell r="J312">
            <v>1.8608042062070399E-4</v>
          </cell>
          <cell r="K312">
            <v>466</v>
          </cell>
          <cell r="L312">
            <v>23.9825270255057</v>
          </cell>
          <cell r="M312">
            <v>2400</v>
          </cell>
          <cell r="N312">
            <v>5.06704813568343E-3</v>
          </cell>
          <cell r="O312">
            <v>2200</v>
          </cell>
          <cell r="P312">
            <v>7.35</v>
          </cell>
          <cell r="Q312">
            <v>447</v>
          </cell>
        </row>
        <row r="313">
          <cell r="B313" t="str">
            <v>BRUNSWICK 1102CB</v>
          </cell>
          <cell r="C313">
            <v>152481102</v>
          </cell>
          <cell r="D313" t="str">
            <v>BRUNSWICK 1102</v>
          </cell>
          <cell r="E313" t="str">
            <v>CB</v>
          </cell>
          <cell r="F313" t="b">
            <v>0</v>
          </cell>
          <cell r="G313">
            <v>10098.7974434648</v>
          </cell>
          <cell r="H313">
            <v>10098.7974434648</v>
          </cell>
          <cell r="I313">
            <v>73</v>
          </cell>
          <cell r="J313">
            <v>2.5600258461103999E-4</v>
          </cell>
          <cell r="K313">
            <v>203</v>
          </cell>
          <cell r="L313">
            <v>35.552490911996699</v>
          </cell>
          <cell r="M313">
            <v>2306</v>
          </cell>
          <cell r="N313">
            <v>1.2039628332361101E-2</v>
          </cell>
          <cell r="O313">
            <v>1880</v>
          </cell>
          <cell r="P313">
            <v>11.22</v>
          </cell>
          <cell r="Q313">
            <v>385</v>
          </cell>
        </row>
        <row r="314">
          <cell r="B314" t="str">
            <v>BRUNSWICK 1103173934</v>
          </cell>
          <cell r="C314">
            <v>152481103</v>
          </cell>
          <cell r="D314" t="str">
            <v>BRUNSWICK 1103</v>
          </cell>
          <cell r="E314">
            <v>173934</v>
          </cell>
          <cell r="F314" t="b">
            <v>0</v>
          </cell>
          <cell r="G314">
            <v>17611.715335083099</v>
          </cell>
          <cell r="H314">
            <v>17611.715335083099</v>
          </cell>
          <cell r="I314">
            <v>125</v>
          </cell>
          <cell r="J314">
            <v>1.1937493042252401E-4</v>
          </cell>
          <cell r="K314">
            <v>1199</v>
          </cell>
          <cell r="L314">
            <v>28.205289823291199</v>
          </cell>
          <cell r="M314">
            <v>2358</v>
          </cell>
          <cell r="N314">
            <v>2.5704601971619401E-3</v>
          </cell>
          <cell r="O314">
            <v>2401</v>
          </cell>
          <cell r="Q314">
            <v>2727</v>
          </cell>
        </row>
        <row r="315">
          <cell r="B315" t="str">
            <v>BRUNSWICK 11032200</v>
          </cell>
          <cell r="C315">
            <v>152481103</v>
          </cell>
          <cell r="D315" t="str">
            <v>BRUNSWICK 1103</v>
          </cell>
          <cell r="E315">
            <v>2200</v>
          </cell>
          <cell r="F315" t="b">
            <v>0</v>
          </cell>
          <cell r="G315">
            <v>8965.9105577369501</v>
          </cell>
          <cell r="H315">
            <v>8965.9105577369501</v>
          </cell>
          <cell r="I315">
            <v>64</v>
          </cell>
          <cell r="J315">
            <v>1.01833560847808E-4</v>
          </cell>
          <cell r="K315">
            <v>1607</v>
          </cell>
          <cell r="L315">
            <v>17.890876859404699</v>
          </cell>
          <cell r="M315">
            <v>2484</v>
          </cell>
          <cell r="N315">
            <v>1.6887935304690301E-3</v>
          </cell>
          <cell r="O315">
            <v>2521</v>
          </cell>
          <cell r="P315">
            <v>54.83</v>
          </cell>
          <cell r="Q315">
            <v>105</v>
          </cell>
        </row>
        <row r="316">
          <cell r="B316" t="str">
            <v>BRUNSWICK 1103234378</v>
          </cell>
          <cell r="C316">
            <v>152481103</v>
          </cell>
          <cell r="D316" t="str">
            <v>BRUNSWICK 1103</v>
          </cell>
          <cell r="E316">
            <v>234378</v>
          </cell>
          <cell r="F316" t="b">
            <v>0</v>
          </cell>
          <cell r="G316">
            <v>1230.3375261574499</v>
          </cell>
          <cell r="H316">
            <v>1030.7217086435501</v>
          </cell>
          <cell r="I316">
            <v>13</v>
          </cell>
          <cell r="J316">
            <v>2.3818190899104399E-4</v>
          </cell>
          <cell r="K316">
            <v>253</v>
          </cell>
          <cell r="L316">
            <v>6.5938630912639906E-2</v>
          </cell>
          <cell r="M316">
            <v>3237</v>
          </cell>
          <cell r="N316">
            <v>1.5726750073471699E-5</v>
          </cell>
          <cell r="O316">
            <v>3000</v>
          </cell>
          <cell r="Q316">
            <v>2969</v>
          </cell>
        </row>
        <row r="317">
          <cell r="B317" t="str">
            <v>BRUNSWICK 1103262343</v>
          </cell>
          <cell r="C317">
            <v>152481103</v>
          </cell>
          <cell r="D317" t="str">
            <v>BRUNSWICK 1103</v>
          </cell>
          <cell r="E317">
            <v>262343</v>
          </cell>
          <cell r="F317" t="b">
            <v>0</v>
          </cell>
          <cell r="G317">
            <v>1232.8709085740099</v>
          </cell>
          <cell r="H317">
            <v>1232.8709085740099</v>
          </cell>
          <cell r="I317">
            <v>11</v>
          </cell>
          <cell r="J317">
            <v>2.88911715456792E-4</v>
          </cell>
          <cell r="K317">
            <v>143</v>
          </cell>
          <cell r="L317">
            <v>6.6431531992944007E-2</v>
          </cell>
          <cell r="M317">
            <v>3003</v>
          </cell>
          <cell r="N317">
            <v>1.9192847868504201E-5</v>
          </cell>
          <cell r="O317">
            <v>2966</v>
          </cell>
          <cell r="Q317">
            <v>3404</v>
          </cell>
        </row>
        <row r="318">
          <cell r="B318" t="str">
            <v>BRUNSWICK 11032784</v>
          </cell>
          <cell r="C318">
            <v>152481103</v>
          </cell>
          <cell r="D318" t="str">
            <v>BRUNSWICK 1103</v>
          </cell>
          <cell r="E318">
            <v>2784</v>
          </cell>
          <cell r="F318" t="b">
            <v>0</v>
          </cell>
          <cell r="G318">
            <v>24673.550267195998</v>
          </cell>
          <cell r="H318">
            <v>23592.237913381701</v>
          </cell>
          <cell r="I318">
            <v>202</v>
          </cell>
          <cell r="J318">
            <v>2.12504048807987E-4</v>
          </cell>
          <cell r="K318">
            <v>349</v>
          </cell>
          <cell r="L318">
            <v>16.145468917377901</v>
          </cell>
          <cell r="M318">
            <v>2515</v>
          </cell>
          <cell r="N318">
            <v>2.5528871591894899E-3</v>
          </cell>
          <cell r="O318">
            <v>2404</v>
          </cell>
          <cell r="P318">
            <v>21.1</v>
          </cell>
          <cell r="Q318">
            <v>301</v>
          </cell>
        </row>
        <row r="319">
          <cell r="B319" t="str">
            <v>BRUNSWICK 110350070</v>
          </cell>
          <cell r="C319">
            <v>152481103</v>
          </cell>
          <cell r="D319" t="str">
            <v>BRUNSWICK 1103</v>
          </cell>
          <cell r="E319">
            <v>50070</v>
          </cell>
          <cell r="F319" t="b">
            <v>0</v>
          </cell>
          <cell r="G319">
            <v>28555.341244700601</v>
          </cell>
          <cell r="H319">
            <v>28555.341244700601</v>
          </cell>
          <cell r="I319">
            <v>201</v>
          </cell>
          <cell r="J319">
            <v>1.10833722952227E-4</v>
          </cell>
          <cell r="K319">
            <v>1394</v>
          </cell>
          <cell r="L319">
            <v>43.696418702481701</v>
          </cell>
          <cell r="M319">
            <v>2255</v>
          </cell>
          <cell r="N319">
            <v>6.2036144330445001E-3</v>
          </cell>
          <cell r="O319">
            <v>2144</v>
          </cell>
          <cell r="P319">
            <v>128.63999999999999</v>
          </cell>
          <cell r="Q319">
            <v>7</v>
          </cell>
        </row>
        <row r="320">
          <cell r="B320" t="str">
            <v>BRUNSWICK 110378862</v>
          </cell>
          <cell r="C320">
            <v>152481103</v>
          </cell>
          <cell r="D320" t="str">
            <v>BRUNSWICK 1103</v>
          </cell>
          <cell r="E320">
            <v>78862</v>
          </cell>
          <cell r="F320" t="b">
            <v>1</v>
          </cell>
          <cell r="G320">
            <v>1804.46345103372</v>
          </cell>
          <cell r="H320">
            <v>123.60876282049</v>
          </cell>
          <cell r="I320">
            <v>17</v>
          </cell>
          <cell r="J320">
            <v>2.7938520874800699E-4</v>
          </cell>
          <cell r="K320">
            <v>158</v>
          </cell>
          <cell r="L320">
            <v>6.52253740552588E-2</v>
          </cell>
          <cell r="M320">
            <v>3497</v>
          </cell>
          <cell r="N320">
            <v>1.8213131223695701E-5</v>
          </cell>
          <cell r="O320">
            <v>2973</v>
          </cell>
          <cell r="P320">
            <v>5.76</v>
          </cell>
          <cell r="Q320">
            <v>478</v>
          </cell>
        </row>
        <row r="321">
          <cell r="B321" t="str">
            <v>BRUNSWICK 1103851116</v>
          </cell>
          <cell r="C321">
            <v>152481103</v>
          </cell>
          <cell r="D321" t="str">
            <v>BRUNSWICK 1103</v>
          </cell>
          <cell r="E321">
            <v>851116</v>
          </cell>
          <cell r="F321" t="b">
            <v>1</v>
          </cell>
          <cell r="G321">
            <v>405.84419385118002</v>
          </cell>
          <cell r="H321">
            <v>316.00084469173902</v>
          </cell>
          <cell r="I321">
            <v>4</v>
          </cell>
          <cell r="J321">
            <v>2.7959339240624098E-4</v>
          </cell>
          <cell r="K321">
            <v>155</v>
          </cell>
          <cell r="L321">
            <v>6.6111146290746395E-2</v>
          </cell>
          <cell r="M321">
            <v>3190</v>
          </cell>
          <cell r="N321">
            <v>1.8458731622364602E-5</v>
          </cell>
          <cell r="O321">
            <v>2969</v>
          </cell>
          <cell r="Q321">
            <v>2981</v>
          </cell>
        </row>
        <row r="322">
          <cell r="B322" t="str">
            <v>BRUNSWICK 11038918</v>
          </cell>
          <cell r="C322">
            <v>152481103</v>
          </cell>
          <cell r="D322" t="str">
            <v>BRUNSWICK 1103</v>
          </cell>
          <cell r="E322">
            <v>8918</v>
          </cell>
          <cell r="F322" t="b">
            <v>0</v>
          </cell>
          <cell r="G322">
            <v>3457.8850267589601</v>
          </cell>
          <cell r="H322">
            <v>2431.0442232421301</v>
          </cell>
          <cell r="I322">
            <v>30</v>
          </cell>
          <cell r="J322">
            <v>2.2692468398114799E-4</v>
          </cell>
          <cell r="K322">
            <v>298</v>
          </cell>
          <cell r="L322">
            <v>2.4425970987730299</v>
          </cell>
          <cell r="M322">
            <v>2824</v>
          </cell>
          <cell r="N322">
            <v>1.4939728046595E-4</v>
          </cell>
          <cell r="O322">
            <v>2856</v>
          </cell>
          <cell r="P322">
            <v>2.79</v>
          </cell>
          <cell r="Q322">
            <v>579</v>
          </cell>
        </row>
        <row r="323">
          <cell r="B323" t="str">
            <v>BRUNSWICK 1103904574</v>
          </cell>
          <cell r="C323">
            <v>152481103</v>
          </cell>
          <cell r="D323" t="str">
            <v>BRUNSWICK 1103</v>
          </cell>
          <cell r="E323">
            <v>904574</v>
          </cell>
          <cell r="F323" t="b">
            <v>0</v>
          </cell>
          <cell r="G323">
            <v>2518.7659002786299</v>
          </cell>
          <cell r="H323">
            <v>2518.7659002786299</v>
          </cell>
          <cell r="I323">
            <v>25</v>
          </cell>
          <cell r="J323">
            <v>2.2179975145263499E-4</v>
          </cell>
          <cell r="K323">
            <v>312</v>
          </cell>
          <cell r="L323">
            <v>119.846702166763</v>
          </cell>
          <cell r="M323">
            <v>1870</v>
          </cell>
          <cell r="N323">
            <v>2.6628136887053101E-2</v>
          </cell>
          <cell r="O323">
            <v>1520</v>
          </cell>
          <cell r="Q323">
            <v>3362</v>
          </cell>
        </row>
        <row r="324">
          <cell r="B324" t="str">
            <v>BRUNSWICK 1103956424</v>
          </cell>
          <cell r="C324">
            <v>152481103</v>
          </cell>
          <cell r="D324" t="str">
            <v>BRUNSWICK 1103</v>
          </cell>
          <cell r="E324">
            <v>956424</v>
          </cell>
          <cell r="F324" t="b">
            <v>0</v>
          </cell>
          <cell r="G324">
            <v>2618.25828047613</v>
          </cell>
          <cell r="H324">
            <v>1661.8271743677999</v>
          </cell>
          <cell r="I324">
            <v>21</v>
          </cell>
          <cell r="J324">
            <v>2.6235422029414899E-4</v>
          </cell>
          <cell r="K324">
            <v>190</v>
          </cell>
          <cell r="L324">
            <v>6.5882299360605204E-2</v>
          </cell>
          <cell r="M324">
            <v>3247</v>
          </cell>
          <cell r="N324">
            <v>1.7224427528727399E-5</v>
          </cell>
          <cell r="O324">
            <v>2986</v>
          </cell>
          <cell r="Q324">
            <v>3301</v>
          </cell>
        </row>
        <row r="325">
          <cell r="B325" t="str">
            <v>BRUNSWICK 1103CB</v>
          </cell>
          <cell r="C325">
            <v>152481103</v>
          </cell>
          <cell r="D325" t="str">
            <v>BRUNSWICK 1103</v>
          </cell>
          <cell r="E325" t="str">
            <v>CB</v>
          </cell>
          <cell r="F325" t="b">
            <v>0</v>
          </cell>
          <cell r="G325">
            <v>8801.7452161412002</v>
          </cell>
          <cell r="H325">
            <v>2701.0977603371598</v>
          </cell>
          <cell r="I325">
            <v>82</v>
          </cell>
          <cell r="J325">
            <v>3.1314992112328998E-4</v>
          </cell>
          <cell r="K325">
            <v>115</v>
          </cell>
          <cell r="L325">
            <v>15.1123824009738</v>
          </cell>
          <cell r="M325">
            <v>2530</v>
          </cell>
          <cell r="N325">
            <v>2.6094166730384902E-3</v>
          </cell>
          <cell r="O325">
            <v>2397</v>
          </cell>
          <cell r="P325">
            <v>0.1</v>
          </cell>
          <cell r="Q325">
            <v>1502</v>
          </cell>
        </row>
        <row r="326">
          <cell r="B326" t="str">
            <v>BRUNSWICK 11041020</v>
          </cell>
          <cell r="C326">
            <v>152481104</v>
          </cell>
          <cell r="D326" t="str">
            <v>BRUNSWICK 1104</v>
          </cell>
          <cell r="E326">
            <v>1020</v>
          </cell>
          <cell r="F326" t="b">
            <v>0</v>
          </cell>
          <cell r="G326">
            <v>46299.321043612697</v>
          </cell>
          <cell r="H326">
            <v>46299.321043612697</v>
          </cell>
          <cell r="I326">
            <v>311</v>
          </cell>
          <cell r="J326">
            <v>9.6344189599329995E-5</v>
          </cell>
          <cell r="K326">
            <v>1725</v>
          </cell>
          <cell r="L326">
            <v>368.88695649336</v>
          </cell>
          <cell r="M326">
            <v>1339</v>
          </cell>
          <cell r="N326">
            <v>3.2187471403189297E-2</v>
          </cell>
          <cell r="O326">
            <v>1425</v>
          </cell>
          <cell r="P326">
            <v>69</v>
          </cell>
          <cell r="Q326">
            <v>71</v>
          </cell>
        </row>
        <row r="327">
          <cell r="B327" t="str">
            <v>BRUNSWICK 11042112</v>
          </cell>
          <cell r="C327">
            <v>152481104</v>
          </cell>
          <cell r="D327" t="str">
            <v>BRUNSWICK 1104</v>
          </cell>
          <cell r="E327">
            <v>2112</v>
          </cell>
          <cell r="F327" t="b">
            <v>0</v>
          </cell>
          <cell r="G327">
            <v>31201.901643884601</v>
          </cell>
          <cell r="H327">
            <v>31201.901643884601</v>
          </cell>
          <cell r="I327">
            <v>222</v>
          </cell>
          <cell r="J327">
            <v>1.29575246368453E-4</v>
          </cell>
          <cell r="K327">
            <v>1016</v>
          </cell>
          <cell r="L327">
            <v>755.54104262307101</v>
          </cell>
          <cell r="M327">
            <v>969</v>
          </cell>
          <cell r="N327">
            <v>0.10459933060233401</v>
          </cell>
          <cell r="O327">
            <v>736</v>
          </cell>
          <cell r="P327">
            <v>9</v>
          </cell>
          <cell r="Q327">
            <v>416</v>
          </cell>
        </row>
        <row r="328">
          <cell r="B328" t="str">
            <v>BRUNSWICK 1104244027</v>
          </cell>
          <cell r="C328">
            <v>152481104</v>
          </cell>
          <cell r="D328" t="str">
            <v>BRUNSWICK 1104</v>
          </cell>
          <cell r="E328">
            <v>244027</v>
          </cell>
          <cell r="F328" t="b">
            <v>1</v>
          </cell>
          <cell r="G328">
            <v>620.973846089522</v>
          </cell>
          <cell r="H328">
            <v>492.750223151819</v>
          </cell>
          <cell r="I328">
            <v>6</v>
          </cell>
          <cell r="J328">
            <v>4.7100739902816702E-4</v>
          </cell>
          <cell r="K328">
            <v>41</v>
          </cell>
          <cell r="L328">
            <v>6.57907605885487E-2</v>
          </cell>
          <cell r="M328">
            <v>3272</v>
          </cell>
          <cell r="N328">
            <v>3.0929728891543098E-5</v>
          </cell>
          <cell r="O328">
            <v>2931</v>
          </cell>
          <cell r="Q328">
            <v>3214</v>
          </cell>
        </row>
        <row r="329">
          <cell r="B329" t="str">
            <v>BRUNSWICK 1104285704</v>
          </cell>
          <cell r="C329">
            <v>152481104</v>
          </cell>
          <cell r="D329" t="str">
            <v>BRUNSWICK 1104</v>
          </cell>
          <cell r="E329">
            <v>285704</v>
          </cell>
          <cell r="F329" t="b">
            <v>0</v>
          </cell>
          <cell r="G329">
            <v>1923.7716920988601</v>
          </cell>
          <cell r="H329">
            <v>1685.8276180324301</v>
          </cell>
          <cell r="I329">
            <v>17</v>
          </cell>
          <cell r="J329">
            <v>2.3236464810050901E-4</v>
          </cell>
          <cell r="K329">
            <v>275</v>
          </cell>
          <cell r="L329">
            <v>9.8521748241592402</v>
          </cell>
          <cell r="M329">
            <v>2626</v>
          </cell>
          <cell r="N329">
            <v>6.8514987459886904E-4</v>
          </cell>
          <cell r="O329">
            <v>2689</v>
          </cell>
          <cell r="Q329">
            <v>3385</v>
          </cell>
        </row>
        <row r="330">
          <cell r="B330" t="str">
            <v>BRUNSWICK 1104327226</v>
          </cell>
          <cell r="C330">
            <v>152481104</v>
          </cell>
          <cell r="D330" t="str">
            <v>BRUNSWICK 1104</v>
          </cell>
          <cell r="E330">
            <v>327226</v>
          </cell>
          <cell r="F330" t="b">
            <v>1</v>
          </cell>
          <cell r="G330">
            <v>144.386116155651</v>
          </cell>
          <cell r="H330">
            <v>79.583343739780005</v>
          </cell>
          <cell r="I330">
            <v>2</v>
          </cell>
          <cell r="J330">
            <v>1.16098362923366E-4</v>
          </cell>
          <cell r="K330">
            <v>1268</v>
          </cell>
          <cell r="L330">
            <v>6.57907605885487E-2</v>
          </cell>
          <cell r="M330">
            <v>3273</v>
          </cell>
          <cell r="N330">
            <v>7.6459392416102198E-6</v>
          </cell>
          <cell r="O330">
            <v>3138</v>
          </cell>
          <cell r="Q330">
            <v>3458</v>
          </cell>
        </row>
        <row r="331">
          <cell r="B331" t="str">
            <v>BRUNSWICK 110456468</v>
          </cell>
          <cell r="C331">
            <v>152481104</v>
          </cell>
          <cell r="D331" t="str">
            <v>BRUNSWICK 1104</v>
          </cell>
          <cell r="E331">
            <v>56468</v>
          </cell>
          <cell r="F331" t="b">
            <v>0</v>
          </cell>
          <cell r="G331">
            <v>9625.3333966369901</v>
          </cell>
          <cell r="H331">
            <v>8910.5893450433105</v>
          </cell>
          <cell r="I331">
            <v>85</v>
          </cell>
          <cell r="J331">
            <v>2.2965366973521099E-4</v>
          </cell>
          <cell r="K331">
            <v>287</v>
          </cell>
          <cell r="L331">
            <v>1.09117831897133</v>
          </cell>
          <cell r="M331">
            <v>2888</v>
          </cell>
          <cell r="N331">
            <v>1.4830495905021E-4</v>
          </cell>
          <cell r="O331">
            <v>2857</v>
          </cell>
          <cell r="P331">
            <v>12.55</v>
          </cell>
          <cell r="Q331">
            <v>373</v>
          </cell>
        </row>
        <row r="332">
          <cell r="B332" t="str">
            <v>BRUNSWICK 11047181</v>
          </cell>
          <cell r="C332">
            <v>152481104</v>
          </cell>
          <cell r="D332" t="str">
            <v>BRUNSWICK 1104</v>
          </cell>
          <cell r="E332">
            <v>7181</v>
          </cell>
          <cell r="F332" t="b">
            <v>0</v>
          </cell>
          <cell r="G332">
            <v>1244.14430332966</v>
          </cell>
          <cell r="H332">
            <v>1244.14430332966</v>
          </cell>
          <cell r="I332">
            <v>11</v>
          </cell>
          <cell r="J332">
            <v>1.933338961945E-4</v>
          </cell>
          <cell r="K332">
            <v>428</v>
          </cell>
          <cell r="L332">
            <v>6.6431531992944007E-2</v>
          </cell>
          <cell r="M332">
            <v>3010</v>
          </cell>
          <cell r="N332">
            <v>1.2843466910365399E-5</v>
          </cell>
          <cell r="O332">
            <v>3027</v>
          </cell>
          <cell r="P332">
            <v>7.1</v>
          </cell>
          <cell r="Q332">
            <v>450</v>
          </cell>
        </row>
        <row r="333">
          <cell r="B333" t="str">
            <v>BRUNSWICK 1104761310</v>
          </cell>
          <cell r="C333">
            <v>152481104</v>
          </cell>
          <cell r="D333" t="str">
            <v>BRUNSWICK 1104</v>
          </cell>
          <cell r="E333">
            <v>761310</v>
          </cell>
          <cell r="F333" t="b">
            <v>1</v>
          </cell>
          <cell r="G333">
            <v>43.105262736765397</v>
          </cell>
          <cell r="H333">
            <v>43.105262736765397</v>
          </cell>
          <cell r="I333">
            <v>1</v>
          </cell>
          <cell r="J333">
            <v>2.60158412856981E-4</v>
          </cell>
          <cell r="K333">
            <v>195</v>
          </cell>
          <cell r="L333">
            <v>6.6431531992944007E-2</v>
          </cell>
          <cell r="M333">
            <v>3006</v>
          </cell>
          <cell r="N333">
            <v>1.7282721926941999E-5</v>
          </cell>
          <cell r="O333">
            <v>2984</v>
          </cell>
          <cell r="P333">
            <v>9.94</v>
          </cell>
          <cell r="Q333">
            <v>403</v>
          </cell>
        </row>
        <row r="334">
          <cell r="B334" t="str">
            <v>BRUNSWICK 1104CB</v>
          </cell>
          <cell r="C334">
            <v>152481104</v>
          </cell>
          <cell r="D334" t="str">
            <v>BRUNSWICK 1104</v>
          </cell>
          <cell r="E334" t="str">
            <v>CB</v>
          </cell>
          <cell r="F334" t="b">
            <v>1</v>
          </cell>
          <cell r="G334">
            <v>2139.8632912615999</v>
          </cell>
          <cell r="H334">
            <v>621.73868892079599</v>
          </cell>
          <cell r="I334">
            <v>28</v>
          </cell>
          <cell r="J334">
            <v>2.59027026524043E-4</v>
          </cell>
          <cell r="K334">
            <v>198</v>
          </cell>
          <cell r="L334">
            <v>63.383032546520901</v>
          </cell>
          <cell r="M334">
            <v>2133</v>
          </cell>
          <cell r="N334">
            <v>2.4193960144747902E-2</v>
          </cell>
          <cell r="O334">
            <v>1574</v>
          </cell>
          <cell r="P334">
            <v>1.36</v>
          </cell>
          <cell r="Q334">
            <v>681</v>
          </cell>
        </row>
        <row r="335">
          <cell r="B335" t="str">
            <v>BRUNSWICK 11051030</v>
          </cell>
          <cell r="C335">
            <v>152481105</v>
          </cell>
          <cell r="D335" t="str">
            <v>BRUNSWICK 1105</v>
          </cell>
          <cell r="E335">
            <v>1030</v>
          </cell>
          <cell r="F335" t="b">
            <v>0</v>
          </cell>
          <cell r="G335">
            <v>25567.0003407398</v>
          </cell>
          <cell r="H335">
            <v>25567.0003407398</v>
          </cell>
          <cell r="I335">
            <v>217</v>
          </cell>
          <cell r="J335">
            <v>1.4915904565674E-4</v>
          </cell>
          <cell r="K335">
            <v>749</v>
          </cell>
          <cell r="L335">
            <v>5.1043700678858404</v>
          </cell>
          <cell r="M335">
            <v>2748</v>
          </cell>
          <cell r="N335">
            <v>9.0994489546015003E-4</v>
          </cell>
          <cell r="O335">
            <v>2654</v>
          </cell>
          <cell r="P335">
            <v>21.6</v>
          </cell>
          <cell r="Q335">
            <v>300</v>
          </cell>
        </row>
        <row r="336">
          <cell r="B336" t="str">
            <v>BRUNSWICK 11052100</v>
          </cell>
          <cell r="C336">
            <v>152481105</v>
          </cell>
          <cell r="D336" t="str">
            <v>BRUNSWICK 1105</v>
          </cell>
          <cell r="E336">
            <v>2100</v>
          </cell>
          <cell r="F336" t="b">
            <v>0</v>
          </cell>
          <cell r="G336">
            <v>6391.6671975847303</v>
          </cell>
          <cell r="H336">
            <v>6391.6671975847303</v>
          </cell>
          <cell r="I336">
            <v>47</v>
          </cell>
          <cell r="J336">
            <v>1.39660827234694E-4</v>
          </cell>
          <cell r="K336">
            <v>875</v>
          </cell>
          <cell r="L336">
            <v>17.258804734638499</v>
          </cell>
          <cell r="M336">
            <v>2498</v>
          </cell>
          <cell r="N336">
            <v>1.7366190545781599E-3</v>
          </cell>
          <cell r="O336">
            <v>2513</v>
          </cell>
          <cell r="P336">
            <v>19.600000000000001</v>
          </cell>
          <cell r="Q336">
            <v>310</v>
          </cell>
        </row>
        <row r="337">
          <cell r="B337" t="str">
            <v>BRUNSWICK 11052130</v>
          </cell>
          <cell r="C337">
            <v>152481105</v>
          </cell>
          <cell r="D337" t="str">
            <v>BRUNSWICK 1105</v>
          </cell>
          <cell r="E337">
            <v>2130</v>
          </cell>
          <cell r="F337" t="b">
            <v>0</v>
          </cell>
          <cell r="G337">
            <v>23180.763881430899</v>
          </cell>
          <cell r="H337">
            <v>23180.763881430899</v>
          </cell>
          <cell r="I337">
            <v>163</v>
          </cell>
          <cell r="J337">
            <v>5.7717904784107103E-5</v>
          </cell>
          <cell r="K337">
            <v>2845</v>
          </cell>
          <cell r="L337">
            <v>88.582120565176893</v>
          </cell>
          <cell r="M337">
            <v>2010</v>
          </cell>
          <cell r="N337">
            <v>4.82093911106392E-3</v>
          </cell>
          <cell r="O337">
            <v>2213</v>
          </cell>
          <cell r="P337">
            <v>63.53</v>
          </cell>
          <cell r="Q337">
            <v>81</v>
          </cell>
        </row>
        <row r="338">
          <cell r="B338" t="str">
            <v>BRUNSWICK 11052140</v>
          </cell>
          <cell r="C338">
            <v>152481105</v>
          </cell>
          <cell r="D338" t="str">
            <v>BRUNSWICK 1105</v>
          </cell>
          <cell r="E338">
            <v>2140</v>
          </cell>
          <cell r="F338" t="b">
            <v>0</v>
          </cell>
          <cell r="G338">
            <v>55629.269340471299</v>
          </cell>
          <cell r="H338">
            <v>55629.269340471299</v>
          </cell>
          <cell r="I338">
            <v>373</v>
          </cell>
          <cell r="J338">
            <v>7.6296115656913398E-5</v>
          </cell>
          <cell r="K338">
            <v>2300</v>
          </cell>
          <cell r="L338">
            <v>87.118558153424502</v>
          </cell>
          <cell r="M338">
            <v>2015</v>
          </cell>
          <cell r="N338">
            <v>6.9513000399203401E-3</v>
          </cell>
          <cell r="O338">
            <v>2096</v>
          </cell>
          <cell r="P338">
            <v>99.53</v>
          </cell>
          <cell r="Q338">
            <v>20</v>
          </cell>
        </row>
        <row r="339">
          <cell r="B339" t="str">
            <v>BRUNSWICK 11052204</v>
          </cell>
          <cell r="C339">
            <v>152481105</v>
          </cell>
          <cell r="D339" t="str">
            <v>BRUNSWICK 1105</v>
          </cell>
          <cell r="E339">
            <v>2204</v>
          </cell>
          <cell r="F339" t="b">
            <v>0</v>
          </cell>
          <cell r="G339">
            <v>11625.6323982786</v>
          </cell>
          <cell r="H339">
            <v>11625.6323982786</v>
          </cell>
          <cell r="I339">
            <v>84</v>
          </cell>
          <cell r="J339">
            <v>9.4600742334269896E-5</v>
          </cell>
          <cell r="K339">
            <v>1775</v>
          </cell>
          <cell r="L339">
            <v>11.1006123232922</v>
          </cell>
          <cell r="M339">
            <v>2606</v>
          </cell>
          <cell r="N339">
            <v>1.24286842639716E-3</v>
          </cell>
          <cell r="O339">
            <v>2594</v>
          </cell>
          <cell r="P339">
            <v>40.14</v>
          </cell>
          <cell r="Q339">
            <v>185</v>
          </cell>
        </row>
        <row r="340">
          <cell r="B340" t="str">
            <v>BRUNSWICK 11052210</v>
          </cell>
          <cell r="C340">
            <v>152481105</v>
          </cell>
          <cell r="D340" t="str">
            <v>BRUNSWICK 1105</v>
          </cell>
          <cell r="E340">
            <v>2210</v>
          </cell>
          <cell r="F340" t="b">
            <v>0</v>
          </cell>
          <cell r="G340">
            <v>36938.534603041</v>
          </cell>
          <cell r="H340">
            <v>36938.534603041</v>
          </cell>
          <cell r="I340">
            <v>280</v>
          </cell>
          <cell r="J340">
            <v>9.2626787695458302E-5</v>
          </cell>
          <cell r="K340">
            <v>1829</v>
          </cell>
          <cell r="L340">
            <v>84.790221342414199</v>
          </cell>
          <cell r="M340">
            <v>2032</v>
          </cell>
          <cell r="N340">
            <v>1.1510269958137699E-2</v>
          </cell>
          <cell r="O340">
            <v>1902</v>
          </cell>
          <cell r="P340">
            <v>105.34</v>
          </cell>
          <cell r="Q340">
            <v>19</v>
          </cell>
        </row>
        <row r="341">
          <cell r="B341" t="str">
            <v>BRUNSWICK 1105297538</v>
          </cell>
          <cell r="C341">
            <v>152481105</v>
          </cell>
          <cell r="D341" t="str">
            <v>BRUNSWICK 1105</v>
          </cell>
          <cell r="E341">
            <v>297538</v>
          </cell>
          <cell r="F341" t="b">
            <v>0</v>
          </cell>
          <cell r="G341">
            <v>1703.5586808323301</v>
          </cell>
          <cell r="H341">
            <v>1703.5586808323301</v>
          </cell>
          <cell r="I341">
            <v>15</v>
          </cell>
          <cell r="J341">
            <v>1.4100186332749801E-4</v>
          </cell>
          <cell r="K341">
            <v>854</v>
          </cell>
          <cell r="L341">
            <v>6.6431531992944007E-2</v>
          </cell>
          <cell r="M341">
            <v>3014</v>
          </cell>
          <cell r="N341">
            <v>9.3669697947054207E-6</v>
          </cell>
          <cell r="O341">
            <v>3084</v>
          </cell>
          <cell r="Q341">
            <v>3160</v>
          </cell>
        </row>
        <row r="342">
          <cell r="B342" t="str">
            <v>BRUNSWICK 110532536</v>
          </cell>
          <cell r="C342">
            <v>152481105</v>
          </cell>
          <cell r="D342" t="str">
            <v>BRUNSWICK 1105</v>
          </cell>
          <cell r="E342">
            <v>32536</v>
          </cell>
          <cell r="F342" t="b">
            <v>0</v>
          </cell>
          <cell r="G342">
            <v>17537.320434347101</v>
          </cell>
          <cell r="H342">
            <v>17537.320434347101</v>
          </cell>
          <cell r="I342">
            <v>144</v>
          </cell>
          <cell r="J342">
            <v>1.0307351476512801E-4</v>
          </cell>
          <cell r="K342">
            <v>1568</v>
          </cell>
          <cell r="L342">
            <v>6.8331191518318599</v>
          </cell>
          <cell r="M342">
            <v>2690</v>
          </cell>
          <cell r="N342">
            <v>5.0181750434419097E-4</v>
          </cell>
          <cell r="O342">
            <v>2734</v>
          </cell>
          <cell r="P342">
            <v>126.24</v>
          </cell>
          <cell r="Q342">
            <v>9</v>
          </cell>
        </row>
        <row r="343">
          <cell r="B343" t="str">
            <v>BRUNSWICK 11053611</v>
          </cell>
          <cell r="C343">
            <v>152481105</v>
          </cell>
          <cell r="D343" t="str">
            <v>BRUNSWICK 1105</v>
          </cell>
          <cell r="E343">
            <v>3611</v>
          </cell>
          <cell r="F343" t="b">
            <v>0</v>
          </cell>
          <cell r="G343">
            <v>2597.3823021273201</v>
          </cell>
          <cell r="H343">
            <v>2597.3823021273201</v>
          </cell>
          <cell r="I343">
            <v>23</v>
          </cell>
          <cell r="J343">
            <v>5.2348866396958098E-5</v>
          </cell>
          <cell r="K343">
            <v>2984</v>
          </cell>
          <cell r="L343">
            <v>11.4349718880732</v>
          </cell>
          <cell r="M343">
            <v>2598</v>
          </cell>
          <cell r="N343">
            <v>5.7744854211565699E-4</v>
          </cell>
          <cell r="O343">
            <v>2715</v>
          </cell>
          <cell r="P343">
            <v>32.299999999999997</v>
          </cell>
          <cell r="Q343">
            <v>226</v>
          </cell>
        </row>
        <row r="344">
          <cell r="B344" t="str">
            <v>BRUNSWICK 1105733408</v>
          </cell>
          <cell r="C344">
            <v>152481105</v>
          </cell>
          <cell r="D344" t="str">
            <v>BRUNSWICK 1105</v>
          </cell>
          <cell r="E344">
            <v>733408</v>
          </cell>
          <cell r="F344" t="b">
            <v>0</v>
          </cell>
          <cell r="G344">
            <v>5546.1562657349996</v>
          </cell>
          <cell r="H344">
            <v>5546.1562657349996</v>
          </cell>
          <cell r="I344">
            <v>45</v>
          </cell>
          <cell r="J344">
            <v>1.7527220584775499E-4</v>
          </cell>
          <cell r="K344">
            <v>527</v>
          </cell>
          <cell r="L344">
            <v>18.022911868403899</v>
          </cell>
          <cell r="M344">
            <v>2479</v>
          </cell>
          <cell r="N344">
            <v>3.20646547840191E-3</v>
          </cell>
          <cell r="O344">
            <v>2327</v>
          </cell>
          <cell r="Q344">
            <v>2660</v>
          </cell>
        </row>
        <row r="345">
          <cell r="B345" t="str">
            <v>BRUNSWICK 110584480</v>
          </cell>
          <cell r="C345">
            <v>152481105</v>
          </cell>
          <cell r="D345" t="str">
            <v>BRUNSWICK 1105</v>
          </cell>
          <cell r="E345">
            <v>84480</v>
          </cell>
          <cell r="F345" t="b">
            <v>0</v>
          </cell>
          <cell r="G345">
            <v>7615.7819402095502</v>
          </cell>
          <cell r="H345">
            <v>7615.7819402095502</v>
          </cell>
          <cell r="I345">
            <v>50</v>
          </cell>
          <cell r="J345">
            <v>1.20151938317576E-4</v>
          </cell>
          <cell r="K345">
            <v>1184</v>
          </cell>
          <cell r="L345">
            <v>18.128536326018999</v>
          </cell>
          <cell r="M345">
            <v>2473</v>
          </cell>
          <cell r="N345">
            <v>2.8063651470554502E-3</v>
          </cell>
          <cell r="O345">
            <v>2372</v>
          </cell>
          <cell r="P345">
            <v>43.55</v>
          </cell>
          <cell r="Q345">
            <v>166</v>
          </cell>
        </row>
        <row r="346">
          <cell r="B346" t="str">
            <v>BRUNSWICK 1105CB</v>
          </cell>
          <cell r="C346">
            <v>152481105</v>
          </cell>
          <cell r="D346" t="str">
            <v>BRUNSWICK 1105</v>
          </cell>
          <cell r="E346" t="str">
            <v>CB</v>
          </cell>
          <cell r="F346" t="b">
            <v>0</v>
          </cell>
          <cell r="G346">
            <v>2138.4100736036698</v>
          </cell>
          <cell r="H346">
            <v>1870.88261007766</v>
          </cell>
          <cell r="I346">
            <v>21</v>
          </cell>
          <cell r="J346">
            <v>3.8644599917461101E-4</v>
          </cell>
          <cell r="K346">
            <v>70</v>
          </cell>
          <cell r="L346">
            <v>21.568571405949399</v>
          </cell>
          <cell r="M346">
            <v>2432</v>
          </cell>
          <cell r="N346">
            <v>1.3095701314886099E-2</v>
          </cell>
          <cell r="O346">
            <v>1843</v>
          </cell>
          <cell r="P346">
            <v>20.420000000000002</v>
          </cell>
          <cell r="Q346">
            <v>305</v>
          </cell>
        </row>
        <row r="347">
          <cell r="B347" t="str">
            <v>BRUNSWICK 11062104</v>
          </cell>
          <cell r="C347">
            <v>152481106</v>
          </cell>
          <cell r="D347" t="str">
            <v>BRUNSWICK 1106</v>
          </cell>
          <cell r="E347">
            <v>2104</v>
          </cell>
          <cell r="F347" t="b">
            <v>0</v>
          </cell>
          <cell r="G347">
            <v>15810.275276165699</v>
          </cell>
          <cell r="H347">
            <v>15810.275276165699</v>
          </cell>
          <cell r="I347">
            <v>123</v>
          </cell>
          <cell r="J347">
            <v>2.0355881204567301E-4</v>
          </cell>
          <cell r="K347">
            <v>384</v>
          </cell>
          <cell r="L347">
            <v>19.3883242616647</v>
          </cell>
          <cell r="M347">
            <v>2456</v>
          </cell>
          <cell r="N347">
            <v>5.9168682059369399E-3</v>
          </cell>
          <cell r="O347">
            <v>2157</v>
          </cell>
          <cell r="P347">
            <v>38.880000000000003</v>
          </cell>
          <cell r="Q347">
            <v>194</v>
          </cell>
        </row>
        <row r="348">
          <cell r="B348" t="str">
            <v>BRUNSWICK 11062392</v>
          </cell>
          <cell r="C348">
            <v>152481106</v>
          </cell>
          <cell r="D348" t="str">
            <v>BRUNSWICK 1106</v>
          </cell>
          <cell r="E348">
            <v>2392</v>
          </cell>
          <cell r="F348" t="b">
            <v>0</v>
          </cell>
          <cell r="G348">
            <v>14284.080953279599</v>
          </cell>
          <cell r="H348">
            <v>9811.70739828757</v>
          </cell>
          <cell r="I348">
            <v>111</v>
          </cell>
          <cell r="J348">
            <v>1.8979778340852399E-4</v>
          </cell>
          <cell r="K348">
            <v>442</v>
          </cell>
          <cell r="L348">
            <v>159.92425550000399</v>
          </cell>
          <cell r="M348">
            <v>1747</v>
          </cell>
          <cell r="N348">
            <v>3.5999933740734E-2</v>
          </cell>
          <cell r="O348">
            <v>1354</v>
          </cell>
          <cell r="Q348">
            <v>2700</v>
          </cell>
        </row>
        <row r="349">
          <cell r="B349" t="str">
            <v>BRUNSWICK 11062416</v>
          </cell>
          <cell r="C349">
            <v>152481106</v>
          </cell>
          <cell r="D349" t="str">
            <v>BRUNSWICK 1106</v>
          </cell>
          <cell r="E349">
            <v>2416</v>
          </cell>
          <cell r="F349" t="b">
            <v>0</v>
          </cell>
          <cell r="G349">
            <v>50020.107411938698</v>
          </cell>
          <cell r="H349">
            <v>46563.032789263198</v>
          </cell>
          <cell r="I349">
            <v>360</v>
          </cell>
          <cell r="J349">
            <v>1.6423057323488799E-4</v>
          </cell>
          <cell r="K349">
            <v>598</v>
          </cell>
          <cell r="L349">
            <v>156.20164015706601</v>
          </cell>
          <cell r="M349">
            <v>1760</v>
          </cell>
          <cell r="N349">
            <v>2.154698167882E-2</v>
          </cell>
          <cell r="O349">
            <v>1638</v>
          </cell>
          <cell r="P349">
            <v>0.56000000000000005</v>
          </cell>
          <cell r="Q349">
            <v>863</v>
          </cell>
        </row>
        <row r="350">
          <cell r="B350" t="str">
            <v>BRUNSWICK 11062790</v>
          </cell>
          <cell r="C350">
            <v>152481106</v>
          </cell>
          <cell r="D350" t="str">
            <v>BRUNSWICK 1106</v>
          </cell>
          <cell r="E350">
            <v>2790</v>
          </cell>
          <cell r="F350" t="b">
            <v>0</v>
          </cell>
          <cell r="G350">
            <v>17696.041974909102</v>
          </cell>
          <cell r="H350">
            <v>16028.2028296156</v>
          </cell>
          <cell r="I350">
            <v>115</v>
          </cell>
          <cell r="J350">
            <v>1.4263803432581601E-4</v>
          </cell>
          <cell r="K350">
            <v>831</v>
          </cell>
          <cell r="L350">
            <v>967.50851380665199</v>
          </cell>
          <cell r="M350">
            <v>850</v>
          </cell>
          <cell r="N350">
            <v>0.109539684452027</v>
          </cell>
          <cell r="O350">
            <v>715</v>
          </cell>
          <cell r="P350">
            <v>0.18</v>
          </cell>
          <cell r="Q350">
            <v>1201</v>
          </cell>
        </row>
        <row r="351">
          <cell r="B351" t="str">
            <v>BRUNSWICK 11062796</v>
          </cell>
          <cell r="C351">
            <v>152481106</v>
          </cell>
          <cell r="D351" t="str">
            <v>BRUNSWICK 1106</v>
          </cell>
          <cell r="E351">
            <v>2796</v>
          </cell>
          <cell r="F351" t="b">
            <v>0</v>
          </cell>
          <cell r="G351">
            <v>31981.584631482201</v>
          </cell>
          <cell r="H351">
            <v>31981.584631482201</v>
          </cell>
          <cell r="I351">
            <v>253</v>
          </cell>
          <cell r="J351">
            <v>1.25825532406969E-4</v>
          </cell>
          <cell r="K351">
            <v>1081</v>
          </cell>
          <cell r="L351">
            <v>6.8298575513757598</v>
          </cell>
          <cell r="M351">
            <v>2691</v>
          </cell>
          <cell r="N351">
            <v>6.9507306558293702E-4</v>
          </cell>
          <cell r="O351">
            <v>2685</v>
          </cell>
          <cell r="P351">
            <v>44.5</v>
          </cell>
          <cell r="Q351">
            <v>159</v>
          </cell>
        </row>
        <row r="352">
          <cell r="B352" t="str">
            <v>BRUNSWICK 110633050</v>
          </cell>
          <cell r="C352">
            <v>152481106</v>
          </cell>
          <cell r="D352" t="str">
            <v>BRUNSWICK 1106</v>
          </cell>
          <cell r="E352">
            <v>33050</v>
          </cell>
          <cell r="F352" t="b">
            <v>0</v>
          </cell>
          <cell r="G352">
            <v>6143.4431819801903</v>
          </cell>
          <cell r="H352">
            <v>1793.1664287471799</v>
          </cell>
          <cell r="I352">
            <v>56</v>
          </cell>
          <cell r="J352">
            <v>1.9400403100787201E-4</v>
          </cell>
          <cell r="K352">
            <v>425</v>
          </cell>
          <cell r="L352">
            <v>9.4021319057436106</v>
          </cell>
          <cell r="M352">
            <v>2637</v>
          </cell>
          <cell r="N352">
            <v>1.6798507494517701E-3</v>
          </cell>
          <cell r="O352">
            <v>2524</v>
          </cell>
          <cell r="P352">
            <v>2.96</v>
          </cell>
          <cell r="Q352">
            <v>571</v>
          </cell>
        </row>
        <row r="353">
          <cell r="B353" t="str">
            <v>BRUNSWICK 11064639</v>
          </cell>
          <cell r="C353">
            <v>152481106</v>
          </cell>
          <cell r="D353" t="str">
            <v>BRUNSWICK 1106</v>
          </cell>
          <cell r="E353">
            <v>4639</v>
          </cell>
          <cell r="F353" t="b">
            <v>0</v>
          </cell>
          <cell r="G353">
            <v>5228.1954916165296</v>
          </cell>
          <cell r="H353">
            <v>5228.1954916165296</v>
          </cell>
          <cell r="I353">
            <v>44</v>
          </cell>
          <cell r="J353">
            <v>1.33545700588332E-4</v>
          </cell>
          <cell r="K353">
            <v>950</v>
          </cell>
          <cell r="L353">
            <v>1.1467009627731</v>
          </cell>
          <cell r="M353">
            <v>2885</v>
          </cell>
          <cell r="N353">
            <v>6.7887762482528798E-5</v>
          </cell>
          <cell r="O353">
            <v>2891</v>
          </cell>
          <cell r="P353">
            <v>1.36</v>
          </cell>
          <cell r="Q353">
            <v>680</v>
          </cell>
        </row>
        <row r="354">
          <cell r="B354" t="str">
            <v>BRUNSWICK 110651484</v>
          </cell>
          <cell r="C354">
            <v>152481106</v>
          </cell>
          <cell r="D354" t="str">
            <v>BRUNSWICK 1106</v>
          </cell>
          <cell r="E354">
            <v>51484</v>
          </cell>
          <cell r="F354" t="b">
            <v>0</v>
          </cell>
          <cell r="G354">
            <v>26385.539346272701</v>
          </cell>
          <cell r="H354">
            <v>24741.7274776798</v>
          </cell>
          <cell r="I354">
            <v>195</v>
          </cell>
          <cell r="J354">
            <v>1.4060395443289599E-4</v>
          </cell>
          <cell r="K354">
            <v>862</v>
          </cell>
          <cell r="L354">
            <v>372.49004942871801</v>
          </cell>
          <cell r="M354">
            <v>1333</v>
          </cell>
          <cell r="N354">
            <v>5.2211499523135398E-2</v>
          </cell>
          <cell r="O354">
            <v>1154</v>
          </cell>
          <cell r="P354">
            <v>0.17</v>
          </cell>
          <cell r="Q354">
            <v>1239</v>
          </cell>
        </row>
        <row r="355">
          <cell r="B355" t="str">
            <v>BRUNSWICK 110651486</v>
          </cell>
          <cell r="C355">
            <v>152481106</v>
          </cell>
          <cell r="D355" t="str">
            <v>BRUNSWICK 1106</v>
          </cell>
          <cell r="E355">
            <v>51486</v>
          </cell>
          <cell r="F355" t="b">
            <v>0</v>
          </cell>
          <cell r="G355">
            <v>91205.754856550993</v>
          </cell>
          <cell r="H355">
            <v>91205.754856550993</v>
          </cell>
          <cell r="I355">
            <v>656</v>
          </cell>
          <cell r="J355">
            <v>1.1964868160779601E-4</v>
          </cell>
          <cell r="K355">
            <v>1191</v>
          </cell>
          <cell r="L355">
            <v>123.461971979659</v>
          </cell>
          <cell r="M355">
            <v>1860</v>
          </cell>
          <cell r="N355">
            <v>1.47969537497073E-2</v>
          </cell>
          <cell r="O355">
            <v>1788</v>
          </cell>
          <cell r="P355">
            <v>90.93</v>
          </cell>
          <cell r="Q355">
            <v>31</v>
          </cell>
        </row>
        <row r="356">
          <cell r="B356" t="str">
            <v>BRUNSWICK 110663124</v>
          </cell>
          <cell r="C356">
            <v>152481106</v>
          </cell>
          <cell r="D356" t="str">
            <v>BRUNSWICK 1106</v>
          </cell>
          <cell r="E356">
            <v>63124</v>
          </cell>
          <cell r="F356" t="b">
            <v>0</v>
          </cell>
          <cell r="G356">
            <v>9481.8426619711099</v>
          </cell>
          <cell r="H356">
            <v>9481.8426619711099</v>
          </cell>
          <cell r="I356">
            <v>65</v>
          </cell>
          <cell r="J356">
            <v>2.1666671225550299E-4</v>
          </cell>
          <cell r="K356">
            <v>333</v>
          </cell>
          <cell r="L356">
            <v>31.876407512619799</v>
          </cell>
          <cell r="M356">
            <v>2329</v>
          </cell>
          <cell r="N356">
            <v>3.4763779321617802E-3</v>
          </cell>
          <cell r="O356">
            <v>2297</v>
          </cell>
          <cell r="P356">
            <v>31.64</v>
          </cell>
          <cell r="Q356">
            <v>228</v>
          </cell>
        </row>
        <row r="357">
          <cell r="B357" t="str">
            <v>BRUNSWICK 11067099</v>
          </cell>
          <cell r="C357">
            <v>152481106</v>
          </cell>
          <cell r="D357" t="str">
            <v>BRUNSWICK 1106</v>
          </cell>
          <cell r="E357">
            <v>7099</v>
          </cell>
          <cell r="F357" t="b">
            <v>0</v>
          </cell>
          <cell r="G357">
            <v>12439.4387175109</v>
          </cell>
          <cell r="H357">
            <v>12439.4387175109</v>
          </cell>
          <cell r="I357">
            <v>83</v>
          </cell>
          <cell r="J357">
            <v>1.15876189103077E-4</v>
          </cell>
          <cell r="K357">
            <v>1273</v>
          </cell>
          <cell r="L357">
            <v>664.39310703317005</v>
          </cell>
          <cell r="M357">
            <v>1047</v>
          </cell>
          <cell r="N357">
            <v>7.4793953212302006E-2</v>
          </cell>
          <cell r="O357">
            <v>939</v>
          </cell>
          <cell r="P357">
            <v>0.28000000000000003</v>
          </cell>
          <cell r="Q357">
            <v>1036</v>
          </cell>
        </row>
        <row r="358">
          <cell r="B358" t="str">
            <v>BRUNSWICK 1106CB</v>
          </cell>
          <cell r="C358">
            <v>152481106</v>
          </cell>
          <cell r="D358" t="str">
            <v>BRUNSWICK 1106</v>
          </cell>
          <cell r="E358" t="str">
            <v>CB</v>
          </cell>
          <cell r="F358" t="b">
            <v>0</v>
          </cell>
          <cell r="G358">
            <v>14175.8366946765</v>
          </cell>
          <cell r="H358">
            <v>14066.708406735201</v>
          </cell>
          <cell r="I358">
            <v>88</v>
          </cell>
          <cell r="J358">
            <v>2.6506983819920302E-4</v>
          </cell>
          <cell r="K358">
            <v>182</v>
          </cell>
          <cell r="L358">
            <v>43.817328174665398</v>
          </cell>
          <cell r="M358">
            <v>2253</v>
          </cell>
          <cell r="N358">
            <v>1.21619898846623E-2</v>
          </cell>
          <cell r="O358">
            <v>1876</v>
          </cell>
          <cell r="P358">
            <v>27.97</v>
          </cell>
          <cell r="Q358">
            <v>254</v>
          </cell>
        </row>
        <row r="359">
          <cell r="B359" t="str">
            <v>BRUNSWICK 1107357568</v>
          </cell>
          <cell r="C359">
            <v>152481107</v>
          </cell>
          <cell r="D359" t="str">
            <v>BRUNSWICK 1107</v>
          </cell>
          <cell r="E359">
            <v>357568</v>
          </cell>
          <cell r="F359" t="b">
            <v>0</v>
          </cell>
          <cell r="G359">
            <v>3842.9954114248899</v>
          </cell>
          <cell r="H359">
            <v>1927.7671347953899</v>
          </cell>
          <cell r="I359">
            <v>35</v>
          </cell>
          <cell r="J359">
            <v>2.4620563199277901E-4</v>
          </cell>
          <cell r="K359">
            <v>230</v>
          </cell>
          <cell r="L359">
            <v>6.5662606307669694E-2</v>
          </cell>
          <cell r="M359">
            <v>3320</v>
          </cell>
          <cell r="N359">
            <v>1.6214270094358301E-5</v>
          </cell>
          <cell r="O359">
            <v>2994</v>
          </cell>
          <cell r="Q359">
            <v>2905</v>
          </cell>
        </row>
        <row r="360">
          <cell r="B360" t="str">
            <v>BRUNSWICK 110750008</v>
          </cell>
          <cell r="C360">
            <v>152481107</v>
          </cell>
          <cell r="D360" t="str">
            <v>BRUNSWICK 1107</v>
          </cell>
          <cell r="E360">
            <v>50008</v>
          </cell>
          <cell r="F360" t="b">
            <v>0</v>
          </cell>
          <cell r="G360">
            <v>7897.7177843703003</v>
          </cell>
          <cell r="H360">
            <v>1828.85078242343</v>
          </cell>
          <cell r="I360">
            <v>64</v>
          </cell>
          <cell r="J360">
            <v>2.35092207788056E-4</v>
          </cell>
          <cell r="K360">
            <v>263</v>
          </cell>
          <cell r="L360">
            <v>6.5350230248026997E-2</v>
          </cell>
          <cell r="M360">
            <v>3436</v>
          </cell>
          <cell r="N360">
            <v>1.53765461650899E-5</v>
          </cell>
          <cell r="O360">
            <v>3004</v>
          </cell>
          <cell r="P360">
            <v>0.7</v>
          </cell>
          <cell r="Q360">
            <v>810</v>
          </cell>
        </row>
        <row r="361">
          <cell r="B361" t="str">
            <v>BRUNSWICK 110750010</v>
          </cell>
          <cell r="C361">
            <v>152481107</v>
          </cell>
          <cell r="D361" t="str">
            <v>BRUNSWICK 1107</v>
          </cell>
          <cell r="E361">
            <v>50010</v>
          </cell>
          <cell r="F361" t="b">
            <v>0</v>
          </cell>
          <cell r="G361">
            <v>15036.104833027201</v>
          </cell>
          <cell r="H361">
            <v>9841.1125586253293</v>
          </cell>
          <cell r="I361">
            <v>117</v>
          </cell>
          <cell r="J361">
            <v>2.4301668410274001E-4</v>
          </cell>
          <cell r="K361">
            <v>239</v>
          </cell>
          <cell r="L361">
            <v>56.603073917849599</v>
          </cell>
          <cell r="M361">
            <v>2173</v>
          </cell>
          <cell r="N361">
            <v>9.4406371348538295E-3</v>
          </cell>
          <cell r="O361">
            <v>1987</v>
          </cell>
          <cell r="P361">
            <v>18.420000000000002</v>
          </cell>
          <cell r="Q361">
            <v>323</v>
          </cell>
        </row>
        <row r="362">
          <cell r="B362" t="str">
            <v>BRUNSWICK 110765574</v>
          </cell>
          <cell r="C362">
            <v>152481107</v>
          </cell>
          <cell r="D362" t="str">
            <v>BRUNSWICK 1107</v>
          </cell>
          <cell r="E362">
            <v>65574</v>
          </cell>
          <cell r="F362" t="b">
            <v>1</v>
          </cell>
          <cell r="G362">
            <v>2814.0897243282302</v>
          </cell>
          <cell r="H362">
            <v>939.52679536915002</v>
          </cell>
          <cell r="I362">
            <v>23</v>
          </cell>
          <cell r="J362">
            <v>3.0901372773097001E-4</v>
          </cell>
          <cell r="K362">
            <v>119</v>
          </cell>
          <cell r="L362">
            <v>33.130955462690999</v>
          </cell>
          <cell r="M362">
            <v>2321</v>
          </cell>
          <cell r="N362">
            <v>1.47928928893579E-2</v>
          </cell>
          <cell r="O362">
            <v>1789</v>
          </cell>
          <cell r="P362">
            <v>0.01</v>
          </cell>
          <cell r="Q362">
            <v>2582</v>
          </cell>
        </row>
        <row r="363">
          <cell r="B363" t="str">
            <v>BRUNSWICK 1107969778</v>
          </cell>
          <cell r="C363">
            <v>152481107</v>
          </cell>
          <cell r="D363" t="str">
            <v>BRUNSWICK 1107</v>
          </cell>
          <cell r="E363">
            <v>969778</v>
          </cell>
          <cell r="F363" t="b">
            <v>0</v>
          </cell>
          <cell r="G363">
            <v>1070.97860316468</v>
          </cell>
          <cell r="H363">
            <v>1070.97860316468</v>
          </cell>
          <cell r="I363">
            <v>9</v>
          </cell>
          <cell r="J363">
            <v>4.29827221927957E-4</v>
          </cell>
          <cell r="K363">
            <v>59</v>
          </cell>
          <cell r="L363">
            <v>6.6431531992944007E-2</v>
          </cell>
          <cell r="M363">
            <v>3004</v>
          </cell>
          <cell r="N363">
            <v>2.8554080844945299E-5</v>
          </cell>
          <cell r="O363">
            <v>2942</v>
          </cell>
          <cell r="Q363">
            <v>3193</v>
          </cell>
        </row>
        <row r="364">
          <cell r="B364" t="str">
            <v>BRUNSWICK 11102664</v>
          </cell>
          <cell r="C364">
            <v>152481110</v>
          </cell>
          <cell r="D364" t="str">
            <v>BRUNSWICK 1110</v>
          </cell>
          <cell r="E364">
            <v>2664</v>
          </cell>
          <cell r="F364" t="b">
            <v>0</v>
          </cell>
          <cell r="G364">
            <v>17552.767365555701</v>
          </cell>
          <cell r="H364">
            <v>12910.890212755299</v>
          </cell>
          <cell r="I364">
            <v>132</v>
          </cell>
          <cell r="J364">
            <v>1.9724163095593799E-4</v>
          </cell>
          <cell r="K364">
            <v>409</v>
          </cell>
          <cell r="L364">
            <v>283.816063433674</v>
          </cell>
          <cell r="M364">
            <v>1468</v>
          </cell>
          <cell r="N364">
            <v>6.6184734116711302E-2</v>
          </cell>
          <cell r="O364">
            <v>1011</v>
          </cell>
          <cell r="P364">
            <v>7.85</v>
          </cell>
          <cell r="Q364">
            <v>440</v>
          </cell>
        </row>
        <row r="365">
          <cell r="B365" t="str">
            <v>BRUNSWICK 11103907</v>
          </cell>
          <cell r="C365">
            <v>152481110</v>
          </cell>
          <cell r="D365" t="str">
            <v>BRUNSWICK 1110</v>
          </cell>
          <cell r="E365">
            <v>3907</v>
          </cell>
          <cell r="F365" t="b">
            <v>0</v>
          </cell>
          <cell r="G365">
            <v>1437.9091016085399</v>
          </cell>
          <cell r="H365">
            <v>1437.9091016085399</v>
          </cell>
          <cell r="I365">
            <v>16</v>
          </cell>
          <cell r="J365">
            <v>4.7789134532649698E-4</v>
          </cell>
          <cell r="K365">
            <v>39</v>
          </cell>
          <cell r="L365">
            <v>6.6431531992944007E-2</v>
          </cell>
          <cell r="M365">
            <v>3009</v>
          </cell>
          <cell r="N365">
            <v>3.1747054196208203E-5</v>
          </cell>
          <cell r="O365">
            <v>2928</v>
          </cell>
          <cell r="P365">
            <v>0.56000000000000005</v>
          </cell>
          <cell r="Q365">
            <v>864</v>
          </cell>
        </row>
        <row r="366">
          <cell r="B366" t="str">
            <v>BRUNSWICK 111061602</v>
          </cell>
          <cell r="C366">
            <v>152481110</v>
          </cell>
          <cell r="D366" t="str">
            <v>BRUNSWICK 1110</v>
          </cell>
          <cell r="E366">
            <v>61602</v>
          </cell>
          <cell r="F366" t="b">
            <v>0</v>
          </cell>
          <cell r="G366">
            <v>17974.447003036101</v>
          </cell>
          <cell r="H366">
            <v>15796.3436292729</v>
          </cell>
          <cell r="I366">
            <v>137</v>
          </cell>
          <cell r="J366">
            <v>2.77321262616089E-4</v>
          </cell>
          <cell r="K366">
            <v>164</v>
          </cell>
          <cell r="L366">
            <v>142.02100699983501</v>
          </cell>
          <cell r="M366">
            <v>1802</v>
          </cell>
          <cell r="N366">
            <v>1.46480884305373E-2</v>
          </cell>
          <cell r="O366">
            <v>1796</v>
          </cell>
          <cell r="P366">
            <v>0.06</v>
          </cell>
          <cell r="Q366">
            <v>1802</v>
          </cell>
        </row>
        <row r="367">
          <cell r="B367" t="str">
            <v>BRUNSWICK 111063100</v>
          </cell>
          <cell r="C367">
            <v>152481110</v>
          </cell>
          <cell r="D367" t="str">
            <v>BRUNSWICK 1110</v>
          </cell>
          <cell r="E367">
            <v>63100</v>
          </cell>
          <cell r="F367" t="b">
            <v>0</v>
          </cell>
          <cell r="G367">
            <v>6591.88857967678</v>
          </cell>
          <cell r="H367">
            <v>6591.88857967678</v>
          </cell>
          <cell r="I367">
            <v>55</v>
          </cell>
          <cell r="J367">
            <v>2.3383725479520301E-4</v>
          </cell>
          <cell r="K367">
            <v>266</v>
          </cell>
          <cell r="L367">
            <v>1.3627548489291299</v>
          </cell>
          <cell r="M367">
            <v>2873</v>
          </cell>
          <cell r="N367">
            <v>2.3674665496864101E-4</v>
          </cell>
          <cell r="O367">
            <v>2817</v>
          </cell>
          <cell r="P367">
            <v>5.34</v>
          </cell>
          <cell r="Q367">
            <v>490</v>
          </cell>
        </row>
        <row r="368">
          <cell r="B368" t="str">
            <v>BRUNSWICK 111094368</v>
          </cell>
          <cell r="C368">
            <v>152481110</v>
          </cell>
          <cell r="D368" t="str">
            <v>BRUNSWICK 1110</v>
          </cell>
          <cell r="E368">
            <v>94368</v>
          </cell>
          <cell r="F368" t="b">
            <v>1</v>
          </cell>
          <cell r="G368">
            <v>768.93027621873705</v>
          </cell>
          <cell r="H368">
            <v>596.382088524192</v>
          </cell>
          <cell r="I368">
            <v>9</v>
          </cell>
          <cell r="J368">
            <v>4.8312357375834798E-4</v>
          </cell>
          <cell r="K368">
            <v>36</v>
          </cell>
          <cell r="L368">
            <v>49.287486481823201</v>
          </cell>
          <cell r="M368">
            <v>2214</v>
          </cell>
          <cell r="N368">
            <v>4.0352507905369699E-3</v>
          </cell>
          <cell r="O368">
            <v>2254</v>
          </cell>
          <cell r="P368">
            <v>0.02</v>
          </cell>
          <cell r="Q368">
            <v>2527</v>
          </cell>
        </row>
        <row r="369">
          <cell r="B369" t="str">
            <v>BRUNSWICK 111095576</v>
          </cell>
          <cell r="C369">
            <v>152481110</v>
          </cell>
          <cell r="D369" t="str">
            <v>BRUNSWICK 1110</v>
          </cell>
          <cell r="E369">
            <v>95576</v>
          </cell>
          <cell r="F369" t="b">
            <v>1</v>
          </cell>
          <cell r="G369">
            <v>3539.5091631632899</v>
          </cell>
          <cell r="H369">
            <v>0</v>
          </cell>
          <cell r="I369">
            <v>30</v>
          </cell>
          <cell r="J369">
            <v>2.41985083838309E-4</v>
          </cell>
          <cell r="K369">
            <v>240</v>
          </cell>
          <cell r="L369">
            <v>6.5149989184153406E-2</v>
          </cell>
          <cell r="M369">
            <v>3580</v>
          </cell>
          <cell r="N369">
            <v>1.57653255947923E-5</v>
          </cell>
          <cell r="O369">
            <v>2999</v>
          </cell>
          <cell r="P369">
            <v>0.02</v>
          </cell>
          <cell r="Q369">
            <v>2521</v>
          </cell>
        </row>
        <row r="370">
          <cell r="B370" t="str">
            <v>BRUNSWICK 1110CB</v>
          </cell>
          <cell r="C370">
            <v>152481110</v>
          </cell>
          <cell r="D370" t="str">
            <v>BRUNSWICK 1110</v>
          </cell>
          <cell r="E370" t="str">
            <v>CB</v>
          </cell>
          <cell r="F370" t="b">
            <v>1</v>
          </cell>
          <cell r="G370">
            <v>2754.80332214701</v>
          </cell>
          <cell r="H370">
            <v>5.4991554037936003</v>
          </cell>
          <cell r="I370">
            <v>26</v>
          </cell>
          <cell r="J370">
            <v>2.0884290307339299E-4</v>
          </cell>
          <cell r="K370">
            <v>366</v>
          </cell>
          <cell r="L370">
            <v>19.534085039744699</v>
          </cell>
          <cell r="M370">
            <v>2454</v>
          </cell>
          <cell r="N370">
            <v>6.4174244736114302E-3</v>
          </cell>
          <cell r="O370">
            <v>2134</v>
          </cell>
          <cell r="P370">
            <v>0.01</v>
          </cell>
          <cell r="Q370">
            <v>2596</v>
          </cell>
        </row>
        <row r="371">
          <cell r="B371" t="str">
            <v>BRYANT 0402CB</v>
          </cell>
          <cell r="C371">
            <v>13090402</v>
          </cell>
          <cell r="D371" t="str">
            <v>BRYANT 0402</v>
          </cell>
          <cell r="E371" t="str">
            <v>CB</v>
          </cell>
          <cell r="F371" t="b">
            <v>0</v>
          </cell>
          <cell r="G371">
            <v>12456.829174205101</v>
          </cell>
          <cell r="H371">
            <v>3768.0520367072299</v>
          </cell>
          <cell r="I371">
            <v>111</v>
          </cell>
          <cell r="J371">
            <v>9.7025586635252406E-5</v>
          </cell>
          <cell r="K371">
            <v>1713</v>
          </cell>
          <cell r="L371">
            <v>9.3335846504019795</v>
          </cell>
          <cell r="M371">
            <v>2638</v>
          </cell>
          <cell r="N371">
            <v>8.5884449992668901E-4</v>
          </cell>
          <cell r="O371">
            <v>2660</v>
          </cell>
          <cell r="P371">
            <v>0.34</v>
          </cell>
          <cell r="Q371">
            <v>979</v>
          </cell>
        </row>
        <row r="372">
          <cell r="B372" t="str">
            <v>BUCKS CREEK 1101CB</v>
          </cell>
          <cell r="C372">
            <v>102211101</v>
          </cell>
          <cell r="D372" t="str">
            <v>BUCKS CREEK 1101</v>
          </cell>
          <cell r="E372" t="str">
            <v>CB</v>
          </cell>
          <cell r="F372" t="b">
            <v>0</v>
          </cell>
          <cell r="G372">
            <v>7724.4676115376296</v>
          </cell>
          <cell r="H372">
            <v>7724.4676115376296</v>
          </cell>
          <cell r="I372">
            <v>13</v>
          </cell>
          <cell r="J372">
            <v>2.6517813967075199E-4</v>
          </cell>
          <cell r="K372">
            <v>181</v>
          </cell>
          <cell r="L372">
            <v>3512.0536064088901</v>
          </cell>
          <cell r="M372">
            <v>200</v>
          </cell>
          <cell r="N372">
            <v>0.73491290778294305</v>
          </cell>
          <cell r="O372">
            <v>11</v>
          </cell>
          <cell r="P372">
            <v>0.13</v>
          </cell>
          <cell r="Q372">
            <v>1365</v>
          </cell>
        </row>
        <row r="373">
          <cell r="B373" t="str">
            <v>BUCKS CREEK 1102CB</v>
          </cell>
          <cell r="C373">
            <v>102211102</v>
          </cell>
          <cell r="D373" t="str">
            <v>BUCKS CREEK 1102</v>
          </cell>
          <cell r="E373" t="str">
            <v>CB</v>
          </cell>
          <cell r="F373" t="b">
            <v>0</v>
          </cell>
          <cell r="G373">
            <v>47599.349502236597</v>
          </cell>
          <cell r="H373">
            <v>47599.349502236597</v>
          </cell>
          <cell r="I373">
            <v>121</v>
          </cell>
          <cell r="J373">
            <v>1.49573285008435E-4</v>
          </cell>
          <cell r="K373">
            <v>743</v>
          </cell>
          <cell r="L373">
            <v>1075.8895642520399</v>
          </cell>
          <cell r="M373">
            <v>783</v>
          </cell>
          <cell r="N373">
            <v>0.187299695435723</v>
          </cell>
          <cell r="O373">
            <v>378</v>
          </cell>
          <cell r="P373">
            <v>7.0000000000000007E-2</v>
          </cell>
          <cell r="Q373">
            <v>1739</v>
          </cell>
        </row>
        <row r="374">
          <cell r="B374" t="str">
            <v>BUCKS CREEK 11031131</v>
          </cell>
          <cell r="C374">
            <v>102211103</v>
          </cell>
          <cell r="D374" t="str">
            <v>BUCKS CREEK 1103</v>
          </cell>
          <cell r="E374">
            <v>1131</v>
          </cell>
          <cell r="F374" t="b">
            <v>0</v>
          </cell>
          <cell r="G374">
            <v>4424.1223621628196</v>
          </cell>
          <cell r="H374">
            <v>4424.1223621628196</v>
          </cell>
          <cell r="I374">
            <v>33</v>
          </cell>
          <cell r="J374">
            <v>8.1427292627722595E-5</v>
          </cell>
          <cell r="K374">
            <v>2171</v>
          </cell>
          <cell r="L374">
            <v>131.83385686036399</v>
          </cell>
          <cell r="M374">
            <v>1842</v>
          </cell>
          <cell r="N374">
            <v>9.8607320533707302E-3</v>
          </cell>
          <cell r="O374">
            <v>1965</v>
          </cell>
          <cell r="P374">
            <v>3.76</v>
          </cell>
          <cell r="Q374">
            <v>535</v>
          </cell>
        </row>
        <row r="375">
          <cell r="B375" t="str">
            <v>BUCKS CREEK 1103338520</v>
          </cell>
          <cell r="C375">
            <v>102211103</v>
          </cell>
          <cell r="D375" t="str">
            <v>BUCKS CREEK 1103</v>
          </cell>
          <cell r="E375">
            <v>338520</v>
          </cell>
          <cell r="F375" t="b">
            <v>0</v>
          </cell>
          <cell r="G375">
            <v>12890.8329059482</v>
          </cell>
          <cell r="H375">
            <v>12653.363107884799</v>
          </cell>
          <cell r="I375">
            <v>87</v>
          </cell>
          <cell r="J375">
            <v>1.12057097940959E-4</v>
          </cell>
          <cell r="K375">
            <v>1367</v>
          </cell>
          <cell r="L375">
            <v>151.46617542273401</v>
          </cell>
          <cell r="M375">
            <v>1772</v>
          </cell>
          <cell r="N375">
            <v>1.5412081272417E-2</v>
          </cell>
          <cell r="O375">
            <v>1772</v>
          </cell>
          <cell r="Q375">
            <v>2737</v>
          </cell>
        </row>
        <row r="376">
          <cell r="B376" t="str">
            <v>BUCKS CREEK 1103CB</v>
          </cell>
          <cell r="C376">
            <v>102211103</v>
          </cell>
          <cell r="D376" t="str">
            <v>BUCKS CREEK 1103</v>
          </cell>
          <cell r="E376" t="str">
            <v>CB</v>
          </cell>
          <cell r="F376" t="b">
            <v>0</v>
          </cell>
          <cell r="G376">
            <v>3707.9332212619402</v>
          </cell>
          <cell r="H376">
            <v>3707.9332212619402</v>
          </cell>
          <cell r="I376">
            <v>31</v>
          </cell>
          <cell r="J376">
            <v>9.4014829041303203E-5</v>
          </cell>
          <cell r="K376">
            <v>1792</v>
          </cell>
          <cell r="L376">
            <v>320.488638301327</v>
          </cell>
          <cell r="M376">
            <v>1415</v>
          </cell>
          <cell r="N376">
            <v>2.06229903251232E-2</v>
          </cell>
          <cell r="O376">
            <v>1658</v>
          </cell>
          <cell r="P376">
            <v>0.11</v>
          </cell>
          <cell r="Q376">
            <v>1444</v>
          </cell>
        </row>
        <row r="377">
          <cell r="B377" t="str">
            <v>BUELLTON 110163389</v>
          </cell>
          <cell r="C377">
            <v>183041101</v>
          </cell>
          <cell r="D377" t="str">
            <v>BUELLTON 1101</v>
          </cell>
          <cell r="E377">
            <v>63389</v>
          </cell>
          <cell r="F377" t="b">
            <v>1</v>
          </cell>
          <cell r="G377">
            <v>391.593802992306</v>
          </cell>
          <cell r="H377">
            <v>0</v>
          </cell>
          <cell r="I377">
            <v>2</v>
          </cell>
          <cell r="J377">
            <v>1.02866579254623E-4</v>
          </cell>
          <cell r="K377">
            <v>1573</v>
          </cell>
          <cell r="L377">
            <v>1639.51292017474</v>
          </cell>
          <cell r="M377">
            <v>547</v>
          </cell>
          <cell r="N377">
            <v>0.23935453895454101</v>
          </cell>
          <cell r="O377">
            <v>238</v>
          </cell>
          <cell r="Q377">
            <v>3610</v>
          </cell>
        </row>
        <row r="378">
          <cell r="B378" t="str">
            <v>BUELLTON 1101Y06</v>
          </cell>
          <cell r="C378">
            <v>183041101</v>
          </cell>
          <cell r="D378" t="str">
            <v>BUELLTON 1101</v>
          </cell>
          <cell r="E378" t="str">
            <v>Y06</v>
          </cell>
          <cell r="F378" t="b">
            <v>0</v>
          </cell>
          <cell r="G378">
            <v>63281.543002806597</v>
          </cell>
          <cell r="H378">
            <v>48855.540468694096</v>
          </cell>
          <cell r="I378">
            <v>304</v>
          </cell>
          <cell r="J378">
            <v>5.4902725897439499E-5</v>
          </cell>
          <cell r="K378">
            <v>2917</v>
          </cell>
          <cell r="L378">
            <v>2033.29848806001</v>
          </cell>
          <cell r="M378">
            <v>450</v>
          </cell>
          <cell r="N378">
            <v>0.123168624417196</v>
          </cell>
          <cell r="O378">
            <v>631</v>
          </cell>
          <cell r="P378">
            <v>0.14000000000000001</v>
          </cell>
          <cell r="Q378">
            <v>1333</v>
          </cell>
        </row>
        <row r="379">
          <cell r="B379" t="str">
            <v>BUELLTON 1101Y26</v>
          </cell>
          <cell r="C379">
            <v>183041101</v>
          </cell>
          <cell r="D379" t="str">
            <v>BUELLTON 1101</v>
          </cell>
          <cell r="E379" t="str">
            <v>Y26</v>
          </cell>
          <cell r="F379" t="b">
            <v>0</v>
          </cell>
          <cell r="G379">
            <v>25494.260787046798</v>
          </cell>
          <cell r="H379">
            <v>24411.1884976908</v>
          </cell>
          <cell r="I379">
            <v>133</v>
          </cell>
          <cell r="J379">
            <v>6.2260178170757895E-5</v>
          </cell>
          <cell r="K379">
            <v>2711</v>
          </cell>
          <cell r="L379">
            <v>2408.6487921653302</v>
          </cell>
          <cell r="M379">
            <v>359</v>
          </cell>
          <cell r="N379">
            <v>0.14946248723234601</v>
          </cell>
          <cell r="O379">
            <v>517</v>
          </cell>
          <cell r="P379">
            <v>0.08</v>
          </cell>
          <cell r="Q379">
            <v>1586</v>
          </cell>
        </row>
        <row r="380">
          <cell r="B380" t="str">
            <v>BUELLTON 1101Y36</v>
          </cell>
          <cell r="C380">
            <v>183041101</v>
          </cell>
          <cell r="D380" t="str">
            <v>BUELLTON 1101</v>
          </cell>
          <cell r="E380" t="str">
            <v>Y36</v>
          </cell>
          <cell r="F380" t="b">
            <v>0</v>
          </cell>
          <cell r="G380">
            <v>73124.889559635296</v>
          </cell>
          <cell r="H380">
            <v>60717.956072147099</v>
          </cell>
          <cell r="I380">
            <v>283</v>
          </cell>
          <cell r="J380">
            <v>4.3103652096043698E-5</v>
          </cell>
          <cell r="K380">
            <v>3207</v>
          </cell>
          <cell r="L380">
            <v>946.81146328519799</v>
          </cell>
          <cell r="M380">
            <v>863</v>
          </cell>
          <cell r="N380">
            <v>4.0799853846211202E-2</v>
          </cell>
          <cell r="O380">
            <v>1290</v>
          </cell>
          <cell r="P380">
            <v>0.14000000000000001</v>
          </cell>
          <cell r="Q380">
            <v>1321</v>
          </cell>
        </row>
        <row r="381">
          <cell r="B381" t="str">
            <v>BUELLTON 1102CB</v>
          </cell>
          <cell r="C381">
            <v>183041102</v>
          </cell>
          <cell r="D381" t="str">
            <v>BUELLTON 1102</v>
          </cell>
          <cell r="E381" t="str">
            <v>CB</v>
          </cell>
          <cell r="F381" t="b">
            <v>0</v>
          </cell>
          <cell r="G381">
            <v>22068.391470616101</v>
          </cell>
          <cell r="H381">
            <v>11401.8921074562</v>
          </cell>
          <cell r="I381">
            <v>148</v>
          </cell>
          <cell r="J381">
            <v>5.6901416772578501E-5</v>
          </cell>
          <cell r="K381">
            <v>2864</v>
          </cell>
          <cell r="L381">
            <v>2830.5358888936298</v>
          </cell>
          <cell r="M381">
            <v>295</v>
          </cell>
          <cell r="N381">
            <v>0.21084792732104801</v>
          </cell>
          <cell r="O381">
            <v>307</v>
          </cell>
          <cell r="P381">
            <v>1.66</v>
          </cell>
          <cell r="Q381">
            <v>655</v>
          </cell>
        </row>
        <row r="382">
          <cell r="B382" t="str">
            <v>BUELLTON 1102Y50</v>
          </cell>
          <cell r="C382">
            <v>183041102</v>
          </cell>
          <cell r="D382" t="str">
            <v>BUELLTON 1102</v>
          </cell>
          <cell r="E382" t="str">
            <v>Y50</v>
          </cell>
          <cell r="F382" t="b">
            <v>0</v>
          </cell>
          <cell r="G382">
            <v>20651.345989948699</v>
          </cell>
          <cell r="H382">
            <v>17101.0403474136</v>
          </cell>
          <cell r="I382">
            <v>147</v>
          </cell>
          <cell r="J382">
            <v>6.6430479177616205E-5</v>
          </cell>
          <cell r="K382">
            <v>2578</v>
          </cell>
          <cell r="L382">
            <v>3157.5996568778201</v>
          </cell>
          <cell r="M382">
            <v>246</v>
          </cell>
          <cell r="N382">
            <v>0.22624012976813501</v>
          </cell>
          <cell r="O382">
            <v>269</v>
          </cell>
          <cell r="P382">
            <v>4.2300000000000004</v>
          </cell>
          <cell r="Q382">
            <v>523</v>
          </cell>
        </row>
        <row r="383">
          <cell r="B383" t="str">
            <v>BURNEY 11011322</v>
          </cell>
          <cell r="C383">
            <v>103311101</v>
          </cell>
          <cell r="D383" t="str">
            <v>BURNEY 1101</v>
          </cell>
          <cell r="E383">
            <v>1322</v>
          </cell>
          <cell r="F383" t="b">
            <v>0</v>
          </cell>
          <cell r="G383">
            <v>30035.9016724785</v>
          </cell>
          <cell r="H383">
            <v>25851.068836346702</v>
          </cell>
          <cell r="I383">
            <v>81</v>
          </cell>
          <cell r="J383">
            <v>4.4701509924887801E-5</v>
          </cell>
          <cell r="K383">
            <v>3169</v>
          </cell>
          <cell r="L383">
            <v>378.03608951931898</v>
          </cell>
          <cell r="M383">
            <v>1324</v>
          </cell>
          <cell r="N383">
            <v>1.35102090226983E-2</v>
          </cell>
          <cell r="O383">
            <v>1831</v>
          </cell>
          <cell r="P383">
            <v>0.03</v>
          </cell>
          <cell r="Q383">
            <v>2289</v>
          </cell>
        </row>
        <row r="384">
          <cell r="B384" t="str">
            <v>BURNEY 11011340</v>
          </cell>
          <cell r="C384">
            <v>103311101</v>
          </cell>
          <cell r="D384" t="str">
            <v>BURNEY 1101</v>
          </cell>
          <cell r="E384">
            <v>1340</v>
          </cell>
          <cell r="F384" t="b">
            <v>0</v>
          </cell>
          <cell r="G384">
            <v>28996.527299782399</v>
          </cell>
          <cell r="H384">
            <v>28996.527299782399</v>
          </cell>
          <cell r="I384">
            <v>144</v>
          </cell>
          <cell r="J384">
            <v>3.4760571468364599E-5</v>
          </cell>
          <cell r="K384">
            <v>3354</v>
          </cell>
          <cell r="L384">
            <v>286.63552704624499</v>
          </cell>
          <cell r="M384">
            <v>1466</v>
          </cell>
          <cell r="N384">
            <v>7.7101170928867398E-3</v>
          </cell>
          <cell r="O384">
            <v>2059</v>
          </cell>
          <cell r="P384">
            <v>0.06</v>
          </cell>
          <cell r="Q384">
            <v>1820</v>
          </cell>
        </row>
        <row r="385">
          <cell r="B385" t="str">
            <v>BURNEY 11011358</v>
          </cell>
          <cell r="C385">
            <v>103311101</v>
          </cell>
          <cell r="D385" t="str">
            <v>BURNEY 1101</v>
          </cell>
          <cell r="E385">
            <v>1358</v>
          </cell>
          <cell r="F385" t="b">
            <v>0</v>
          </cell>
          <cell r="G385">
            <v>15167.578469292401</v>
          </cell>
          <cell r="H385">
            <v>13566.124121778599</v>
          </cell>
          <cell r="I385">
            <v>51</v>
          </cell>
          <cell r="J385">
            <v>5.9055399674434698E-5</v>
          </cell>
          <cell r="K385">
            <v>2804</v>
          </cell>
          <cell r="L385">
            <v>689.22888415311695</v>
          </cell>
          <cell r="M385">
            <v>1031</v>
          </cell>
          <cell r="N385">
            <v>3.5573755791528598E-2</v>
          </cell>
          <cell r="O385">
            <v>1362</v>
          </cell>
          <cell r="P385">
            <v>0.06</v>
          </cell>
          <cell r="Q385">
            <v>1890</v>
          </cell>
        </row>
        <row r="386">
          <cell r="B386" t="str">
            <v>BURNEY 11012402</v>
          </cell>
          <cell r="C386">
            <v>103311101</v>
          </cell>
          <cell r="D386" t="str">
            <v>BURNEY 1101</v>
          </cell>
          <cell r="E386">
            <v>2402</v>
          </cell>
          <cell r="F386" t="b">
            <v>0</v>
          </cell>
          <cell r="G386">
            <v>6035.4638913243798</v>
          </cell>
          <cell r="H386">
            <v>2411.6802193677299</v>
          </cell>
          <cell r="I386">
            <v>18</v>
          </cell>
          <cell r="J386">
            <v>6.5093363648176995E-5</v>
          </cell>
          <cell r="K386">
            <v>2608</v>
          </cell>
          <cell r="L386">
            <v>759.03842359633995</v>
          </cell>
          <cell r="M386">
            <v>966</v>
          </cell>
          <cell r="N386">
            <v>4.7352993997646899E-2</v>
          </cell>
          <cell r="O386">
            <v>1205</v>
          </cell>
          <cell r="P386">
            <v>0.04</v>
          </cell>
          <cell r="Q386">
            <v>2096</v>
          </cell>
        </row>
        <row r="387">
          <cell r="B387" t="str">
            <v>BURNEY 110145984</v>
          </cell>
          <cell r="C387">
            <v>103311101</v>
          </cell>
          <cell r="D387" t="str">
            <v>BURNEY 1101</v>
          </cell>
          <cell r="E387">
            <v>45984</v>
          </cell>
          <cell r="F387" t="b">
            <v>0</v>
          </cell>
          <cell r="G387">
            <v>7772.9196611447996</v>
          </cell>
          <cell r="H387">
            <v>7772.9196611447996</v>
          </cell>
          <cell r="I387">
            <v>68</v>
          </cell>
          <cell r="J387">
            <v>5.78522999068595E-5</v>
          </cell>
          <cell r="K387">
            <v>2840</v>
          </cell>
          <cell r="L387">
            <v>4.9584579309538599</v>
          </cell>
          <cell r="M387">
            <v>2756</v>
          </cell>
          <cell r="N387">
            <v>4.6238068466385998E-4</v>
          </cell>
          <cell r="O387">
            <v>2742</v>
          </cell>
          <cell r="P387">
            <v>0.06</v>
          </cell>
          <cell r="Q387">
            <v>1809</v>
          </cell>
        </row>
        <row r="388">
          <cell r="B388" t="str">
            <v>BURNEY 11019042</v>
          </cell>
          <cell r="C388">
            <v>103311101</v>
          </cell>
          <cell r="D388" t="str">
            <v>BURNEY 1101</v>
          </cell>
          <cell r="E388">
            <v>9042</v>
          </cell>
          <cell r="F388" t="b">
            <v>0</v>
          </cell>
          <cell r="G388">
            <v>5080.79207807478</v>
          </cell>
          <cell r="H388">
            <v>5080.79207807478</v>
          </cell>
          <cell r="I388">
            <v>31</v>
          </cell>
          <cell r="J388">
            <v>4.1886932869543201E-5</v>
          </cell>
          <cell r="K388">
            <v>3227</v>
          </cell>
          <cell r="L388">
            <v>82.847629985734301</v>
          </cell>
          <cell r="M388">
            <v>2036</v>
          </cell>
          <cell r="N388">
            <v>3.69955763907071E-3</v>
          </cell>
          <cell r="O388">
            <v>2277</v>
          </cell>
          <cell r="P388">
            <v>0.11</v>
          </cell>
          <cell r="Q388">
            <v>1447</v>
          </cell>
        </row>
        <row r="389">
          <cell r="B389" t="str">
            <v>BURNEY 1101CB</v>
          </cell>
          <cell r="C389">
            <v>103311101</v>
          </cell>
          <cell r="D389" t="str">
            <v>BURNEY 1101</v>
          </cell>
          <cell r="E389" t="str">
            <v>CB</v>
          </cell>
          <cell r="F389" t="b">
            <v>0</v>
          </cell>
          <cell r="G389">
            <v>3204.00088145674</v>
          </cell>
          <cell r="H389">
            <v>1997.95687157916</v>
          </cell>
          <cell r="I389">
            <v>29</v>
          </cell>
          <cell r="J389">
            <v>5.2976526697828603E-5</v>
          </cell>
          <cell r="K389">
            <v>2969</v>
          </cell>
          <cell r="L389">
            <v>262.07242229849601</v>
          </cell>
          <cell r="M389">
            <v>1517</v>
          </cell>
          <cell r="N389">
            <v>1.6895389402754701E-2</v>
          </cell>
          <cell r="O389">
            <v>1740</v>
          </cell>
          <cell r="P389">
            <v>0.03</v>
          </cell>
          <cell r="Q389">
            <v>2250</v>
          </cell>
        </row>
        <row r="390">
          <cell r="B390" t="str">
            <v>BURNEY 1102272636</v>
          </cell>
          <cell r="C390">
            <v>103311102</v>
          </cell>
          <cell r="D390" t="str">
            <v>BURNEY 1102</v>
          </cell>
          <cell r="E390">
            <v>272636</v>
          </cell>
          <cell r="F390" t="b">
            <v>1</v>
          </cell>
          <cell r="G390">
            <v>431.36814616212001</v>
          </cell>
          <cell r="H390">
            <v>431.36814616212001</v>
          </cell>
          <cell r="I390">
            <v>5</v>
          </cell>
          <cell r="J390">
            <v>2.8513687175291099E-5</v>
          </cell>
          <cell r="K390">
            <v>3445</v>
          </cell>
          <cell r="L390">
            <v>33.4034191745424</v>
          </cell>
          <cell r="M390">
            <v>2316</v>
          </cell>
          <cell r="N390">
            <v>1.75416040018011E-3</v>
          </cell>
          <cell r="O390">
            <v>2509</v>
          </cell>
          <cell r="Q390">
            <v>3545</v>
          </cell>
        </row>
        <row r="391">
          <cell r="B391" t="str">
            <v>BURNEY 110237284</v>
          </cell>
          <cell r="C391">
            <v>103311102</v>
          </cell>
          <cell r="D391" t="str">
            <v>BURNEY 1102</v>
          </cell>
          <cell r="E391">
            <v>37284</v>
          </cell>
          <cell r="F391" t="b">
            <v>1</v>
          </cell>
          <cell r="G391">
            <v>823.84750851621698</v>
          </cell>
          <cell r="H391">
            <v>303.06800084576997</v>
          </cell>
          <cell r="I391">
            <v>15</v>
          </cell>
          <cell r="J391">
            <v>4.5943856882028397E-5</v>
          </cell>
          <cell r="K391">
            <v>3141</v>
          </cell>
          <cell r="L391">
            <v>6.5918310953081094E-2</v>
          </cell>
          <cell r="M391">
            <v>3241</v>
          </cell>
          <cell r="N391">
            <v>3.0199315346996102E-6</v>
          </cell>
          <cell r="O391">
            <v>3409</v>
          </cell>
          <cell r="Q391">
            <v>2937</v>
          </cell>
        </row>
        <row r="392">
          <cell r="B392" t="str">
            <v>BURNEY 110257046</v>
          </cell>
          <cell r="C392">
            <v>103311102</v>
          </cell>
          <cell r="D392" t="str">
            <v>BURNEY 1102</v>
          </cell>
          <cell r="E392">
            <v>57046</v>
          </cell>
          <cell r="F392" t="b">
            <v>1</v>
          </cell>
          <cell r="G392">
            <v>1135.0639325142699</v>
          </cell>
          <cell r="H392">
            <v>48.909115823144703</v>
          </cell>
          <cell r="I392">
            <v>12</v>
          </cell>
          <cell r="J392">
            <v>2.6931364779804999E-5</v>
          </cell>
          <cell r="K392">
            <v>3474</v>
          </cell>
          <cell r="L392">
            <v>6.5362205274514404E-2</v>
          </cell>
          <cell r="M392">
            <v>3431</v>
          </cell>
          <cell r="N392">
            <v>1.75869628493476E-6</v>
          </cell>
          <cell r="O392">
            <v>3529</v>
          </cell>
          <cell r="Q392">
            <v>2873</v>
          </cell>
        </row>
        <row r="393">
          <cell r="B393" t="str">
            <v>BURNEY 110297318</v>
          </cell>
          <cell r="C393">
            <v>103311102</v>
          </cell>
          <cell r="D393" t="str">
            <v>BURNEY 1102</v>
          </cell>
          <cell r="E393">
            <v>97318</v>
          </cell>
          <cell r="F393" t="b">
            <v>1</v>
          </cell>
          <cell r="G393">
            <v>1594.8253904866899</v>
          </cell>
          <cell r="H393">
            <v>294.97322562007503</v>
          </cell>
          <cell r="I393">
            <v>18</v>
          </cell>
          <cell r="J393">
            <v>3.73950812091708E-5</v>
          </cell>
          <cell r="K393">
            <v>3306</v>
          </cell>
          <cell r="L393">
            <v>6.5576046054703602E-2</v>
          </cell>
          <cell r="M393">
            <v>3346</v>
          </cell>
          <cell r="N393">
            <v>2.4455195915945402E-6</v>
          </cell>
          <cell r="O393">
            <v>3470</v>
          </cell>
          <cell r="P393">
            <v>0.03</v>
          </cell>
          <cell r="Q393">
            <v>2327</v>
          </cell>
        </row>
        <row r="394">
          <cell r="B394" t="str">
            <v>BURNS 2101CB</v>
          </cell>
          <cell r="C394">
            <v>183582101</v>
          </cell>
          <cell r="D394" t="str">
            <v>BURNS 2101</v>
          </cell>
          <cell r="E394" t="str">
            <v>CB</v>
          </cell>
          <cell r="F394" t="b">
            <v>0</v>
          </cell>
          <cell r="G394">
            <v>2742.3098467115701</v>
          </cell>
          <cell r="H394">
            <v>2742.3098467115701</v>
          </cell>
          <cell r="I394">
            <v>19</v>
          </cell>
          <cell r="J394">
            <v>4.0765039049897697E-4</v>
          </cell>
          <cell r="K394">
            <v>67</v>
          </cell>
          <cell r="L394">
            <v>6.6431229729116206E-2</v>
          </cell>
          <cell r="M394">
            <v>3078</v>
          </cell>
          <cell r="N394">
            <v>2.7080716740401501E-5</v>
          </cell>
          <cell r="O394">
            <v>2946</v>
          </cell>
          <cell r="P394">
            <v>26.67</v>
          </cell>
          <cell r="Q394">
            <v>267</v>
          </cell>
        </row>
        <row r="395">
          <cell r="B395" t="str">
            <v>BUTTE 11051243</v>
          </cell>
          <cell r="C395">
            <v>103081105</v>
          </cell>
          <cell r="D395" t="str">
            <v>BUTTE 1105</v>
          </cell>
          <cell r="E395">
            <v>1243</v>
          </cell>
          <cell r="F395" t="b">
            <v>0</v>
          </cell>
          <cell r="G395">
            <v>8319.7012759582794</v>
          </cell>
          <cell r="H395">
            <v>8319.7012759582794</v>
          </cell>
          <cell r="I395">
            <v>50</v>
          </cell>
          <cell r="J395">
            <v>9.20230517658637E-5</v>
          </cell>
          <cell r="K395">
            <v>1845</v>
          </cell>
          <cell r="L395">
            <v>108.049305660671</v>
          </cell>
          <cell r="M395">
            <v>1916</v>
          </cell>
          <cell r="N395">
            <v>9.5358581861294204E-3</v>
          </cell>
          <cell r="O395">
            <v>1979</v>
          </cell>
          <cell r="Q395">
            <v>2768</v>
          </cell>
        </row>
        <row r="396">
          <cell r="B396" t="str">
            <v>BUTTE 1105244246</v>
          </cell>
          <cell r="C396">
            <v>103081105</v>
          </cell>
          <cell r="D396" t="str">
            <v>BUTTE 1105</v>
          </cell>
          <cell r="E396">
            <v>244246</v>
          </cell>
          <cell r="F396" t="b">
            <v>0</v>
          </cell>
          <cell r="G396">
            <v>1936.2708655500101</v>
          </cell>
          <cell r="H396">
            <v>1936.2708655500101</v>
          </cell>
          <cell r="I396">
            <v>11</v>
          </cell>
          <cell r="J396">
            <v>1.63131978214633E-4</v>
          </cell>
          <cell r="K396">
            <v>610</v>
          </cell>
          <cell r="L396">
            <v>330.853596097778</v>
          </cell>
          <cell r="M396">
            <v>1396</v>
          </cell>
          <cell r="N396">
            <v>5.22691771182957E-2</v>
          </cell>
          <cell r="O396">
            <v>1153</v>
          </cell>
          <cell r="Q396">
            <v>3548</v>
          </cell>
        </row>
        <row r="397">
          <cell r="B397" t="str">
            <v>BUTTE 1105751990</v>
          </cell>
          <cell r="C397">
            <v>103081105</v>
          </cell>
          <cell r="D397" t="str">
            <v>BUTTE 1105</v>
          </cell>
          <cell r="E397">
            <v>751990</v>
          </cell>
          <cell r="F397" t="b">
            <v>0</v>
          </cell>
          <cell r="G397">
            <v>39452.604893344898</v>
          </cell>
          <cell r="H397">
            <v>39436.6028571399</v>
          </cell>
          <cell r="I397">
            <v>243</v>
          </cell>
          <cell r="J397">
            <v>1.35214600408463E-4</v>
          </cell>
          <cell r="K397">
            <v>926</v>
          </cell>
          <cell r="L397">
            <v>355.86322173008699</v>
          </cell>
          <cell r="M397">
            <v>1363</v>
          </cell>
          <cell r="N397">
            <v>5.7382128151766597E-2</v>
          </cell>
          <cell r="O397">
            <v>1089</v>
          </cell>
          <cell r="Q397">
            <v>2702</v>
          </cell>
        </row>
        <row r="398">
          <cell r="B398" t="str">
            <v>CABRILLO 11031437</v>
          </cell>
          <cell r="C398">
            <v>183101103</v>
          </cell>
          <cell r="D398" t="str">
            <v>CABRILLO 1103</v>
          </cell>
          <cell r="E398">
            <v>1437</v>
          </cell>
          <cell r="F398" t="b">
            <v>0</v>
          </cell>
          <cell r="G398">
            <v>7854.9148123188397</v>
          </cell>
          <cell r="H398">
            <v>4577.3444869776804</v>
          </cell>
          <cell r="I398">
            <v>39</v>
          </cell>
          <cell r="J398">
            <v>5.9276328475113001E-5</v>
          </cell>
          <cell r="K398">
            <v>2795</v>
          </cell>
          <cell r="L398">
            <v>1361.2841663209599</v>
          </cell>
          <cell r="M398">
            <v>657</v>
          </cell>
          <cell r="N398">
            <v>7.5331504732580504E-2</v>
          </cell>
          <cell r="O398">
            <v>935</v>
          </cell>
          <cell r="P398">
            <v>0.03</v>
          </cell>
          <cell r="Q398">
            <v>2404</v>
          </cell>
        </row>
        <row r="399">
          <cell r="B399" t="str">
            <v>CABRILLO 1103CB</v>
          </cell>
          <cell r="C399">
            <v>183101103</v>
          </cell>
          <cell r="D399" t="str">
            <v>CABRILLO 1103</v>
          </cell>
          <cell r="E399" t="str">
            <v>CB</v>
          </cell>
          <cell r="F399" t="b">
            <v>1</v>
          </cell>
          <cell r="G399">
            <v>7060.6837981434401</v>
          </cell>
          <cell r="H399">
            <v>875.64919011841801</v>
          </cell>
          <cell r="I399">
            <v>45</v>
          </cell>
          <cell r="J399">
            <v>5.6384461842955902E-5</v>
          </cell>
          <cell r="K399">
            <v>2879</v>
          </cell>
          <cell r="L399">
            <v>1585.2096374476901</v>
          </cell>
          <cell r="M399">
            <v>566</v>
          </cell>
          <cell r="N399">
            <v>9.51653848871227E-2</v>
          </cell>
          <cell r="O399">
            <v>789</v>
          </cell>
          <cell r="P399">
            <v>0.89</v>
          </cell>
          <cell r="Q399">
            <v>750</v>
          </cell>
        </row>
        <row r="400">
          <cell r="B400" t="str">
            <v>CABRILLO 1103Y10</v>
          </cell>
          <cell r="C400">
            <v>183101103</v>
          </cell>
          <cell r="D400" t="str">
            <v>CABRILLO 1103</v>
          </cell>
          <cell r="E400" t="str">
            <v>Y10</v>
          </cell>
          <cell r="F400" t="b">
            <v>0</v>
          </cell>
          <cell r="G400">
            <v>24460.413196194098</v>
          </cell>
          <cell r="H400">
            <v>7788.8369309285399</v>
          </cell>
          <cell r="I400">
            <v>122</v>
          </cell>
          <cell r="J400">
            <v>3.6551703218521198E-5</v>
          </cell>
          <cell r="K400">
            <v>3322</v>
          </cell>
          <cell r="L400">
            <v>632.67340904431501</v>
          </cell>
          <cell r="M400">
            <v>1076</v>
          </cell>
          <cell r="N400">
            <v>4.1779222458948502E-2</v>
          </cell>
          <cell r="O400">
            <v>1278</v>
          </cell>
          <cell r="P400">
            <v>0.05</v>
          </cell>
          <cell r="Q400">
            <v>1949</v>
          </cell>
        </row>
        <row r="401">
          <cell r="B401" t="str">
            <v>CABRILLO 1103Y12</v>
          </cell>
          <cell r="C401">
            <v>183101103</v>
          </cell>
          <cell r="D401" t="str">
            <v>CABRILLO 1103</v>
          </cell>
          <cell r="E401" t="str">
            <v>Y12</v>
          </cell>
          <cell r="F401" t="b">
            <v>0</v>
          </cell>
          <cell r="G401">
            <v>49636.236177419298</v>
          </cell>
          <cell r="H401">
            <v>42701.787788948299</v>
          </cell>
          <cell r="I401">
            <v>274</v>
          </cell>
          <cell r="J401">
            <v>4.9025627500962798E-5</v>
          </cell>
          <cell r="K401">
            <v>3063</v>
          </cell>
          <cell r="L401">
            <v>2917.1700291728498</v>
          </cell>
          <cell r="M401">
            <v>286</v>
          </cell>
          <cell r="N401">
            <v>0.14205277628016499</v>
          </cell>
          <cell r="O401">
            <v>562</v>
          </cell>
          <cell r="P401">
            <v>31.53</v>
          </cell>
          <cell r="Q401">
            <v>230</v>
          </cell>
        </row>
        <row r="402">
          <cell r="B402" t="str">
            <v>CABRILLO 1103Y46</v>
          </cell>
          <cell r="C402">
            <v>183101103</v>
          </cell>
          <cell r="D402" t="str">
            <v>CABRILLO 1103</v>
          </cell>
          <cell r="E402" t="str">
            <v>Y46</v>
          </cell>
          <cell r="F402" t="b">
            <v>0</v>
          </cell>
          <cell r="G402">
            <v>76660.929571578294</v>
          </cell>
          <cell r="H402">
            <v>50653.8838081781</v>
          </cell>
          <cell r="I402">
            <v>277</v>
          </cell>
          <cell r="J402">
            <v>4.2067742567279302E-5</v>
          </cell>
          <cell r="K402">
            <v>3223</v>
          </cell>
          <cell r="L402">
            <v>1429.3655955930999</v>
          </cell>
          <cell r="M402">
            <v>626</v>
          </cell>
          <cell r="N402">
            <v>6.7522244230581605E-2</v>
          </cell>
          <cell r="O402">
            <v>998</v>
          </cell>
          <cell r="P402">
            <v>0.13</v>
          </cell>
          <cell r="Q402">
            <v>1364</v>
          </cell>
        </row>
        <row r="403">
          <cell r="B403" t="str">
            <v>CABRILLO 1104CB</v>
          </cell>
          <cell r="C403">
            <v>183101104</v>
          </cell>
          <cell r="D403" t="str">
            <v>CABRILLO 1104</v>
          </cell>
          <cell r="E403" t="str">
            <v>CB</v>
          </cell>
          <cell r="F403" t="b">
            <v>0</v>
          </cell>
          <cell r="G403">
            <v>27455.787720742199</v>
          </cell>
          <cell r="H403">
            <v>6641.9361124450297</v>
          </cell>
          <cell r="I403">
            <v>121</v>
          </cell>
          <cell r="J403">
            <v>2.9423267497319101E-5</v>
          </cell>
          <cell r="K403">
            <v>3434</v>
          </cell>
          <cell r="L403">
            <v>158.584193092486</v>
          </cell>
          <cell r="M403">
            <v>1751</v>
          </cell>
          <cell r="N403">
            <v>1.1318239018216001E-2</v>
          </cell>
          <cell r="O403">
            <v>1910</v>
          </cell>
          <cell r="P403">
            <v>0.05</v>
          </cell>
          <cell r="Q403">
            <v>2010</v>
          </cell>
        </row>
        <row r="404">
          <cell r="B404" t="str">
            <v>CABRILLO 1104Y22</v>
          </cell>
          <cell r="C404">
            <v>183101104</v>
          </cell>
          <cell r="D404" t="str">
            <v>CABRILLO 1104</v>
          </cell>
          <cell r="E404" t="str">
            <v>Y22</v>
          </cell>
          <cell r="F404" t="b">
            <v>0</v>
          </cell>
          <cell r="G404">
            <v>40867.328580589303</v>
          </cell>
          <cell r="H404">
            <v>16721.659989542899</v>
          </cell>
          <cell r="I404">
            <v>178</v>
          </cell>
          <cell r="J404">
            <v>4.3833081101847601E-5</v>
          </cell>
          <cell r="K404">
            <v>3193</v>
          </cell>
          <cell r="L404">
            <v>413.69222963731102</v>
          </cell>
          <cell r="M404">
            <v>1281</v>
          </cell>
          <cell r="N404">
            <v>2.7743085378298098E-2</v>
          </cell>
          <cell r="O404">
            <v>1500</v>
          </cell>
          <cell r="P404">
            <v>0.04</v>
          </cell>
          <cell r="Q404">
            <v>2132</v>
          </cell>
        </row>
        <row r="405">
          <cell r="B405" t="str">
            <v>CABRILLO 1104Y24</v>
          </cell>
          <cell r="C405">
            <v>183101104</v>
          </cell>
          <cell r="D405" t="str">
            <v>CABRILLO 1104</v>
          </cell>
          <cell r="E405" t="str">
            <v>Y24</v>
          </cell>
          <cell r="F405" t="b">
            <v>0</v>
          </cell>
          <cell r="G405">
            <v>31605.333857818099</v>
          </cell>
          <cell r="H405">
            <v>30845.613512538501</v>
          </cell>
          <cell r="I405">
            <v>91</v>
          </cell>
          <cell r="J405">
            <v>6.8807179068450898E-5</v>
          </cell>
          <cell r="K405">
            <v>2514</v>
          </cell>
          <cell r="L405">
            <v>1387.2958571045399</v>
          </cell>
          <cell r="M405">
            <v>643</v>
          </cell>
          <cell r="N405">
            <v>7.3568569396296593E-2</v>
          </cell>
          <cell r="O405">
            <v>949</v>
          </cell>
          <cell r="P405">
            <v>0.26</v>
          </cell>
          <cell r="Q405">
            <v>1061</v>
          </cell>
        </row>
        <row r="406">
          <cell r="B406" t="str">
            <v>CAL WATER 1102690954</v>
          </cell>
          <cell r="C406">
            <v>255451102</v>
          </cell>
          <cell r="D406" t="str">
            <v>CAL WATER 1102</v>
          </cell>
          <cell r="E406">
            <v>690954</v>
          </cell>
          <cell r="F406" t="b">
            <v>0</v>
          </cell>
          <cell r="G406">
            <v>6889.4894007091398</v>
          </cell>
          <cell r="H406">
            <v>6410.0396962961304</v>
          </cell>
          <cell r="I406">
            <v>12</v>
          </cell>
          <cell r="J406">
            <v>1.5494119270442699E-5</v>
          </cell>
          <cell r="K406">
            <v>3583</v>
          </cell>
          <cell r="L406">
            <v>7160.5306817549199</v>
          </cell>
          <cell r="M406">
            <v>9</v>
          </cell>
          <cell r="N406">
            <v>0.11057004441922</v>
          </cell>
          <cell r="O406">
            <v>710</v>
          </cell>
          <cell r="Q406">
            <v>3318</v>
          </cell>
        </row>
        <row r="407">
          <cell r="B407" t="str">
            <v>CALAVERAS CEMENT 110111188</v>
          </cell>
          <cell r="C407">
            <v>162211101</v>
          </cell>
          <cell r="D407" t="str">
            <v>CALAVERAS CEMENT 1101</v>
          </cell>
          <cell r="E407">
            <v>11188</v>
          </cell>
          <cell r="F407" t="b">
            <v>0</v>
          </cell>
          <cell r="G407">
            <v>48202.521666031498</v>
          </cell>
          <cell r="H407">
            <v>48202.521666031498</v>
          </cell>
          <cell r="I407">
            <v>294</v>
          </cell>
          <cell r="J407">
            <v>1.28455677338362E-4</v>
          </cell>
          <cell r="K407">
            <v>1041</v>
          </cell>
          <cell r="L407">
            <v>211.28913562872799</v>
          </cell>
          <cell r="M407">
            <v>1617</v>
          </cell>
          <cell r="N407">
            <v>2.59899399759131E-2</v>
          </cell>
          <cell r="O407">
            <v>1534</v>
          </cell>
          <cell r="P407">
            <v>0.06</v>
          </cell>
          <cell r="Q407">
            <v>1852</v>
          </cell>
        </row>
        <row r="408">
          <cell r="B408" t="str">
            <v>CALAVERAS CEMENT 110111236</v>
          </cell>
          <cell r="C408">
            <v>162211101</v>
          </cell>
          <cell r="D408" t="str">
            <v>CALAVERAS CEMENT 1101</v>
          </cell>
          <cell r="E408">
            <v>11236</v>
          </cell>
          <cell r="F408" t="b">
            <v>0</v>
          </cell>
          <cell r="G408">
            <v>31777.909063324299</v>
          </cell>
          <cell r="H408">
            <v>31777.909063324299</v>
          </cell>
          <cell r="I408">
            <v>143</v>
          </cell>
          <cell r="J408">
            <v>1.16358539734002E-4</v>
          </cell>
          <cell r="K408">
            <v>1262</v>
          </cell>
          <cell r="L408">
            <v>616.833291996036</v>
          </cell>
          <cell r="M408">
            <v>1086</v>
          </cell>
          <cell r="N408">
            <v>8.1838241377041501E-2</v>
          </cell>
          <cell r="O408">
            <v>886</v>
          </cell>
          <cell r="P408">
            <v>0.05</v>
          </cell>
          <cell r="Q408">
            <v>2012</v>
          </cell>
        </row>
        <row r="409">
          <cell r="B409" t="str">
            <v>CALAVERAS CEMENT 110113424</v>
          </cell>
          <cell r="C409">
            <v>162211101</v>
          </cell>
          <cell r="D409" t="str">
            <v>CALAVERAS CEMENT 1101</v>
          </cell>
          <cell r="E409">
            <v>13424</v>
          </cell>
          <cell r="F409" t="b">
            <v>0</v>
          </cell>
          <cell r="G409">
            <v>5801.6622403021802</v>
          </cell>
          <cell r="H409">
            <v>2404.2277214184401</v>
          </cell>
          <cell r="I409">
            <v>43</v>
          </cell>
          <cell r="J409">
            <v>1.30593711134658E-4</v>
          </cell>
          <cell r="K409">
            <v>1000</v>
          </cell>
          <cell r="L409">
            <v>649.81951461212498</v>
          </cell>
          <cell r="M409">
            <v>1066</v>
          </cell>
          <cell r="N409">
            <v>9.0714233391271298E-2</v>
          </cell>
          <cell r="O409">
            <v>818</v>
          </cell>
          <cell r="P409">
            <v>0.03</v>
          </cell>
          <cell r="Q409">
            <v>2394</v>
          </cell>
        </row>
        <row r="410">
          <cell r="B410" t="str">
            <v>CALAVERAS CEMENT 11011419</v>
          </cell>
          <cell r="C410">
            <v>162211101</v>
          </cell>
          <cell r="D410" t="str">
            <v>CALAVERAS CEMENT 1101</v>
          </cell>
          <cell r="E410">
            <v>1419</v>
          </cell>
          <cell r="F410" t="b">
            <v>0</v>
          </cell>
          <cell r="G410">
            <v>24160.951721491099</v>
          </cell>
          <cell r="H410">
            <v>24160.951721491099</v>
          </cell>
          <cell r="I410">
            <v>130</v>
          </cell>
          <cell r="J410">
            <v>6.2459332980324594E-5</v>
          </cell>
          <cell r="K410">
            <v>2706</v>
          </cell>
          <cell r="L410">
            <v>145.10352895557801</v>
          </cell>
          <cell r="M410">
            <v>1792</v>
          </cell>
          <cell r="N410">
            <v>1.1428007152900399E-2</v>
          </cell>
          <cell r="O410">
            <v>1906</v>
          </cell>
          <cell r="P410">
            <v>0.17</v>
          </cell>
          <cell r="Q410">
            <v>1249</v>
          </cell>
        </row>
        <row r="411">
          <cell r="B411" t="str">
            <v>CALAVERAS CEMENT 11012646</v>
          </cell>
          <cell r="C411">
            <v>162211101</v>
          </cell>
          <cell r="D411" t="str">
            <v>CALAVERAS CEMENT 1101</v>
          </cell>
          <cell r="E411">
            <v>2646</v>
          </cell>
          <cell r="F411" t="b">
            <v>0</v>
          </cell>
          <cell r="G411">
            <v>28413.983809084399</v>
          </cell>
          <cell r="H411">
            <v>28413.983809084399</v>
          </cell>
          <cell r="I411">
            <v>149</v>
          </cell>
          <cell r="J411">
            <v>1.02529236239599E-4</v>
          </cell>
          <cell r="K411">
            <v>1586</v>
          </cell>
          <cell r="L411">
            <v>176.235918023392</v>
          </cell>
          <cell r="M411">
            <v>1694</v>
          </cell>
          <cell r="N411">
            <v>1.18404824473876E-2</v>
          </cell>
          <cell r="O411">
            <v>1889</v>
          </cell>
          <cell r="Q411">
            <v>2720</v>
          </cell>
        </row>
        <row r="412">
          <cell r="B412" t="str">
            <v>CALAVERAS CEMENT 110136880</v>
          </cell>
          <cell r="C412">
            <v>162211101</v>
          </cell>
          <cell r="D412" t="str">
            <v>CALAVERAS CEMENT 1101</v>
          </cell>
          <cell r="E412">
            <v>36880</v>
          </cell>
          <cell r="F412" t="b">
            <v>0</v>
          </cell>
          <cell r="G412">
            <v>13851.9466862684</v>
          </cell>
          <cell r="H412">
            <v>9899.4771452560199</v>
          </cell>
          <cell r="I412">
            <v>92</v>
          </cell>
          <cell r="J412">
            <v>8.6094560881772606E-5</v>
          </cell>
          <cell r="K412">
            <v>2032</v>
          </cell>
          <cell r="L412">
            <v>179.72139031893499</v>
          </cell>
          <cell r="M412">
            <v>1684</v>
          </cell>
          <cell r="N412">
            <v>6.4477342954102996E-3</v>
          </cell>
          <cell r="O412">
            <v>2130</v>
          </cell>
          <cell r="P412">
            <v>0.08</v>
          </cell>
          <cell r="Q412">
            <v>1578</v>
          </cell>
        </row>
        <row r="413">
          <cell r="B413" t="str">
            <v>CALAVERAS CEMENT 11014786</v>
          </cell>
          <cell r="C413">
            <v>162211101</v>
          </cell>
          <cell r="D413" t="str">
            <v>CALAVERAS CEMENT 1101</v>
          </cell>
          <cell r="E413">
            <v>4786</v>
          </cell>
          <cell r="F413" t="b">
            <v>0</v>
          </cell>
          <cell r="G413">
            <v>28973.984981551799</v>
          </cell>
          <cell r="H413">
            <v>28973.984981551799</v>
          </cell>
          <cell r="I413">
            <v>173</v>
          </cell>
          <cell r="J413">
            <v>9.6661359523696894E-5</v>
          </cell>
          <cell r="K413">
            <v>1720</v>
          </cell>
          <cell r="L413">
            <v>894.08981200027597</v>
          </cell>
          <cell r="M413">
            <v>886</v>
          </cell>
          <cell r="N413">
            <v>9.3780444881159303E-2</v>
          </cell>
          <cell r="O413">
            <v>804</v>
          </cell>
          <cell r="P413">
            <v>0.23</v>
          </cell>
          <cell r="Q413">
            <v>1115</v>
          </cell>
        </row>
        <row r="414">
          <cell r="B414" t="str">
            <v>CALAVERAS CEMENT 110147968</v>
          </cell>
          <cell r="C414">
            <v>162211101</v>
          </cell>
          <cell r="D414" t="str">
            <v>CALAVERAS CEMENT 1101</v>
          </cell>
          <cell r="E414">
            <v>47968</v>
          </cell>
          <cell r="F414" t="b">
            <v>0</v>
          </cell>
          <cell r="G414">
            <v>65100.486220168197</v>
          </cell>
          <cell r="H414">
            <v>65100.486220168197</v>
          </cell>
          <cell r="I414">
            <v>306</v>
          </cell>
          <cell r="J414">
            <v>5.7194870458290803E-5</v>
          </cell>
          <cell r="K414">
            <v>2856</v>
          </cell>
          <cell r="L414">
            <v>229.05746913272699</v>
          </cell>
          <cell r="M414">
            <v>1588</v>
          </cell>
          <cell r="N414">
            <v>1.0384688550393499E-2</v>
          </cell>
          <cell r="O414">
            <v>1941</v>
          </cell>
          <cell r="P414">
            <v>0.12</v>
          </cell>
          <cell r="Q414">
            <v>1380</v>
          </cell>
        </row>
        <row r="415">
          <cell r="B415" t="str">
            <v>CALAVERAS CEMENT 1101502</v>
          </cell>
          <cell r="C415">
            <v>162211101</v>
          </cell>
          <cell r="D415" t="str">
            <v>CALAVERAS CEMENT 1101</v>
          </cell>
          <cell r="E415">
            <v>502</v>
          </cell>
          <cell r="F415" t="b">
            <v>0</v>
          </cell>
          <cell r="G415">
            <v>65884.611347709404</v>
          </cell>
          <cell r="H415">
            <v>60591.034575025202</v>
          </cell>
          <cell r="I415">
            <v>331</v>
          </cell>
          <cell r="J415">
            <v>9.3364380820572704E-5</v>
          </cell>
          <cell r="K415">
            <v>1812</v>
          </cell>
          <cell r="L415">
            <v>435.99334607358799</v>
          </cell>
          <cell r="M415">
            <v>1257</v>
          </cell>
          <cell r="N415">
            <v>4.1553798742776003E-2</v>
          </cell>
          <cell r="O415">
            <v>1281</v>
          </cell>
          <cell r="P415">
            <v>0.21</v>
          </cell>
          <cell r="Q415">
            <v>1137</v>
          </cell>
        </row>
        <row r="416">
          <cell r="B416" t="str">
            <v>CALAVERAS CEMENT 1101585</v>
          </cell>
          <cell r="C416">
            <v>162211101</v>
          </cell>
          <cell r="D416" t="str">
            <v>CALAVERAS CEMENT 1101</v>
          </cell>
          <cell r="E416">
            <v>585</v>
          </cell>
          <cell r="F416" t="b">
            <v>0</v>
          </cell>
          <cell r="G416">
            <v>22730.620252430799</v>
          </cell>
          <cell r="H416">
            <v>22730.620252430799</v>
          </cell>
          <cell r="I416">
            <v>95</v>
          </cell>
          <cell r="J416">
            <v>6.2211870006146204E-5</v>
          </cell>
          <cell r="K416">
            <v>2714</v>
          </cell>
          <cell r="L416">
            <v>1313.2644809721301</v>
          </cell>
          <cell r="M416">
            <v>677</v>
          </cell>
          <cell r="N416">
            <v>0.11082378724658699</v>
          </cell>
          <cell r="O416">
            <v>709</v>
          </cell>
          <cell r="P416">
            <v>0.1</v>
          </cell>
          <cell r="Q416">
            <v>1490</v>
          </cell>
        </row>
        <row r="417">
          <cell r="B417" t="str">
            <v>CALAVERAS CEMENT 110180930</v>
          </cell>
          <cell r="C417">
            <v>162211101</v>
          </cell>
          <cell r="D417" t="str">
            <v>CALAVERAS CEMENT 1101</v>
          </cell>
          <cell r="E417">
            <v>80930</v>
          </cell>
          <cell r="F417" t="b">
            <v>0</v>
          </cell>
          <cell r="G417">
            <v>29528.488812537002</v>
          </cell>
          <cell r="H417">
            <v>29528.488812537002</v>
          </cell>
          <cell r="I417">
            <v>180</v>
          </cell>
          <cell r="J417">
            <v>6.8218228079786004E-5</v>
          </cell>
          <cell r="K417">
            <v>2529</v>
          </cell>
          <cell r="L417">
            <v>304.513853819254</v>
          </cell>
          <cell r="M417">
            <v>1442</v>
          </cell>
          <cell r="N417">
            <v>2.10192705417757E-2</v>
          </cell>
          <cell r="O417">
            <v>1652</v>
          </cell>
          <cell r="P417">
            <v>0.22</v>
          </cell>
          <cell r="Q417">
            <v>1126</v>
          </cell>
        </row>
        <row r="418">
          <cell r="B418" t="str">
            <v>CALAVERAS CEMENT 1101CB</v>
          </cell>
          <cell r="C418">
            <v>162211101</v>
          </cell>
          <cell r="D418" t="str">
            <v>CALAVERAS CEMENT 1101</v>
          </cell>
          <cell r="E418" t="str">
            <v>CB</v>
          </cell>
          <cell r="F418" t="b">
            <v>0</v>
          </cell>
          <cell r="G418">
            <v>29408.719608024301</v>
          </cell>
          <cell r="H418">
            <v>16846.519703791699</v>
          </cell>
          <cell r="I418">
            <v>203</v>
          </cell>
          <cell r="J418">
            <v>1.37979337088988E-4</v>
          </cell>
          <cell r="K418">
            <v>894</v>
          </cell>
          <cell r="L418">
            <v>318.58683168858698</v>
          </cell>
          <cell r="M418">
            <v>1420</v>
          </cell>
          <cell r="N418">
            <v>4.0232005870722197E-2</v>
          </cell>
          <cell r="O418">
            <v>1300</v>
          </cell>
          <cell r="P418">
            <v>0.05</v>
          </cell>
          <cell r="Q418">
            <v>1952</v>
          </cell>
        </row>
        <row r="419">
          <cell r="B419" t="str">
            <v>CALISTOGA 11011087</v>
          </cell>
          <cell r="C419">
            <v>42711101</v>
          </cell>
          <cell r="D419" t="str">
            <v>CALISTOGA 1101</v>
          </cell>
          <cell r="E419">
            <v>1087</v>
          </cell>
          <cell r="F419" t="b">
            <v>0</v>
          </cell>
          <cell r="G419">
            <v>3157.1282307971301</v>
          </cell>
          <cell r="H419">
            <v>3157.1282307971301</v>
          </cell>
          <cell r="I419">
            <v>22</v>
          </cell>
          <cell r="J419">
            <v>1.04844818038559E-4</v>
          </cell>
          <cell r="K419">
            <v>1532</v>
          </cell>
          <cell r="L419">
            <v>532.50624625006196</v>
          </cell>
          <cell r="M419">
            <v>1170</v>
          </cell>
          <cell r="N419">
            <v>5.7639544844092797E-2</v>
          </cell>
          <cell r="O419">
            <v>1082</v>
          </cell>
          <cell r="P419">
            <v>7.64</v>
          </cell>
          <cell r="Q419">
            <v>443</v>
          </cell>
        </row>
        <row r="420">
          <cell r="B420" t="str">
            <v>CALISTOGA 1101134232</v>
          </cell>
          <cell r="C420">
            <v>42711101</v>
          </cell>
          <cell r="D420" t="str">
            <v>CALISTOGA 1101</v>
          </cell>
          <cell r="E420">
            <v>134232</v>
          </cell>
          <cell r="F420" t="b">
            <v>0</v>
          </cell>
          <cell r="G420">
            <v>11553.3533770462</v>
          </cell>
          <cell r="H420">
            <v>2618.91118545568</v>
          </cell>
          <cell r="I420">
            <v>89</v>
          </cell>
          <cell r="J420">
            <v>1.53504885743545E-4</v>
          </cell>
          <cell r="K420">
            <v>717</v>
          </cell>
          <cell r="L420">
            <v>426.39872758046602</v>
          </cell>
          <cell r="M420">
            <v>1264</v>
          </cell>
          <cell r="N420">
            <v>7.3700390967121401E-2</v>
          </cell>
          <cell r="O420">
            <v>947</v>
          </cell>
          <cell r="Q420">
            <v>3092</v>
          </cell>
        </row>
        <row r="421">
          <cell r="B421" t="str">
            <v>CALISTOGA 1101242919</v>
          </cell>
          <cell r="C421">
            <v>42711101</v>
          </cell>
          <cell r="D421" t="str">
            <v>CALISTOGA 1101</v>
          </cell>
          <cell r="E421">
            <v>242919</v>
          </cell>
          <cell r="F421" t="b">
            <v>0</v>
          </cell>
          <cell r="G421">
            <v>2111.4930196239702</v>
          </cell>
          <cell r="H421">
            <v>2111.4930196239702</v>
          </cell>
          <cell r="I421">
            <v>15</v>
          </cell>
          <cell r="J421">
            <v>1.97348848450928E-4</v>
          </cell>
          <cell r="K421">
            <v>407</v>
          </cell>
          <cell r="L421">
            <v>815.19102180629</v>
          </cell>
          <cell r="M421">
            <v>928</v>
          </cell>
          <cell r="N421">
            <v>0.141509651943169</v>
          </cell>
          <cell r="O421">
            <v>565</v>
          </cell>
          <cell r="Q421">
            <v>2911</v>
          </cell>
        </row>
        <row r="422">
          <cell r="B422" t="str">
            <v>CALISTOGA 110135588</v>
          </cell>
          <cell r="C422">
            <v>42711101</v>
          </cell>
          <cell r="D422" t="str">
            <v>CALISTOGA 1101</v>
          </cell>
          <cell r="E422">
            <v>35588</v>
          </cell>
          <cell r="F422" t="b">
            <v>0</v>
          </cell>
          <cell r="G422">
            <v>4954.8550678311803</v>
          </cell>
          <cell r="H422">
            <v>4954.8550678311803</v>
          </cell>
          <cell r="I422">
            <v>18</v>
          </cell>
          <cell r="J422">
            <v>9.2797519541550893E-5</v>
          </cell>
          <cell r="K422">
            <v>1827</v>
          </cell>
          <cell r="L422">
            <v>1278.0573901906901</v>
          </cell>
          <cell r="M422">
            <v>690</v>
          </cell>
          <cell r="N422">
            <v>0.12786481241495901</v>
          </cell>
          <cell r="O422">
            <v>614</v>
          </cell>
          <cell r="P422">
            <v>0.6</v>
          </cell>
          <cell r="Q422">
            <v>851</v>
          </cell>
        </row>
        <row r="423">
          <cell r="B423" t="str">
            <v>CALISTOGA 110143924</v>
          </cell>
          <cell r="C423">
            <v>42711101</v>
          </cell>
          <cell r="D423" t="str">
            <v>CALISTOGA 1101</v>
          </cell>
          <cell r="E423">
            <v>43924</v>
          </cell>
          <cell r="F423" t="b">
            <v>0</v>
          </cell>
          <cell r="G423">
            <v>15096.744617627501</v>
          </cell>
          <cell r="H423">
            <v>12523.7998566278</v>
          </cell>
          <cell r="I423">
            <v>107</v>
          </cell>
          <cell r="J423">
            <v>1.53985605516664E-4</v>
          </cell>
          <cell r="K423">
            <v>708</v>
          </cell>
          <cell r="L423">
            <v>446.29713880802399</v>
          </cell>
          <cell r="M423">
            <v>1252</v>
          </cell>
          <cell r="N423">
            <v>6.6852222580416495E-2</v>
          </cell>
          <cell r="O423">
            <v>1005</v>
          </cell>
          <cell r="P423">
            <v>91.99</v>
          </cell>
          <cell r="Q423">
            <v>30</v>
          </cell>
        </row>
        <row r="424">
          <cell r="B424" t="str">
            <v>CALISTOGA 1101537148</v>
          </cell>
          <cell r="C424">
            <v>42711101</v>
          </cell>
          <cell r="D424" t="str">
            <v>CALISTOGA 1101</v>
          </cell>
          <cell r="E424">
            <v>537148</v>
          </cell>
          <cell r="F424" t="b">
            <v>1</v>
          </cell>
          <cell r="G424">
            <v>2468.9991643467301</v>
          </cell>
          <cell r="H424">
            <v>923.07624679680396</v>
          </cell>
          <cell r="I424">
            <v>14</v>
          </cell>
          <cell r="J424">
            <v>8.9696567556529704E-5</v>
          </cell>
          <cell r="K424">
            <v>1921</v>
          </cell>
          <cell r="L424">
            <v>711.30976812542394</v>
          </cell>
          <cell r="M424">
            <v>1014</v>
          </cell>
          <cell r="N424">
            <v>0.14902270460389799</v>
          </cell>
          <cell r="O424">
            <v>523</v>
          </cell>
          <cell r="Q424">
            <v>3541</v>
          </cell>
        </row>
        <row r="425">
          <cell r="B425" t="str">
            <v>CALISTOGA 1101734</v>
          </cell>
          <cell r="C425">
            <v>42711101</v>
          </cell>
          <cell r="D425" t="str">
            <v>CALISTOGA 1101</v>
          </cell>
          <cell r="E425">
            <v>734</v>
          </cell>
          <cell r="F425" t="b">
            <v>0</v>
          </cell>
          <cell r="G425">
            <v>26724.941049561501</v>
          </cell>
          <cell r="H425">
            <v>22050.898915682599</v>
          </cell>
          <cell r="I425">
            <v>162</v>
          </cell>
          <cell r="J425">
            <v>1.5037082699360601E-4</v>
          </cell>
          <cell r="K425">
            <v>732</v>
          </cell>
          <cell r="L425">
            <v>885.88372096957505</v>
          </cell>
          <cell r="M425">
            <v>889</v>
          </cell>
          <cell r="N425">
            <v>0.11348286896836</v>
          </cell>
          <cell r="O425">
            <v>683</v>
          </cell>
          <cell r="P425">
            <v>1.06</v>
          </cell>
          <cell r="Q425">
            <v>719</v>
          </cell>
        </row>
        <row r="426">
          <cell r="B426" t="str">
            <v>CALISTOGA 1101736</v>
          </cell>
          <cell r="C426">
            <v>42711101</v>
          </cell>
          <cell r="D426" t="str">
            <v>CALISTOGA 1101</v>
          </cell>
          <cell r="E426">
            <v>736</v>
          </cell>
          <cell r="F426" t="b">
            <v>0</v>
          </cell>
          <cell r="G426">
            <v>55772.068237622203</v>
          </cell>
          <cell r="H426">
            <v>55772.068237622203</v>
          </cell>
          <cell r="I426">
            <v>350</v>
          </cell>
          <cell r="J426">
            <v>1.33052898318369E-4</v>
          </cell>
          <cell r="K426">
            <v>957</v>
          </cell>
          <cell r="L426">
            <v>690.214071592663</v>
          </cell>
          <cell r="M426">
            <v>1030</v>
          </cell>
          <cell r="N426">
            <v>8.8841389714136895E-2</v>
          </cell>
          <cell r="O426">
            <v>833</v>
          </cell>
          <cell r="P426">
            <v>98.57</v>
          </cell>
          <cell r="Q426">
            <v>21</v>
          </cell>
        </row>
        <row r="427">
          <cell r="B427" t="str">
            <v>CALISTOGA 1101890</v>
          </cell>
          <cell r="C427">
            <v>42711101</v>
          </cell>
          <cell r="D427" t="str">
            <v>CALISTOGA 1101</v>
          </cell>
          <cell r="E427">
            <v>890</v>
          </cell>
          <cell r="F427" t="b">
            <v>0</v>
          </cell>
          <cell r="G427">
            <v>39539.839943680701</v>
          </cell>
          <cell r="H427">
            <v>39211.693126569597</v>
          </cell>
          <cell r="I427">
            <v>203</v>
          </cell>
          <cell r="J427">
            <v>1.3749242887443501E-4</v>
          </cell>
          <cell r="K427">
            <v>903</v>
          </cell>
          <cell r="L427">
            <v>1564.6167240638099</v>
          </cell>
          <cell r="M427">
            <v>573</v>
          </cell>
          <cell r="N427">
            <v>0.17857377145815501</v>
          </cell>
          <cell r="O427">
            <v>406</v>
          </cell>
          <cell r="P427">
            <v>0.6</v>
          </cell>
          <cell r="Q427">
            <v>852</v>
          </cell>
        </row>
        <row r="428">
          <cell r="B428" t="str">
            <v>CALISTOGA 110189150</v>
          </cell>
          <cell r="C428">
            <v>42711101</v>
          </cell>
          <cell r="D428" t="str">
            <v>CALISTOGA 1101</v>
          </cell>
          <cell r="E428">
            <v>89150</v>
          </cell>
          <cell r="F428" t="b">
            <v>0</v>
          </cell>
          <cell r="G428">
            <v>15332.2939112186</v>
          </cell>
          <cell r="H428">
            <v>15332.2939112186</v>
          </cell>
          <cell r="I428">
            <v>88</v>
          </cell>
          <cell r="J428">
            <v>1.21948831582068E-4</v>
          </cell>
          <cell r="K428">
            <v>1149</v>
          </cell>
          <cell r="L428">
            <v>582.72660315431699</v>
          </cell>
          <cell r="M428">
            <v>1121</v>
          </cell>
          <cell r="N428">
            <v>5.7148140274814498E-2</v>
          </cell>
          <cell r="O428">
            <v>1093</v>
          </cell>
          <cell r="P428">
            <v>0.48</v>
          </cell>
          <cell r="Q428">
            <v>905</v>
          </cell>
        </row>
        <row r="429">
          <cell r="B429" t="str">
            <v>CALISTOGA 1101CB</v>
          </cell>
          <cell r="C429">
            <v>42711101</v>
          </cell>
          <cell r="D429" t="str">
            <v>CALISTOGA 1101</v>
          </cell>
          <cell r="E429" t="str">
            <v>CB</v>
          </cell>
          <cell r="F429" t="b">
            <v>1</v>
          </cell>
          <cell r="G429">
            <v>1122.23608837541</v>
          </cell>
          <cell r="H429">
            <v>221.67036452797899</v>
          </cell>
          <cell r="I429">
            <v>9</v>
          </cell>
          <cell r="J429">
            <v>3.6282717418442998E-4</v>
          </cell>
          <cell r="K429">
            <v>82</v>
          </cell>
          <cell r="L429">
            <v>802.23678581291904</v>
          </cell>
          <cell r="M429">
            <v>941</v>
          </cell>
          <cell r="N429">
            <v>0.40561207556531598</v>
          </cell>
          <cell r="O429">
            <v>55</v>
          </cell>
          <cell r="P429">
            <v>0.11</v>
          </cell>
          <cell r="Q429">
            <v>1412</v>
          </cell>
        </row>
        <row r="430">
          <cell r="B430" t="str">
            <v>CALISTOGA 1102141073</v>
          </cell>
          <cell r="C430">
            <v>42711102</v>
          </cell>
          <cell r="D430" t="str">
            <v>CALISTOGA 1102</v>
          </cell>
          <cell r="E430">
            <v>141073</v>
          </cell>
          <cell r="F430" t="b">
            <v>0</v>
          </cell>
          <cell r="G430">
            <v>3422.9372700091999</v>
          </cell>
          <cell r="H430">
            <v>1996.45226953933</v>
          </cell>
          <cell r="I430">
            <v>27</v>
          </cell>
          <cell r="J430">
            <v>1.88449276147703E-4</v>
          </cell>
          <cell r="K430">
            <v>450</v>
          </cell>
          <cell r="L430">
            <v>208.85408743874299</v>
          </cell>
          <cell r="M430">
            <v>1621</v>
          </cell>
          <cell r="N430">
            <v>6.5722312101639105E-2</v>
          </cell>
          <cell r="O430">
            <v>1014</v>
          </cell>
          <cell r="Q430">
            <v>3174</v>
          </cell>
        </row>
        <row r="431">
          <cell r="B431" t="str">
            <v>CALISTOGA 1102184814</v>
          </cell>
          <cell r="C431">
            <v>42711102</v>
          </cell>
          <cell r="D431" t="str">
            <v>CALISTOGA 1102</v>
          </cell>
          <cell r="E431">
            <v>184814</v>
          </cell>
          <cell r="F431" t="b">
            <v>1</v>
          </cell>
          <cell r="G431">
            <v>2352.35507293408</v>
          </cell>
          <cell r="H431">
            <v>682.24501971614905</v>
          </cell>
          <cell r="I431">
            <v>20</v>
          </cell>
          <cell r="J431">
            <v>1.3241302842384499E-4</v>
          </cell>
          <cell r="K431">
            <v>973</v>
          </cell>
          <cell r="L431">
            <v>6.5475115535537795E-2</v>
          </cell>
          <cell r="M431">
            <v>3379</v>
          </cell>
          <cell r="N431">
            <v>8.7069947023114492E-6</v>
          </cell>
          <cell r="O431">
            <v>3098</v>
          </cell>
          <cell r="Q431">
            <v>2762</v>
          </cell>
        </row>
        <row r="432">
          <cell r="B432" t="str">
            <v>CALISTOGA 1102634</v>
          </cell>
          <cell r="C432">
            <v>42711102</v>
          </cell>
          <cell r="D432" t="str">
            <v>CALISTOGA 1102</v>
          </cell>
          <cell r="E432">
            <v>634</v>
          </cell>
          <cell r="F432" t="b">
            <v>0</v>
          </cell>
          <cell r="G432">
            <v>27022.941423493299</v>
          </cell>
          <cell r="H432">
            <v>18046.545854622</v>
          </cell>
          <cell r="I432">
            <v>178</v>
          </cell>
          <cell r="J432">
            <v>1.2722333193461601E-4</v>
          </cell>
          <cell r="K432">
            <v>1060</v>
          </cell>
          <cell r="L432">
            <v>223.108983443754</v>
          </cell>
          <cell r="M432">
            <v>1599</v>
          </cell>
          <cell r="N432">
            <v>2.9372789353864E-2</v>
          </cell>
          <cell r="O432">
            <v>1477</v>
          </cell>
          <cell r="P432">
            <v>0.7</v>
          </cell>
          <cell r="Q432">
            <v>808</v>
          </cell>
        </row>
        <row r="433">
          <cell r="B433" t="str">
            <v>CALISTOGA 110266730</v>
          </cell>
          <cell r="C433">
            <v>42711102</v>
          </cell>
          <cell r="D433" t="str">
            <v>CALISTOGA 1102</v>
          </cell>
          <cell r="E433">
            <v>66730</v>
          </cell>
          <cell r="F433" t="b">
            <v>0</v>
          </cell>
          <cell r="G433">
            <v>1703.3078531757101</v>
          </cell>
          <cell r="H433">
            <v>1703.3078531757101</v>
          </cell>
          <cell r="I433">
            <v>6</v>
          </cell>
          <cell r="J433">
            <v>1.1857188413462899E-4</v>
          </cell>
          <cell r="K433">
            <v>1215</v>
          </cell>
          <cell r="L433">
            <v>919.85946183093199</v>
          </cell>
          <cell r="M433">
            <v>875</v>
          </cell>
          <cell r="N433">
            <v>6.4034707892981602E-2</v>
          </cell>
          <cell r="O433">
            <v>1027</v>
          </cell>
          <cell r="P433">
            <v>0.49</v>
          </cell>
          <cell r="Q433">
            <v>897</v>
          </cell>
        </row>
        <row r="434">
          <cell r="B434" t="str">
            <v>CALISTOGA 1102705</v>
          </cell>
          <cell r="C434">
            <v>42711102</v>
          </cell>
          <cell r="D434" t="str">
            <v>CALISTOGA 1102</v>
          </cell>
          <cell r="E434">
            <v>705</v>
          </cell>
          <cell r="F434" t="b">
            <v>1</v>
          </cell>
          <cell r="G434">
            <v>2028.07752818575</v>
          </cell>
          <cell r="H434">
            <v>622.31717071122898</v>
          </cell>
          <cell r="I434">
            <v>20</v>
          </cell>
          <cell r="J434">
            <v>1.06992359906143E-4</v>
          </cell>
          <cell r="K434">
            <v>1473</v>
          </cell>
          <cell r="L434">
            <v>4.0263722237353097</v>
          </cell>
          <cell r="M434">
            <v>2777</v>
          </cell>
          <cell r="N434">
            <v>2.1297831278593201E-4</v>
          </cell>
          <cell r="O434">
            <v>2828</v>
          </cell>
          <cell r="Q434">
            <v>2895</v>
          </cell>
        </row>
        <row r="435">
          <cell r="B435" t="str">
            <v>CALISTOGA 1102769230</v>
          </cell>
          <cell r="C435">
            <v>42711102</v>
          </cell>
          <cell r="D435" t="str">
            <v>CALISTOGA 1102</v>
          </cell>
          <cell r="E435">
            <v>769230</v>
          </cell>
          <cell r="F435" t="b">
            <v>0</v>
          </cell>
          <cell r="G435">
            <v>27505.729327580299</v>
          </cell>
          <cell r="H435">
            <v>17732.851983922901</v>
          </cell>
          <cell r="I435">
            <v>160</v>
          </cell>
          <cell r="J435">
            <v>1.1178747294025E-4</v>
          </cell>
          <cell r="K435">
            <v>1372</v>
          </cell>
          <cell r="L435">
            <v>159.03225715766399</v>
          </cell>
          <cell r="M435">
            <v>1749</v>
          </cell>
          <cell r="N435">
            <v>2.2337687797704699E-2</v>
          </cell>
          <cell r="O435">
            <v>1624</v>
          </cell>
          <cell r="P435">
            <v>0.28000000000000003</v>
          </cell>
          <cell r="Q435">
            <v>1034</v>
          </cell>
        </row>
        <row r="436">
          <cell r="B436" t="str">
            <v>CALISTOGA 1102960240</v>
          </cell>
          <cell r="C436">
            <v>42711102</v>
          </cell>
          <cell r="D436" t="str">
            <v>CALISTOGA 1102</v>
          </cell>
          <cell r="E436">
            <v>960240</v>
          </cell>
          <cell r="F436" t="b">
            <v>1</v>
          </cell>
          <cell r="G436">
            <v>816.273235436449</v>
          </cell>
          <cell r="H436">
            <v>816.273235436449</v>
          </cell>
          <cell r="I436">
            <v>5</v>
          </cell>
          <cell r="J436">
            <v>1.2222995937918299E-4</v>
          </cell>
          <cell r="K436">
            <v>1144</v>
          </cell>
          <cell r="L436">
            <v>6.6175878067214394E-2</v>
          </cell>
          <cell r="M436">
            <v>3175</v>
          </cell>
          <cell r="N436">
            <v>8.0788504727688507E-6</v>
          </cell>
          <cell r="O436">
            <v>3122</v>
          </cell>
          <cell r="Q436">
            <v>3597</v>
          </cell>
        </row>
        <row r="437">
          <cell r="B437" t="str">
            <v>CALISTOGA 1102CB</v>
          </cell>
          <cell r="C437">
            <v>42711102</v>
          </cell>
          <cell r="D437" t="str">
            <v>CALISTOGA 1102</v>
          </cell>
          <cell r="E437" t="str">
            <v>CB</v>
          </cell>
          <cell r="F437" t="b">
            <v>1</v>
          </cell>
          <cell r="G437">
            <v>3890.28405454432</v>
          </cell>
          <cell r="H437">
            <v>517.88138821242399</v>
          </cell>
          <cell r="I437">
            <v>37</v>
          </cell>
          <cell r="J437">
            <v>1.5375307601870001E-4</v>
          </cell>
          <cell r="K437">
            <v>712</v>
          </cell>
          <cell r="L437">
            <v>238.78340789027499</v>
          </cell>
          <cell r="M437">
            <v>1569</v>
          </cell>
          <cell r="N437">
            <v>9.51528175553919E-2</v>
          </cell>
          <cell r="O437">
            <v>790</v>
          </cell>
          <cell r="P437">
            <v>0.1</v>
          </cell>
          <cell r="Q437">
            <v>1501</v>
          </cell>
        </row>
        <row r="438">
          <cell r="B438" t="str">
            <v>CALPELLA 11011204</v>
          </cell>
          <cell r="C438">
            <v>43411101</v>
          </cell>
          <cell r="D438" t="str">
            <v>CALPELLA 1101</v>
          </cell>
          <cell r="E438">
            <v>1204</v>
          </cell>
          <cell r="F438" t="b">
            <v>0</v>
          </cell>
          <cell r="G438">
            <v>18353.244461916001</v>
          </cell>
          <cell r="H438">
            <v>15255.835623511301</v>
          </cell>
          <cell r="I438">
            <v>124</v>
          </cell>
          <cell r="J438">
            <v>1.2563516673018901E-4</v>
          </cell>
          <cell r="K438">
            <v>1084</v>
          </cell>
          <cell r="L438">
            <v>378.76173056407498</v>
          </cell>
          <cell r="M438">
            <v>1322</v>
          </cell>
          <cell r="N438">
            <v>4.0534658983807301E-2</v>
          </cell>
          <cell r="O438">
            <v>1296</v>
          </cell>
          <cell r="P438">
            <v>0.06</v>
          </cell>
          <cell r="Q438">
            <v>1888</v>
          </cell>
        </row>
        <row r="439">
          <cell r="B439" t="str">
            <v>CALPELLA 11013419</v>
          </cell>
          <cell r="C439">
            <v>43411101</v>
          </cell>
          <cell r="D439" t="str">
            <v>CALPELLA 1101</v>
          </cell>
          <cell r="E439">
            <v>3419</v>
          </cell>
          <cell r="F439" t="b">
            <v>0</v>
          </cell>
          <cell r="G439">
            <v>12848.291730560701</v>
          </cell>
          <cell r="H439">
            <v>12848.291730560701</v>
          </cell>
          <cell r="I439">
            <v>38</v>
          </cell>
          <cell r="J439">
            <v>9.3995562767506394E-5</v>
          </cell>
          <cell r="K439">
            <v>1794</v>
          </cell>
          <cell r="L439">
            <v>2318.7770609633699</v>
          </cell>
          <cell r="M439">
            <v>381</v>
          </cell>
          <cell r="N439">
            <v>0.19531128232848699</v>
          </cell>
          <cell r="O439">
            <v>346</v>
          </cell>
          <cell r="P439">
            <v>0.08</v>
          </cell>
          <cell r="Q439">
            <v>1610</v>
          </cell>
        </row>
        <row r="440">
          <cell r="B440" t="str">
            <v>CALPELLA 1101345230</v>
          </cell>
          <cell r="C440">
            <v>43411101</v>
          </cell>
          <cell r="D440" t="str">
            <v>CALPELLA 1101</v>
          </cell>
          <cell r="E440">
            <v>345230</v>
          </cell>
          <cell r="F440" t="b">
            <v>0</v>
          </cell>
          <cell r="G440">
            <v>4014.2831043296401</v>
          </cell>
          <cell r="H440">
            <v>1908.1944024391501</v>
          </cell>
          <cell r="I440">
            <v>22</v>
          </cell>
          <cell r="J440">
            <v>1.3065080383967099E-4</v>
          </cell>
          <cell r="K440">
            <v>997</v>
          </cell>
          <cell r="L440">
            <v>832.95193853090404</v>
          </cell>
          <cell r="M440">
            <v>920</v>
          </cell>
          <cell r="N440">
            <v>0.101806851441312</v>
          </cell>
          <cell r="O440">
            <v>753</v>
          </cell>
          <cell r="Q440">
            <v>3505</v>
          </cell>
        </row>
        <row r="441">
          <cell r="B441" t="str">
            <v>CALPELLA 1101542</v>
          </cell>
          <cell r="C441">
            <v>43411101</v>
          </cell>
          <cell r="D441" t="str">
            <v>CALPELLA 1101</v>
          </cell>
          <cell r="E441">
            <v>542</v>
          </cell>
          <cell r="F441" t="b">
            <v>0</v>
          </cell>
          <cell r="G441">
            <v>54014.783401953697</v>
          </cell>
          <cell r="H441">
            <v>53958.200595484202</v>
          </cell>
          <cell r="I441">
            <v>311</v>
          </cell>
          <cell r="J441">
            <v>1.08642993954954E-4</v>
          </cell>
          <cell r="K441">
            <v>1433</v>
          </cell>
          <cell r="L441">
            <v>1525.8913804183901</v>
          </cell>
          <cell r="M441">
            <v>585</v>
          </cell>
          <cell r="N441">
            <v>0.15746192311458801</v>
          </cell>
          <cell r="O441">
            <v>483</v>
          </cell>
          <cell r="P441">
            <v>0.08</v>
          </cell>
          <cell r="Q441">
            <v>1662</v>
          </cell>
        </row>
        <row r="442">
          <cell r="B442" t="str">
            <v>CALPELLA 1101600</v>
          </cell>
          <cell r="C442">
            <v>43411101</v>
          </cell>
          <cell r="D442" t="str">
            <v>CALPELLA 1101</v>
          </cell>
          <cell r="E442">
            <v>600</v>
          </cell>
          <cell r="F442" t="b">
            <v>0</v>
          </cell>
          <cell r="G442">
            <v>39281.1533072042</v>
          </cell>
          <cell r="H442">
            <v>30870.3000004694</v>
          </cell>
          <cell r="I442">
            <v>164</v>
          </cell>
          <cell r="J442">
            <v>1.15879877503849E-4</v>
          </cell>
          <cell r="K442">
            <v>1272</v>
          </cell>
          <cell r="L442">
            <v>1083.2563632757699</v>
          </cell>
          <cell r="M442">
            <v>781</v>
          </cell>
          <cell r="N442">
            <v>0.10817574986242599</v>
          </cell>
          <cell r="O442">
            <v>718</v>
          </cell>
          <cell r="P442">
            <v>0.15</v>
          </cell>
          <cell r="Q442">
            <v>1297</v>
          </cell>
        </row>
        <row r="443">
          <cell r="B443" t="str">
            <v>CALPELLA 1101619542</v>
          </cell>
          <cell r="C443">
            <v>43411101</v>
          </cell>
          <cell r="D443" t="str">
            <v>CALPELLA 1101</v>
          </cell>
          <cell r="E443">
            <v>619542</v>
          </cell>
          <cell r="F443" t="b">
            <v>0</v>
          </cell>
          <cell r="G443">
            <v>2424.2590373691</v>
          </cell>
          <cell r="H443">
            <v>2408.2569475561299</v>
          </cell>
          <cell r="I443">
            <v>21</v>
          </cell>
          <cell r="J443">
            <v>1.3243942573483601E-4</v>
          </cell>
          <cell r="K443">
            <v>972</v>
          </cell>
          <cell r="L443">
            <v>252.79446481520199</v>
          </cell>
          <cell r="M443">
            <v>1536</v>
          </cell>
          <cell r="N443">
            <v>3.18737474271426E-2</v>
          </cell>
          <cell r="O443">
            <v>1432</v>
          </cell>
          <cell r="Q443">
            <v>3241</v>
          </cell>
        </row>
        <row r="444">
          <cell r="B444" t="str">
            <v>CALPELLA 1101CB</v>
          </cell>
          <cell r="C444">
            <v>43411101</v>
          </cell>
          <cell r="D444" t="str">
            <v>CALPELLA 1101</v>
          </cell>
          <cell r="E444" t="str">
            <v>CB</v>
          </cell>
          <cell r="F444" t="b">
            <v>0</v>
          </cell>
          <cell r="G444">
            <v>32987.491349449403</v>
          </cell>
          <cell r="H444">
            <v>18947.936226102302</v>
          </cell>
          <cell r="I444">
            <v>226</v>
          </cell>
          <cell r="J444">
            <v>1.2254578055742699E-4</v>
          </cell>
          <cell r="K444">
            <v>1139</v>
          </cell>
          <cell r="L444">
            <v>327.79453864918599</v>
          </cell>
          <cell r="M444">
            <v>1401</v>
          </cell>
          <cell r="N444">
            <v>4.3017783142051999E-2</v>
          </cell>
          <cell r="O444">
            <v>1256</v>
          </cell>
          <cell r="P444">
            <v>0.04</v>
          </cell>
          <cell r="Q444">
            <v>2117</v>
          </cell>
        </row>
        <row r="445">
          <cell r="B445" t="str">
            <v>CALPELLA 1102127462</v>
          </cell>
          <cell r="C445">
            <v>43411102</v>
          </cell>
          <cell r="D445" t="str">
            <v>CALPELLA 1102</v>
          </cell>
          <cell r="E445">
            <v>127462</v>
          </cell>
          <cell r="F445" t="b">
            <v>1</v>
          </cell>
          <cell r="G445">
            <v>205.30951161874501</v>
          </cell>
          <cell r="H445">
            <v>189.27367881398001</v>
          </cell>
          <cell r="I445">
            <v>2</v>
          </cell>
          <cell r="J445">
            <v>1.5962047109496701E-4</v>
          </cell>
          <cell r="K445">
            <v>647</v>
          </cell>
          <cell r="L445">
            <v>47.5976460554377</v>
          </cell>
          <cell r="M445">
            <v>2225</v>
          </cell>
          <cell r="N445">
            <v>4.7158004903943198E-3</v>
          </cell>
          <cell r="O445">
            <v>2219</v>
          </cell>
          <cell r="Q445">
            <v>3622</v>
          </cell>
        </row>
        <row r="446">
          <cell r="B446" t="str">
            <v>CALPELLA 1102144510</v>
          </cell>
          <cell r="C446">
            <v>43411102</v>
          </cell>
          <cell r="D446" t="str">
            <v>CALPELLA 1102</v>
          </cell>
          <cell r="E446">
            <v>144510</v>
          </cell>
          <cell r="F446" t="b">
            <v>0</v>
          </cell>
          <cell r="G446">
            <v>8266.8345917019597</v>
          </cell>
          <cell r="H446">
            <v>5010.1846152502503</v>
          </cell>
          <cell r="I446">
            <v>41</v>
          </cell>
          <cell r="J446">
            <v>8.3653988167498004E-5</v>
          </cell>
          <cell r="K446">
            <v>2104</v>
          </cell>
          <cell r="L446">
            <v>950.82645254594604</v>
          </cell>
          <cell r="M446">
            <v>860</v>
          </cell>
          <cell r="N446">
            <v>8.2180001447737294E-2</v>
          </cell>
          <cell r="O446">
            <v>884</v>
          </cell>
          <cell r="Q446">
            <v>2896</v>
          </cell>
        </row>
        <row r="447">
          <cell r="B447" t="str">
            <v>CALPELLA 1102379946</v>
          </cell>
          <cell r="C447">
            <v>43411102</v>
          </cell>
          <cell r="D447" t="str">
            <v>CALPELLA 1102</v>
          </cell>
          <cell r="E447">
            <v>379946</v>
          </cell>
          <cell r="F447" t="b">
            <v>0</v>
          </cell>
          <cell r="G447">
            <v>2891.0031915968698</v>
          </cell>
          <cell r="H447">
            <v>1211.8312879489399</v>
          </cell>
          <cell r="I447">
            <v>15</v>
          </cell>
          <cell r="J447">
            <v>1.44484232025986E-4</v>
          </cell>
          <cell r="K447">
            <v>805</v>
          </cell>
          <cell r="L447">
            <v>6.5149989184153406E-2</v>
          </cell>
          <cell r="M447">
            <v>3577</v>
          </cell>
          <cell r="N447">
            <v>9.4131461537737008E-6</v>
          </cell>
          <cell r="O447">
            <v>3081</v>
          </cell>
          <cell r="Q447">
            <v>3120</v>
          </cell>
        </row>
        <row r="448">
          <cell r="B448" t="str">
            <v>CALPELLA 1102421412</v>
          </cell>
          <cell r="C448">
            <v>43411102</v>
          </cell>
          <cell r="D448" t="str">
            <v>CALPELLA 1102</v>
          </cell>
          <cell r="E448">
            <v>421412</v>
          </cell>
          <cell r="F448" t="b">
            <v>0</v>
          </cell>
          <cell r="G448">
            <v>5653.9031830947197</v>
          </cell>
          <cell r="H448">
            <v>1616.30925719175</v>
          </cell>
          <cell r="I448">
            <v>38</v>
          </cell>
          <cell r="J448">
            <v>1.2062681918522599E-4</v>
          </cell>
          <cell r="K448">
            <v>1173</v>
          </cell>
          <cell r="L448">
            <v>1137.8972141505999</v>
          </cell>
          <cell r="M448">
            <v>758</v>
          </cell>
          <cell r="N448">
            <v>0.171269834617438</v>
          </cell>
          <cell r="O448">
            <v>431</v>
          </cell>
          <cell r="Q448">
            <v>3003</v>
          </cell>
        </row>
        <row r="449">
          <cell r="B449" t="str">
            <v>CALPELLA 1102477890</v>
          </cell>
          <cell r="C449">
            <v>43411102</v>
          </cell>
          <cell r="D449" t="str">
            <v>CALPELLA 1102</v>
          </cell>
          <cell r="E449">
            <v>477890</v>
          </cell>
          <cell r="F449" t="b">
            <v>0</v>
          </cell>
          <cell r="G449">
            <v>4846.0498574414596</v>
          </cell>
          <cell r="H449">
            <v>1726.9793750993799</v>
          </cell>
          <cell r="I449">
            <v>35</v>
          </cell>
          <cell r="J449">
            <v>9.2097233980038099E-5</v>
          </cell>
          <cell r="K449">
            <v>1839</v>
          </cell>
          <cell r="L449">
            <v>48.218273573478498</v>
          </cell>
          <cell r="M449">
            <v>2219</v>
          </cell>
          <cell r="N449">
            <v>3.3263868547019101E-3</v>
          </cell>
          <cell r="O449">
            <v>2312</v>
          </cell>
          <cell r="Q449">
            <v>2995</v>
          </cell>
        </row>
        <row r="450">
          <cell r="B450" t="str">
            <v>CALPELLA 1102708161</v>
          </cell>
          <cell r="C450">
            <v>43411102</v>
          </cell>
          <cell r="D450" t="str">
            <v>CALPELLA 1102</v>
          </cell>
          <cell r="E450">
            <v>708161</v>
          </cell>
          <cell r="F450" t="b">
            <v>0</v>
          </cell>
          <cell r="G450">
            <v>1824.6356413195499</v>
          </cell>
          <cell r="H450">
            <v>1615.00070287318</v>
          </cell>
          <cell r="I450">
            <v>12</v>
          </cell>
          <cell r="J450">
            <v>1.23061111480637E-4</v>
          </cell>
          <cell r="K450">
            <v>1133</v>
          </cell>
          <cell r="L450">
            <v>461.52767749957701</v>
          </cell>
          <cell r="M450">
            <v>1234</v>
          </cell>
          <cell r="N450">
            <v>5.9605833807301202E-2</v>
          </cell>
          <cell r="O450">
            <v>1064</v>
          </cell>
          <cell r="Q450">
            <v>3411</v>
          </cell>
        </row>
        <row r="451">
          <cell r="B451" t="str">
            <v>CALPELLA 1102CB</v>
          </cell>
          <cell r="C451">
            <v>43411102</v>
          </cell>
          <cell r="D451" t="str">
            <v>CALPELLA 1102</v>
          </cell>
          <cell r="E451" t="str">
            <v>CB</v>
          </cell>
          <cell r="F451" t="b">
            <v>1</v>
          </cell>
          <cell r="G451">
            <v>7260.7146354545503</v>
          </cell>
          <cell r="H451">
            <v>263.08002691676802</v>
          </cell>
          <cell r="I451">
            <v>61</v>
          </cell>
          <cell r="J451">
            <v>1.1907341895494E-4</v>
          </cell>
          <cell r="K451">
            <v>1204</v>
          </cell>
          <cell r="L451">
            <v>713.23670359796995</v>
          </cell>
          <cell r="M451">
            <v>1010</v>
          </cell>
          <cell r="N451">
            <v>0.110395430912881</v>
          </cell>
          <cell r="O451">
            <v>712</v>
          </cell>
          <cell r="P451">
            <v>0.02</v>
          </cell>
          <cell r="Q451">
            <v>2463</v>
          </cell>
        </row>
        <row r="452">
          <cell r="B452" t="str">
            <v>CALPINE 1144276-G</v>
          </cell>
          <cell r="C452">
            <v>48011144</v>
          </cell>
          <cell r="D452" t="str">
            <v>CALPINE 1144</v>
          </cell>
          <cell r="E452" t="str">
            <v>276-G</v>
          </cell>
          <cell r="F452" t="b">
            <v>1</v>
          </cell>
          <cell r="G452">
            <v>23.74783542066</v>
          </cell>
          <cell r="H452">
            <v>23.74783542066</v>
          </cell>
          <cell r="I452">
            <v>1</v>
          </cell>
          <cell r="J452">
            <v>2.5381785235367699E-4</v>
          </cell>
          <cell r="K452">
            <v>208</v>
          </cell>
          <cell r="L452">
            <v>7401.5283033141804</v>
          </cell>
          <cell r="M452">
            <v>7</v>
          </cell>
          <cell r="N452">
            <v>1.8786400180821601</v>
          </cell>
          <cell r="O452">
            <v>2</v>
          </cell>
          <cell r="P452">
            <v>0.16</v>
          </cell>
          <cell r="Q452">
            <v>1261</v>
          </cell>
        </row>
        <row r="453">
          <cell r="B453" t="str">
            <v>CALPINE 1144304</v>
          </cell>
          <cell r="C453">
            <v>48011144</v>
          </cell>
          <cell r="D453" t="str">
            <v>CALPINE 1144</v>
          </cell>
          <cell r="E453">
            <v>304</v>
          </cell>
          <cell r="F453" t="b">
            <v>1</v>
          </cell>
          <cell r="G453">
            <v>74.606732040435901</v>
          </cell>
          <cell r="H453">
            <v>74.606732040435901</v>
          </cell>
          <cell r="I453">
            <v>2</v>
          </cell>
          <cell r="J453">
            <v>1.3842444604961199E-4</v>
          </cell>
          <cell r="K453">
            <v>890</v>
          </cell>
          <cell r="L453">
            <v>24.240555215785101</v>
          </cell>
          <cell r="M453">
            <v>2399</v>
          </cell>
          <cell r="N453">
            <v>3.3554854276800798E-3</v>
          </cell>
          <cell r="O453">
            <v>2308</v>
          </cell>
          <cell r="P453">
            <v>0.18</v>
          </cell>
          <cell r="Q453">
            <v>1213</v>
          </cell>
        </row>
        <row r="454">
          <cell r="B454" t="str">
            <v>CALPINE 1144962</v>
          </cell>
          <cell r="C454">
            <v>48011144</v>
          </cell>
          <cell r="D454" t="str">
            <v>CALPINE 1144</v>
          </cell>
          <cell r="E454">
            <v>962</v>
          </cell>
          <cell r="F454" t="b">
            <v>1</v>
          </cell>
          <cell r="G454">
            <v>63.3635601726102</v>
          </cell>
          <cell r="H454">
            <v>63.3635601726102</v>
          </cell>
          <cell r="I454">
            <v>1</v>
          </cell>
          <cell r="J454">
            <v>1.03212980320677E-4</v>
          </cell>
          <cell r="K454">
            <v>1565</v>
          </cell>
          <cell r="L454">
            <v>595.16160876385197</v>
          </cell>
          <cell r="M454">
            <v>1105</v>
          </cell>
          <cell r="N454">
            <v>6.1428403412966001E-2</v>
          </cell>
          <cell r="O454">
            <v>1049</v>
          </cell>
          <cell r="P454">
            <v>8.51</v>
          </cell>
          <cell r="Q454">
            <v>425</v>
          </cell>
        </row>
        <row r="455">
          <cell r="B455" t="str">
            <v>CALPINE 1144962</v>
          </cell>
          <cell r="C455">
            <v>48011144</v>
          </cell>
          <cell r="D455" t="str">
            <v>CALPINE 1144</v>
          </cell>
          <cell r="E455">
            <v>962</v>
          </cell>
          <cell r="F455" t="b">
            <v>0</v>
          </cell>
          <cell r="G455">
            <v>6465.1164894958602</v>
          </cell>
          <cell r="H455">
            <v>6465.1164894958602</v>
          </cell>
          <cell r="I455">
            <v>13</v>
          </cell>
          <cell r="J455">
            <v>1.02767834202192E-4</v>
          </cell>
          <cell r="K455">
            <v>1576</v>
          </cell>
          <cell r="L455">
            <v>122.922738366818</v>
          </cell>
          <cell r="M455">
            <v>1861</v>
          </cell>
          <cell r="N455">
            <v>1.6389928495103401E-2</v>
          </cell>
          <cell r="O455">
            <v>1758</v>
          </cell>
          <cell r="P455">
            <v>8.51</v>
          </cell>
          <cell r="Q455">
            <v>424</v>
          </cell>
        </row>
        <row r="456">
          <cell r="B456" t="str">
            <v>CALPINE 1144CB</v>
          </cell>
          <cell r="C456">
            <v>48011144</v>
          </cell>
          <cell r="D456" t="str">
            <v>CALPINE 1144</v>
          </cell>
          <cell r="E456" t="str">
            <v>CB</v>
          </cell>
          <cell r="F456" t="b">
            <v>0</v>
          </cell>
          <cell r="G456">
            <v>42270.014473334799</v>
          </cell>
          <cell r="H456">
            <v>42270.014473334799</v>
          </cell>
          <cell r="I456">
            <v>131</v>
          </cell>
          <cell r="J456">
            <v>1.47623132008334E-4</v>
          </cell>
          <cell r="K456">
            <v>766</v>
          </cell>
          <cell r="L456">
            <v>1407.8482862328599</v>
          </cell>
          <cell r="M456">
            <v>633</v>
          </cell>
          <cell r="N456">
            <v>0.19817319830223601</v>
          </cell>
          <cell r="O456">
            <v>334</v>
          </cell>
          <cell r="P456">
            <v>0.25</v>
          </cell>
          <cell r="Q456">
            <v>1086</v>
          </cell>
        </row>
        <row r="457">
          <cell r="B457" t="str">
            <v>CALPINE 1146200-G</v>
          </cell>
          <cell r="C457">
            <v>48011146</v>
          </cell>
          <cell r="D457" t="str">
            <v>CALPINE 1146</v>
          </cell>
          <cell r="E457" t="str">
            <v>200-G</v>
          </cell>
          <cell r="F457" t="b">
            <v>1</v>
          </cell>
          <cell r="G457">
            <v>13.7161032291579</v>
          </cell>
          <cell r="H457">
            <v>13.7161032291579</v>
          </cell>
          <cell r="I457">
            <v>1</v>
          </cell>
          <cell r="J457">
            <v>1.5981908654793999E-4</v>
          </cell>
          <cell r="K457">
            <v>645</v>
          </cell>
          <cell r="L457">
            <v>3189.8253020939501</v>
          </cell>
          <cell r="M457">
            <v>242</v>
          </cell>
          <cell r="N457">
            <v>0.50979496602816499</v>
          </cell>
          <cell r="O457">
            <v>31</v>
          </cell>
          <cell r="P457">
            <v>18.16</v>
          </cell>
          <cell r="Q457">
            <v>324</v>
          </cell>
        </row>
        <row r="458">
          <cell r="B458" t="str">
            <v>CALPINE 1146394G</v>
          </cell>
          <cell r="C458">
            <v>48011146</v>
          </cell>
          <cell r="D458" t="str">
            <v>CALPINE 1146</v>
          </cell>
          <cell r="E458" t="str">
            <v>394G</v>
          </cell>
          <cell r="F458" t="b">
            <v>1</v>
          </cell>
          <cell r="G458">
            <v>18.168309044868298</v>
          </cell>
          <cell r="H458">
            <v>18.168309044868298</v>
          </cell>
          <cell r="I458">
            <v>1</v>
          </cell>
          <cell r="J458">
            <v>1.5981908654793999E-4</v>
          </cell>
          <cell r="K458">
            <v>646</v>
          </cell>
          <cell r="L458">
            <v>3189.8253020939501</v>
          </cell>
          <cell r="M458">
            <v>243</v>
          </cell>
          <cell r="N458">
            <v>0.50979496602816499</v>
          </cell>
          <cell r="O458">
            <v>32</v>
          </cell>
          <cell r="P458">
            <v>18.149999999999999</v>
          </cell>
          <cell r="Q458">
            <v>325</v>
          </cell>
        </row>
        <row r="459">
          <cell r="B459" t="str">
            <v>CALPINE 1146400</v>
          </cell>
          <cell r="C459">
            <v>48011146</v>
          </cell>
          <cell r="D459" t="str">
            <v>CALPINE 1146</v>
          </cell>
          <cell r="E459">
            <v>400</v>
          </cell>
          <cell r="F459" t="b">
            <v>0</v>
          </cell>
          <cell r="G459">
            <v>5057.3021149410597</v>
          </cell>
          <cell r="H459">
            <v>5057.3021149410597</v>
          </cell>
          <cell r="I459">
            <v>8</v>
          </cell>
          <cell r="J459">
            <v>9.5473568632899297E-5</v>
          </cell>
          <cell r="K459">
            <v>1743</v>
          </cell>
          <cell r="L459">
            <v>3849.06828515495</v>
          </cell>
          <cell r="M459">
            <v>163</v>
          </cell>
          <cell r="N459">
            <v>0.34896013287450101</v>
          </cell>
          <cell r="O459">
            <v>97</v>
          </cell>
          <cell r="P459">
            <v>0.31</v>
          </cell>
          <cell r="Q459">
            <v>1006</v>
          </cell>
        </row>
        <row r="460">
          <cell r="B460" t="str">
            <v>CALPINE 1146CB</v>
          </cell>
          <cell r="C460">
            <v>48011146</v>
          </cell>
          <cell r="D460" t="str">
            <v>CALPINE 1146</v>
          </cell>
          <cell r="E460" t="str">
            <v>CB</v>
          </cell>
          <cell r="F460" t="b">
            <v>0</v>
          </cell>
          <cell r="G460">
            <v>4947.4930185674903</v>
          </cell>
          <cell r="H460">
            <v>4947.4930185674903</v>
          </cell>
          <cell r="I460">
            <v>21</v>
          </cell>
          <cell r="J460">
            <v>1.32694976595563E-4</v>
          </cell>
          <cell r="K460">
            <v>965</v>
          </cell>
          <cell r="L460">
            <v>2090.78181105054</v>
          </cell>
          <cell r="M460">
            <v>430</v>
          </cell>
          <cell r="N460">
            <v>0.213985867783725</v>
          </cell>
          <cell r="O460">
            <v>297</v>
          </cell>
          <cell r="P460">
            <v>0.32</v>
          </cell>
          <cell r="Q460">
            <v>995</v>
          </cell>
        </row>
        <row r="461">
          <cell r="B461" t="str">
            <v>CAMBRIA 1101858200</v>
          </cell>
          <cell r="C461">
            <v>182771101</v>
          </cell>
          <cell r="D461" t="str">
            <v>CAMBRIA 1101</v>
          </cell>
          <cell r="E461">
            <v>858200</v>
          </cell>
          <cell r="F461" t="b">
            <v>0</v>
          </cell>
          <cell r="G461">
            <v>9571.0307876368606</v>
          </cell>
          <cell r="H461">
            <v>9200.2096421640199</v>
          </cell>
          <cell r="I461">
            <v>31</v>
          </cell>
          <cell r="J461">
            <v>6.6010259494456996E-5</v>
          </cell>
          <cell r="K461">
            <v>2588</v>
          </cell>
          <cell r="L461">
            <v>330.12435480591699</v>
          </cell>
          <cell r="M461">
            <v>1397</v>
          </cell>
          <cell r="N461">
            <v>2.2445939264105999E-2</v>
          </cell>
          <cell r="O461">
            <v>1620</v>
          </cell>
          <cell r="Q461">
            <v>3395</v>
          </cell>
        </row>
        <row r="462">
          <cell r="B462" t="str">
            <v>CAMBRIA 1101CB</v>
          </cell>
          <cell r="C462">
            <v>182771101</v>
          </cell>
          <cell r="D462" t="str">
            <v>CAMBRIA 1101</v>
          </cell>
          <cell r="E462" t="str">
            <v>CB</v>
          </cell>
          <cell r="F462" t="b">
            <v>1</v>
          </cell>
          <cell r="G462">
            <v>9964.9315069048698</v>
          </cell>
          <cell r="H462">
            <v>415.918216776051</v>
          </cell>
          <cell r="I462">
            <v>45</v>
          </cell>
          <cell r="J462">
            <v>5.40439734622437E-5</v>
          </cell>
          <cell r="K462">
            <v>2942</v>
          </cell>
          <cell r="L462">
            <v>29.9474565785792</v>
          </cell>
          <cell r="M462">
            <v>2345</v>
          </cell>
          <cell r="N462">
            <v>2.5605756330929598E-3</v>
          </cell>
          <cell r="O462">
            <v>2403</v>
          </cell>
          <cell r="P462">
            <v>0.02</v>
          </cell>
          <cell r="Q462">
            <v>2456</v>
          </cell>
        </row>
        <row r="463">
          <cell r="B463" t="str">
            <v>CAMBRIA 1101V76</v>
          </cell>
          <cell r="C463">
            <v>182771101</v>
          </cell>
          <cell r="D463" t="str">
            <v>CAMBRIA 1101</v>
          </cell>
          <cell r="E463" t="str">
            <v>V76</v>
          </cell>
          <cell r="F463" t="b">
            <v>0</v>
          </cell>
          <cell r="G463">
            <v>30510.638771322301</v>
          </cell>
          <cell r="H463">
            <v>30510.638771322301</v>
          </cell>
          <cell r="I463">
            <v>59</v>
          </cell>
          <cell r="J463">
            <v>6.8996648493608695E-5</v>
          </cell>
          <cell r="K463">
            <v>2510</v>
          </cell>
          <cell r="L463">
            <v>662.26352271507506</v>
          </cell>
          <cell r="M463">
            <v>1050</v>
          </cell>
          <cell r="N463">
            <v>4.79253789521513E-2</v>
          </cell>
          <cell r="O463">
            <v>1200</v>
          </cell>
          <cell r="P463">
            <v>0.05</v>
          </cell>
          <cell r="Q463">
            <v>2034</v>
          </cell>
        </row>
        <row r="464">
          <cell r="B464" t="str">
            <v>CAMBRIA 1102CB</v>
          </cell>
          <cell r="C464">
            <v>182771102</v>
          </cell>
          <cell r="D464" t="str">
            <v>CAMBRIA 1102</v>
          </cell>
          <cell r="E464" t="str">
            <v>CB</v>
          </cell>
          <cell r="F464" t="b">
            <v>0</v>
          </cell>
          <cell r="G464">
            <v>37414.417201259399</v>
          </cell>
          <cell r="H464">
            <v>25753.258979791801</v>
          </cell>
          <cell r="I464">
            <v>153</v>
          </cell>
          <cell r="J464">
            <v>5.55699763284186E-5</v>
          </cell>
          <cell r="K464">
            <v>2899</v>
          </cell>
          <cell r="L464">
            <v>155.15273081292099</v>
          </cell>
          <cell r="M464">
            <v>1763</v>
          </cell>
          <cell r="N464">
            <v>1.0467612911805301E-2</v>
          </cell>
          <cell r="O464">
            <v>1939</v>
          </cell>
          <cell r="P464">
            <v>0.06</v>
          </cell>
          <cell r="Q464">
            <v>1833</v>
          </cell>
        </row>
        <row r="465">
          <cell r="B465" t="str">
            <v>CAMBRIA 1102W50</v>
          </cell>
          <cell r="C465">
            <v>182771102</v>
          </cell>
          <cell r="D465" t="str">
            <v>CAMBRIA 1102</v>
          </cell>
          <cell r="E465" t="str">
            <v>W50</v>
          </cell>
          <cell r="F465" t="b">
            <v>1</v>
          </cell>
          <cell r="G465">
            <v>5818.6321508926903</v>
          </cell>
          <cell r="H465">
            <v>997.94578076785501</v>
          </cell>
          <cell r="I465">
            <v>40</v>
          </cell>
          <cell r="J465">
            <v>1.47961686707276E-5</v>
          </cell>
          <cell r="K465">
            <v>3587</v>
          </cell>
          <cell r="L465">
            <v>16.6866211645305</v>
          </cell>
          <cell r="M465">
            <v>2506</v>
          </cell>
          <cell r="N465">
            <v>2.1092630432931601E-4</v>
          </cell>
          <cell r="O465">
            <v>2830</v>
          </cell>
          <cell r="P465">
            <v>0.03</v>
          </cell>
          <cell r="Q465">
            <v>2302</v>
          </cell>
        </row>
        <row r="466">
          <cell r="B466" t="str">
            <v>CAMP EVERS 210310946</v>
          </cell>
          <cell r="C466">
            <v>83622103</v>
          </cell>
          <cell r="D466" t="str">
            <v>CAMP EVERS 2103</v>
          </cell>
          <cell r="E466">
            <v>10946</v>
          </cell>
          <cell r="F466" t="b">
            <v>0</v>
          </cell>
          <cell r="G466">
            <v>13600.9039665049</v>
          </cell>
          <cell r="H466">
            <v>9098.3131910291995</v>
          </cell>
          <cell r="I466">
            <v>112</v>
          </cell>
          <cell r="J466">
            <v>1.6435440556961101E-4</v>
          </cell>
          <cell r="K466">
            <v>595</v>
          </cell>
          <cell r="L466">
            <v>6.5950064919888904E-2</v>
          </cell>
          <cell r="M466">
            <v>3235</v>
          </cell>
          <cell r="N466">
            <v>1.08509913836589E-5</v>
          </cell>
          <cell r="O466">
            <v>3050</v>
          </cell>
          <cell r="P466">
            <v>0.4</v>
          </cell>
          <cell r="Q466">
            <v>945</v>
          </cell>
        </row>
        <row r="467">
          <cell r="B467" t="str">
            <v>CAMP EVERS 210311046</v>
          </cell>
          <cell r="C467">
            <v>83622103</v>
          </cell>
          <cell r="D467" t="str">
            <v>CAMP EVERS 2103</v>
          </cell>
          <cell r="E467">
            <v>11046</v>
          </cell>
          <cell r="F467" t="b">
            <v>0</v>
          </cell>
          <cell r="G467">
            <v>25866.5620940443</v>
          </cell>
          <cell r="H467">
            <v>25866.5620940443</v>
          </cell>
          <cell r="I467">
            <v>194</v>
          </cell>
          <cell r="J467">
            <v>1.6384359072073499E-4</v>
          </cell>
          <cell r="K467">
            <v>601</v>
          </cell>
          <cell r="L467">
            <v>6.3121350808549099</v>
          </cell>
          <cell r="M467">
            <v>2705</v>
          </cell>
          <cell r="N467">
            <v>1.23255567188271E-3</v>
          </cell>
          <cell r="O467">
            <v>2595</v>
          </cell>
          <cell r="P467">
            <v>1.33</v>
          </cell>
          <cell r="Q467">
            <v>683</v>
          </cell>
        </row>
        <row r="468">
          <cell r="B468" t="str">
            <v>CAMP EVERS 210311056</v>
          </cell>
          <cell r="C468">
            <v>83622103</v>
          </cell>
          <cell r="D468" t="str">
            <v>CAMP EVERS 2103</v>
          </cell>
          <cell r="E468">
            <v>11056</v>
          </cell>
          <cell r="F468" t="b">
            <v>0</v>
          </cell>
          <cell r="G468">
            <v>6785.5938701123196</v>
          </cell>
          <cell r="H468">
            <v>6717.0632270092901</v>
          </cell>
          <cell r="I468">
            <v>48</v>
          </cell>
          <cell r="J468">
            <v>1.6442455716969499E-4</v>
          </cell>
          <cell r="K468">
            <v>592</v>
          </cell>
          <cell r="L468">
            <v>4.0260186698287699</v>
          </cell>
          <cell r="M468">
            <v>2778</v>
          </cell>
          <cell r="N468">
            <v>7.1991321455197404E-4</v>
          </cell>
          <cell r="O468">
            <v>2682</v>
          </cell>
          <cell r="P468">
            <v>0.3</v>
          </cell>
          <cell r="Q468">
            <v>1011</v>
          </cell>
        </row>
        <row r="469">
          <cell r="B469" t="str">
            <v>CAMP EVERS 210312990</v>
          </cell>
          <cell r="C469">
            <v>83622103</v>
          </cell>
          <cell r="D469" t="str">
            <v>CAMP EVERS 2103</v>
          </cell>
          <cell r="E469">
            <v>12990</v>
          </cell>
          <cell r="F469" t="b">
            <v>0</v>
          </cell>
          <cell r="G469">
            <v>21277.9249206485</v>
          </cell>
          <cell r="H469">
            <v>21277.9249206485</v>
          </cell>
          <cell r="I469">
            <v>161</v>
          </cell>
          <cell r="J469">
            <v>1.87956048258846E-4</v>
          </cell>
          <cell r="K469">
            <v>455</v>
          </cell>
          <cell r="L469">
            <v>1.0993955875788901</v>
          </cell>
          <cell r="M469">
            <v>2886</v>
          </cell>
          <cell r="N469">
            <v>1.6126797751402601E-4</v>
          </cell>
          <cell r="O469">
            <v>2850</v>
          </cell>
          <cell r="P469">
            <v>0.86</v>
          </cell>
          <cell r="Q469">
            <v>764</v>
          </cell>
        </row>
        <row r="470">
          <cell r="B470" t="str">
            <v>CAMP EVERS 21035402</v>
          </cell>
          <cell r="C470">
            <v>83622103</v>
          </cell>
          <cell r="D470" t="str">
            <v>CAMP EVERS 2103</v>
          </cell>
          <cell r="E470">
            <v>5402</v>
          </cell>
          <cell r="F470" t="b">
            <v>0</v>
          </cell>
          <cell r="G470">
            <v>10826.3428203318</v>
          </cell>
          <cell r="H470">
            <v>4595.9766679905697</v>
          </cell>
          <cell r="I470">
            <v>87</v>
          </cell>
          <cell r="J470">
            <v>1.2690149323620799E-4</v>
          </cell>
          <cell r="K470">
            <v>1066</v>
          </cell>
          <cell r="L470">
            <v>6.5545758296703394E-2</v>
          </cell>
          <cell r="M470">
            <v>3353</v>
          </cell>
          <cell r="N470">
            <v>8.32336064819511E-6</v>
          </cell>
          <cell r="O470">
            <v>3112</v>
          </cell>
          <cell r="P470">
            <v>0.19</v>
          </cell>
          <cell r="Q470">
            <v>1181</v>
          </cell>
        </row>
        <row r="471">
          <cell r="B471" t="str">
            <v>CAMP EVERS 21035404</v>
          </cell>
          <cell r="C471">
            <v>83622103</v>
          </cell>
          <cell r="D471" t="str">
            <v>CAMP EVERS 2103</v>
          </cell>
          <cell r="E471">
            <v>5404</v>
          </cell>
          <cell r="F471" t="b">
            <v>0</v>
          </cell>
          <cell r="G471">
            <v>7456.6430692192598</v>
          </cell>
          <cell r="H471">
            <v>4377.7977656474604</v>
          </cell>
          <cell r="I471">
            <v>63</v>
          </cell>
          <cell r="J471">
            <v>1.27381739445149E-4</v>
          </cell>
          <cell r="K471">
            <v>1057</v>
          </cell>
          <cell r="L471">
            <v>6.5779252184761897E-2</v>
          </cell>
          <cell r="M471">
            <v>3291</v>
          </cell>
          <cell r="N471">
            <v>8.4149491315314405E-6</v>
          </cell>
          <cell r="O471">
            <v>3110</v>
          </cell>
          <cell r="P471">
            <v>0.15</v>
          </cell>
          <cell r="Q471">
            <v>1284</v>
          </cell>
        </row>
        <row r="472">
          <cell r="B472" t="str">
            <v>CAMP EVERS 210355638</v>
          </cell>
          <cell r="C472">
            <v>83622103</v>
          </cell>
          <cell r="D472" t="str">
            <v>CAMP EVERS 2103</v>
          </cell>
          <cell r="E472">
            <v>55638</v>
          </cell>
          <cell r="F472" t="b">
            <v>0</v>
          </cell>
          <cell r="G472">
            <v>5639.9214551345203</v>
          </cell>
          <cell r="H472">
            <v>2949.56477920822</v>
          </cell>
          <cell r="I472">
            <v>42</v>
          </cell>
          <cell r="J472">
            <v>1.7355730441132801E-4</v>
          </cell>
          <cell r="K472">
            <v>537</v>
          </cell>
          <cell r="L472">
            <v>6.5697669982910101E-2</v>
          </cell>
          <cell r="M472">
            <v>3312</v>
          </cell>
          <cell r="N472">
            <v>1.14157501453195E-5</v>
          </cell>
          <cell r="O472">
            <v>3043</v>
          </cell>
          <cell r="P472">
            <v>0.27</v>
          </cell>
          <cell r="Q472">
            <v>1049</v>
          </cell>
        </row>
        <row r="473">
          <cell r="B473" t="str">
            <v>CAMP EVERS 210392582</v>
          </cell>
          <cell r="C473">
            <v>83622103</v>
          </cell>
          <cell r="D473" t="str">
            <v>CAMP EVERS 2103</v>
          </cell>
          <cell r="E473">
            <v>92582</v>
          </cell>
          <cell r="F473" t="b">
            <v>1</v>
          </cell>
          <cell r="G473">
            <v>4514.96483849378</v>
          </cell>
          <cell r="H473">
            <v>245.76548164965999</v>
          </cell>
          <cell r="I473">
            <v>41</v>
          </cell>
          <cell r="J473">
            <v>9.2095006470443801E-5</v>
          </cell>
          <cell r="K473">
            <v>1840</v>
          </cell>
          <cell r="L473">
            <v>6.5146990120410905E-2</v>
          </cell>
          <cell r="M473">
            <v>3619</v>
          </cell>
          <cell r="N473">
            <v>5.99971247666918E-6</v>
          </cell>
          <cell r="O473">
            <v>3210</v>
          </cell>
          <cell r="P473">
            <v>7.0000000000000007E-2</v>
          </cell>
          <cell r="Q473">
            <v>1704</v>
          </cell>
        </row>
        <row r="474">
          <cell r="B474" t="str">
            <v>CAMP EVERS 2103CB</v>
          </cell>
          <cell r="C474">
            <v>83622103</v>
          </cell>
          <cell r="D474" t="str">
            <v>CAMP EVERS 2103</v>
          </cell>
          <cell r="E474" t="str">
            <v>CB</v>
          </cell>
          <cell r="F474" t="b">
            <v>1</v>
          </cell>
          <cell r="G474">
            <v>225.70117790669801</v>
          </cell>
          <cell r="H474">
            <v>190.378835595818</v>
          </cell>
          <cell r="I474">
            <v>6</v>
          </cell>
          <cell r="J474">
            <v>4.3794711685526001E-4</v>
          </cell>
          <cell r="K474">
            <v>56</v>
          </cell>
          <cell r="L474">
            <v>6.6003515083429901E-2</v>
          </cell>
          <cell r="M474">
            <v>3225</v>
          </cell>
          <cell r="N474">
            <v>2.90487290780427E-5</v>
          </cell>
          <cell r="O474">
            <v>2940</v>
          </cell>
          <cell r="P474">
            <v>0.17</v>
          </cell>
          <cell r="Q474">
            <v>1240</v>
          </cell>
        </row>
        <row r="475">
          <cell r="B475" t="str">
            <v>CAMP EVERS 210410442</v>
          </cell>
          <cell r="C475">
            <v>83622104</v>
          </cell>
          <cell r="D475" t="str">
            <v>CAMP EVERS 2104</v>
          </cell>
          <cell r="E475">
            <v>10442</v>
          </cell>
          <cell r="F475" t="b">
            <v>0</v>
          </cell>
          <cell r="G475">
            <v>16579.028659397001</v>
          </cell>
          <cell r="H475">
            <v>9105.2091980575806</v>
          </cell>
          <cell r="I475">
            <v>133</v>
          </cell>
          <cell r="J475">
            <v>1.64833151517852E-4</v>
          </cell>
          <cell r="K475">
            <v>589</v>
          </cell>
          <cell r="L475">
            <v>3.6400642563241599</v>
          </cell>
          <cell r="M475">
            <v>2786</v>
          </cell>
          <cell r="N475">
            <v>6.9444368826903605E-4</v>
          </cell>
          <cell r="O475">
            <v>2686</v>
          </cell>
          <cell r="P475">
            <v>0.28999999999999998</v>
          </cell>
          <cell r="Q475">
            <v>1027</v>
          </cell>
        </row>
        <row r="476">
          <cell r="B476" t="str">
            <v>CAMP EVERS 210411048</v>
          </cell>
          <cell r="C476">
            <v>83622104</v>
          </cell>
          <cell r="D476" t="str">
            <v>CAMP EVERS 2104</v>
          </cell>
          <cell r="E476">
            <v>11048</v>
          </cell>
          <cell r="F476" t="b">
            <v>0</v>
          </cell>
          <cell r="G476">
            <v>2138.5874899781202</v>
          </cell>
          <cell r="H476">
            <v>1473.7072600623301</v>
          </cell>
          <cell r="I476">
            <v>19</v>
          </cell>
          <cell r="J476">
            <v>2.5575421683530098E-4</v>
          </cell>
          <cell r="K476">
            <v>204</v>
          </cell>
          <cell r="L476">
            <v>6.5825462791627404E-2</v>
          </cell>
          <cell r="M476">
            <v>3261</v>
          </cell>
          <cell r="N476">
            <v>1.6894308602388999E-5</v>
          </cell>
          <cell r="O476">
            <v>2988</v>
          </cell>
          <cell r="P476">
            <v>0.22</v>
          </cell>
          <cell r="Q476">
            <v>1122</v>
          </cell>
        </row>
        <row r="477">
          <cell r="B477" t="str">
            <v>CAMP EVERS 2104189010</v>
          </cell>
          <cell r="C477">
            <v>83622104</v>
          </cell>
          <cell r="D477" t="str">
            <v>CAMP EVERS 2104</v>
          </cell>
          <cell r="E477">
            <v>189010</v>
          </cell>
          <cell r="F477" t="b">
            <v>1</v>
          </cell>
          <cell r="G477">
            <v>84.166952941263006</v>
          </cell>
          <cell r="H477">
            <v>59.042637368357802</v>
          </cell>
          <cell r="I477">
            <v>4</v>
          </cell>
          <cell r="J477">
            <v>7.9100284347077799E-4</v>
          </cell>
          <cell r="K477">
            <v>5</v>
          </cell>
          <cell r="L477">
            <v>6.5791809072878002E-2</v>
          </cell>
          <cell r="M477">
            <v>3268</v>
          </cell>
          <cell r="N477">
            <v>5.2347789181601103E-5</v>
          </cell>
          <cell r="O477">
            <v>2900</v>
          </cell>
          <cell r="Q477">
            <v>3386</v>
          </cell>
        </row>
        <row r="478">
          <cell r="B478" t="str">
            <v>CAMP EVERS 2104496570</v>
          </cell>
          <cell r="C478">
            <v>83622104</v>
          </cell>
          <cell r="D478" t="str">
            <v>CAMP EVERS 2104</v>
          </cell>
          <cell r="E478">
            <v>496570</v>
          </cell>
          <cell r="F478" t="b">
            <v>1</v>
          </cell>
          <cell r="G478">
            <v>701.35374538164797</v>
          </cell>
          <cell r="H478">
            <v>389.31177955611298</v>
          </cell>
          <cell r="I478">
            <v>8</v>
          </cell>
          <cell r="J478">
            <v>1.6261690598184901E-4</v>
          </cell>
          <cell r="K478">
            <v>617</v>
          </cell>
          <cell r="L478">
            <v>6.5631953908818402E-2</v>
          </cell>
          <cell r="M478">
            <v>3327</v>
          </cell>
          <cell r="N478">
            <v>1.07168042888239E-5</v>
          </cell>
          <cell r="O478">
            <v>3055</v>
          </cell>
          <cell r="Q478">
            <v>3421</v>
          </cell>
        </row>
        <row r="479">
          <cell r="B479" t="str">
            <v>CAMP EVERS 21045096</v>
          </cell>
          <cell r="C479">
            <v>83622104</v>
          </cell>
          <cell r="D479" t="str">
            <v>CAMP EVERS 2104</v>
          </cell>
          <cell r="E479">
            <v>5096</v>
          </cell>
          <cell r="F479" t="b">
            <v>0</v>
          </cell>
          <cell r="G479">
            <v>32680.7031602239</v>
          </cell>
          <cell r="H479">
            <v>32680.7031602239</v>
          </cell>
          <cell r="I479">
            <v>232</v>
          </cell>
          <cell r="J479">
            <v>1.96418705674408E-4</v>
          </cell>
          <cell r="K479">
            <v>411</v>
          </cell>
          <cell r="L479">
            <v>13.5919529205587</v>
          </cell>
          <cell r="M479">
            <v>2561</v>
          </cell>
          <cell r="N479">
            <v>2.0379165134749E-3</v>
          </cell>
          <cell r="O479">
            <v>2474</v>
          </cell>
          <cell r="P479">
            <v>12.58</v>
          </cell>
          <cell r="Q479">
            <v>372</v>
          </cell>
        </row>
        <row r="480">
          <cell r="B480" t="str">
            <v>CAMP EVERS 2104600529</v>
          </cell>
          <cell r="C480">
            <v>83622104</v>
          </cell>
          <cell r="D480" t="str">
            <v>CAMP EVERS 2104</v>
          </cell>
          <cell r="E480">
            <v>600529</v>
          </cell>
          <cell r="F480" t="b">
            <v>1</v>
          </cell>
          <cell r="G480">
            <v>435.41229897255698</v>
          </cell>
          <cell r="H480">
            <v>422.80480613729401</v>
          </cell>
          <cell r="I480">
            <v>4</v>
          </cell>
          <cell r="J480">
            <v>2.02291263121878E-4</v>
          </cell>
          <cell r="K480">
            <v>388</v>
          </cell>
          <cell r="L480">
            <v>6.6111519400997104E-2</v>
          </cell>
          <cell r="M480">
            <v>3188</v>
          </cell>
          <cell r="N480">
            <v>1.3355541663500399E-5</v>
          </cell>
          <cell r="O480">
            <v>3023</v>
          </cell>
          <cell r="Q480">
            <v>3471</v>
          </cell>
        </row>
        <row r="481">
          <cell r="B481" t="str">
            <v>CAMP EVERS 2104710556</v>
          </cell>
          <cell r="C481">
            <v>83622104</v>
          </cell>
          <cell r="D481" t="str">
            <v>CAMP EVERS 2104</v>
          </cell>
          <cell r="E481">
            <v>710556</v>
          </cell>
          <cell r="F481" t="b">
            <v>1</v>
          </cell>
          <cell r="G481">
            <v>81.864883396571599</v>
          </cell>
          <cell r="H481">
            <v>65.862960985593105</v>
          </cell>
          <cell r="I481">
            <v>2</v>
          </cell>
          <cell r="J481">
            <v>2.6928022271022201E-4</v>
          </cell>
          <cell r="K481">
            <v>174</v>
          </cell>
          <cell r="L481">
            <v>6.5791809072878002E-2</v>
          </cell>
          <cell r="M481">
            <v>3269</v>
          </cell>
          <cell r="N481">
            <v>1.7662130270783E-5</v>
          </cell>
          <cell r="O481">
            <v>2979</v>
          </cell>
          <cell r="Q481">
            <v>3566</v>
          </cell>
        </row>
        <row r="482">
          <cell r="B482" t="str">
            <v>CAMP EVERS 2104CB</v>
          </cell>
          <cell r="C482">
            <v>83622104</v>
          </cell>
          <cell r="D482" t="str">
            <v>CAMP EVERS 2104</v>
          </cell>
          <cell r="E482" t="str">
            <v>CB</v>
          </cell>
          <cell r="F482" t="b">
            <v>1</v>
          </cell>
          <cell r="G482">
            <v>5967.2939956024402</v>
          </cell>
          <cell r="H482">
            <v>629.20603251290902</v>
          </cell>
          <cell r="I482">
            <v>71</v>
          </cell>
          <cell r="J482">
            <v>9.9922449728285397E-5</v>
          </cell>
          <cell r="K482">
            <v>1649</v>
          </cell>
          <cell r="L482">
            <v>6.5224435814525694E-2</v>
          </cell>
          <cell r="M482">
            <v>3498</v>
          </cell>
          <cell r="N482">
            <v>6.5264522234699501E-6</v>
          </cell>
          <cell r="O482">
            <v>3187</v>
          </cell>
          <cell r="P482">
            <v>0.18</v>
          </cell>
          <cell r="Q482">
            <v>1209</v>
          </cell>
        </row>
        <row r="483">
          <cell r="B483" t="str">
            <v>CAMP EVERS 210510214</v>
          </cell>
          <cell r="C483">
            <v>83622105</v>
          </cell>
          <cell r="D483" t="str">
            <v>CAMP EVERS 2105</v>
          </cell>
          <cell r="E483">
            <v>10214</v>
          </cell>
          <cell r="F483" t="b">
            <v>0</v>
          </cell>
          <cell r="G483">
            <v>22409.585106639399</v>
          </cell>
          <cell r="H483">
            <v>22409.585106639399</v>
          </cell>
          <cell r="I483">
            <v>149</v>
          </cell>
          <cell r="J483">
            <v>1.5000367663257401E-4</v>
          </cell>
          <cell r="K483">
            <v>735</v>
          </cell>
          <cell r="L483">
            <v>18.0949653845129</v>
          </cell>
          <cell r="M483">
            <v>2476</v>
          </cell>
          <cell r="N483">
            <v>2.6768545838327098E-3</v>
          </cell>
          <cell r="O483">
            <v>2388</v>
          </cell>
          <cell r="P483">
            <v>59.12</v>
          </cell>
          <cell r="Q483">
            <v>90</v>
          </cell>
        </row>
        <row r="484">
          <cell r="B484" t="str">
            <v>CAMP EVERS 210510294</v>
          </cell>
          <cell r="C484">
            <v>83622105</v>
          </cell>
          <cell r="D484" t="str">
            <v>CAMP EVERS 2105</v>
          </cell>
          <cell r="E484">
            <v>10294</v>
          </cell>
          <cell r="F484" t="b">
            <v>0</v>
          </cell>
          <cell r="G484">
            <v>13501.993824274699</v>
          </cell>
          <cell r="H484">
            <v>13501.993824274699</v>
          </cell>
          <cell r="I484">
            <v>95</v>
          </cell>
          <cell r="J484">
            <v>2.3536162120045001E-4</v>
          </cell>
          <cell r="K484">
            <v>261</v>
          </cell>
          <cell r="L484">
            <v>22.587403796540801</v>
          </cell>
          <cell r="M484">
            <v>2416</v>
          </cell>
          <cell r="N484">
            <v>5.7046226713074501E-3</v>
          </cell>
          <cell r="O484">
            <v>2167</v>
          </cell>
          <cell r="P484">
            <v>48.18</v>
          </cell>
          <cell r="Q484">
            <v>131</v>
          </cell>
        </row>
        <row r="485">
          <cell r="B485" t="str">
            <v>CAMP EVERS 210510728</v>
          </cell>
          <cell r="C485">
            <v>83622105</v>
          </cell>
          <cell r="D485" t="str">
            <v>CAMP EVERS 2105</v>
          </cell>
          <cell r="E485">
            <v>10728</v>
          </cell>
          <cell r="F485" t="b">
            <v>0</v>
          </cell>
          <cell r="G485">
            <v>16852.118295242799</v>
          </cell>
          <cell r="H485">
            <v>16852.118295242799</v>
          </cell>
          <cell r="I485">
            <v>134</v>
          </cell>
          <cell r="J485">
            <v>3.4914669114770498E-4</v>
          </cell>
          <cell r="K485">
            <v>91</v>
          </cell>
          <cell r="L485">
            <v>6.6303799574780502</v>
          </cell>
          <cell r="M485">
            <v>2693</v>
          </cell>
          <cell r="N485">
            <v>3.4865274005157201E-3</v>
          </cell>
          <cell r="O485">
            <v>2296</v>
          </cell>
          <cell r="P485">
            <v>1.0900000000000001</v>
          </cell>
          <cell r="Q485">
            <v>717</v>
          </cell>
        </row>
        <row r="486">
          <cell r="B486" t="str">
            <v>CAMP EVERS 210510786</v>
          </cell>
          <cell r="C486">
            <v>83622105</v>
          </cell>
          <cell r="D486" t="str">
            <v>CAMP EVERS 2105</v>
          </cell>
          <cell r="E486">
            <v>10786</v>
          </cell>
          <cell r="F486" t="b">
            <v>0</v>
          </cell>
          <cell r="G486">
            <v>7392.1951507306403</v>
          </cell>
          <cell r="H486">
            <v>7392.1951507306403</v>
          </cell>
          <cell r="I486">
            <v>58</v>
          </cell>
          <cell r="J486">
            <v>2.5714866067824699E-4</v>
          </cell>
          <cell r="K486">
            <v>199</v>
          </cell>
          <cell r="L486">
            <v>6.6431229729116206E-2</v>
          </cell>
          <cell r="M486">
            <v>3068</v>
          </cell>
          <cell r="N486">
            <v>1.70827017520512E-5</v>
          </cell>
          <cell r="O486">
            <v>2987</v>
          </cell>
          <cell r="P486">
            <v>23.31</v>
          </cell>
          <cell r="Q486">
            <v>288</v>
          </cell>
        </row>
        <row r="487">
          <cell r="B487" t="str">
            <v>CAMP EVERS 210510912</v>
          </cell>
          <cell r="C487">
            <v>83622105</v>
          </cell>
          <cell r="D487" t="str">
            <v>CAMP EVERS 2105</v>
          </cell>
          <cell r="E487">
            <v>10912</v>
          </cell>
          <cell r="F487" t="b">
            <v>0</v>
          </cell>
          <cell r="G487">
            <v>7824.9031816975403</v>
          </cell>
          <cell r="H487">
            <v>7824.9031816975403</v>
          </cell>
          <cell r="I487">
            <v>54</v>
          </cell>
          <cell r="J487">
            <v>3.02554300947964E-4</v>
          </cell>
          <cell r="K487">
            <v>127</v>
          </cell>
          <cell r="L487">
            <v>14.593848459877901</v>
          </cell>
          <cell r="M487">
            <v>2539</v>
          </cell>
          <cell r="N487">
            <v>2.7342651113067499E-3</v>
          </cell>
          <cell r="O487">
            <v>2379</v>
          </cell>
          <cell r="P487">
            <v>17.3</v>
          </cell>
          <cell r="Q487">
            <v>333</v>
          </cell>
        </row>
        <row r="488">
          <cell r="B488" t="str">
            <v>CAMP EVERS 210510996</v>
          </cell>
          <cell r="C488">
            <v>83622105</v>
          </cell>
          <cell r="D488" t="str">
            <v>CAMP EVERS 2105</v>
          </cell>
          <cell r="E488">
            <v>10996</v>
          </cell>
          <cell r="F488" t="b">
            <v>0</v>
          </cell>
          <cell r="G488">
            <v>1226.20928868285</v>
          </cell>
          <cell r="H488">
            <v>1226.20928868285</v>
          </cell>
          <cell r="I488">
            <v>8</v>
          </cell>
          <cell r="J488">
            <v>6.3772057183086796E-4</v>
          </cell>
          <cell r="K488">
            <v>13</v>
          </cell>
          <cell r="L488">
            <v>6.6431229729116206E-2</v>
          </cell>
          <cell r="M488">
            <v>3070</v>
          </cell>
          <cell r="N488">
            <v>4.2364561810279799E-5</v>
          </cell>
          <cell r="O488">
            <v>2911</v>
          </cell>
          <cell r="P488">
            <v>3.1</v>
          </cell>
          <cell r="Q488">
            <v>562</v>
          </cell>
        </row>
        <row r="489">
          <cell r="B489" t="str">
            <v>CAMP EVERS 210511004</v>
          </cell>
          <cell r="C489">
            <v>83622105</v>
          </cell>
          <cell r="D489" t="str">
            <v>CAMP EVERS 2105</v>
          </cell>
          <cell r="E489">
            <v>11004</v>
          </cell>
          <cell r="F489" t="b">
            <v>0</v>
          </cell>
          <cell r="G489">
            <v>6981.3249313945298</v>
          </cell>
          <cell r="H489">
            <v>6981.3249313945298</v>
          </cell>
          <cell r="I489">
            <v>60</v>
          </cell>
          <cell r="J489">
            <v>2.3399557985612701E-4</v>
          </cell>
          <cell r="K489">
            <v>264</v>
          </cell>
          <cell r="L489">
            <v>6.6431229729116206E-2</v>
          </cell>
          <cell r="M489">
            <v>3053</v>
          </cell>
          <cell r="N489">
            <v>1.5544614121020098E-5</v>
          </cell>
          <cell r="O489">
            <v>3001</v>
          </cell>
          <cell r="P489">
            <v>0.81</v>
          </cell>
          <cell r="Q489">
            <v>772</v>
          </cell>
        </row>
        <row r="490">
          <cell r="B490" t="str">
            <v>CAMP EVERS 210511010</v>
          </cell>
          <cell r="C490">
            <v>83622105</v>
          </cell>
          <cell r="D490" t="str">
            <v>CAMP EVERS 2105</v>
          </cell>
          <cell r="E490">
            <v>11010</v>
          </cell>
          <cell r="F490" t="b">
            <v>0</v>
          </cell>
          <cell r="G490">
            <v>3501.2633808497899</v>
          </cell>
          <cell r="H490">
            <v>3501.2633808497899</v>
          </cell>
          <cell r="I490">
            <v>26</v>
          </cell>
          <cell r="J490">
            <v>2.3343393975385201E-4</v>
          </cell>
          <cell r="K490">
            <v>269</v>
          </cell>
          <cell r="L490">
            <v>31.153074552363801</v>
          </cell>
          <cell r="M490">
            <v>2340</v>
          </cell>
          <cell r="N490">
            <v>8.3234851567321102E-3</v>
          </cell>
          <cell r="O490">
            <v>2039</v>
          </cell>
          <cell r="P490">
            <v>12.24</v>
          </cell>
          <cell r="Q490">
            <v>375</v>
          </cell>
        </row>
        <row r="491">
          <cell r="B491" t="str">
            <v>CAMP EVERS 210511384</v>
          </cell>
          <cell r="C491">
            <v>83622105</v>
          </cell>
          <cell r="D491" t="str">
            <v>CAMP EVERS 2105</v>
          </cell>
          <cell r="E491">
            <v>11384</v>
          </cell>
          <cell r="F491" t="b">
            <v>0</v>
          </cell>
          <cell r="G491">
            <v>8402.4777209505992</v>
          </cell>
          <cell r="H491">
            <v>8402.4777209505992</v>
          </cell>
          <cell r="I491">
            <v>59</v>
          </cell>
          <cell r="J491">
            <v>2.8937006884346202E-4</v>
          </cell>
          <cell r="K491">
            <v>140</v>
          </cell>
          <cell r="L491">
            <v>6.6431229729116206E-2</v>
          </cell>
          <cell r="M491">
            <v>3069</v>
          </cell>
          <cell r="N491">
            <v>1.92232095200702E-5</v>
          </cell>
          <cell r="O491">
            <v>2964</v>
          </cell>
          <cell r="P491">
            <v>13.77</v>
          </cell>
          <cell r="Q491">
            <v>362</v>
          </cell>
        </row>
        <row r="492">
          <cell r="B492" t="str">
            <v>CAMP EVERS 210512590</v>
          </cell>
          <cell r="C492">
            <v>83622105</v>
          </cell>
          <cell r="D492" t="str">
            <v>CAMP EVERS 2105</v>
          </cell>
          <cell r="E492">
            <v>12590</v>
          </cell>
          <cell r="F492" t="b">
            <v>0</v>
          </cell>
          <cell r="G492">
            <v>8818.0630998868091</v>
          </cell>
          <cell r="H492">
            <v>8233.9725506332907</v>
          </cell>
          <cell r="I492">
            <v>69</v>
          </cell>
          <cell r="J492">
            <v>3.28958087661506E-4</v>
          </cell>
          <cell r="K492">
            <v>102</v>
          </cell>
          <cell r="L492">
            <v>7.9902735872025303</v>
          </cell>
          <cell r="M492">
            <v>2671</v>
          </cell>
          <cell r="N492">
            <v>1.4266681403426499E-3</v>
          </cell>
          <cell r="O492">
            <v>2570</v>
          </cell>
          <cell r="P492">
            <v>0.34</v>
          </cell>
          <cell r="Q492">
            <v>980</v>
          </cell>
        </row>
        <row r="493">
          <cell r="B493" t="str">
            <v>CAMP EVERS 210533542</v>
          </cell>
          <cell r="C493">
            <v>83622105</v>
          </cell>
          <cell r="D493" t="str">
            <v>CAMP EVERS 2105</v>
          </cell>
          <cell r="E493">
            <v>33542</v>
          </cell>
          <cell r="F493" t="b">
            <v>0</v>
          </cell>
          <cell r="G493">
            <v>4316.4834910814998</v>
          </cell>
          <cell r="H493">
            <v>4316.4834910814998</v>
          </cell>
          <cell r="I493">
            <v>39</v>
          </cell>
          <cell r="J493">
            <v>3.1343448734752602E-4</v>
          </cell>
          <cell r="K493">
            <v>114</v>
          </cell>
          <cell r="L493">
            <v>29.933990554748501</v>
          </cell>
          <cell r="M493">
            <v>2346</v>
          </cell>
          <cell r="N493">
            <v>1.09013137223109E-2</v>
          </cell>
          <cell r="O493">
            <v>1924</v>
          </cell>
          <cell r="P493">
            <v>20.170000000000002</v>
          </cell>
          <cell r="Q493">
            <v>307</v>
          </cell>
        </row>
        <row r="494">
          <cell r="B494" t="str">
            <v>CAMP EVERS 21055146</v>
          </cell>
          <cell r="C494">
            <v>83622105</v>
          </cell>
          <cell r="D494" t="str">
            <v>CAMP EVERS 2105</v>
          </cell>
          <cell r="E494">
            <v>5146</v>
          </cell>
          <cell r="F494" t="b">
            <v>0</v>
          </cell>
          <cell r="G494">
            <v>9534.7408451953906</v>
          </cell>
          <cell r="H494">
            <v>9534.7408451953906</v>
          </cell>
          <cell r="I494">
            <v>63</v>
          </cell>
          <cell r="J494">
            <v>3.69713653598742E-4</v>
          </cell>
          <cell r="K494">
            <v>78</v>
          </cell>
          <cell r="L494">
            <v>6.6431229729116206E-2</v>
          </cell>
          <cell r="M494">
            <v>3063</v>
          </cell>
          <cell r="N494">
            <v>2.45605326562089E-5</v>
          </cell>
          <cell r="O494">
            <v>2952</v>
          </cell>
          <cell r="P494">
            <v>0.55000000000000004</v>
          </cell>
          <cell r="Q494">
            <v>870</v>
          </cell>
        </row>
        <row r="495">
          <cell r="B495" t="str">
            <v>CAMP EVERS 21055188</v>
          </cell>
          <cell r="C495">
            <v>83622105</v>
          </cell>
          <cell r="D495" t="str">
            <v>CAMP EVERS 2105</v>
          </cell>
          <cell r="E495">
            <v>5188</v>
          </cell>
          <cell r="F495" t="b">
            <v>0</v>
          </cell>
          <cell r="G495">
            <v>3280.6197165623798</v>
          </cell>
          <cell r="H495">
            <v>3280.6197165623798</v>
          </cell>
          <cell r="I495">
            <v>19</v>
          </cell>
          <cell r="J495">
            <v>3.4884634116774801E-4</v>
          </cell>
          <cell r="K495">
            <v>92</v>
          </cell>
          <cell r="L495">
            <v>16.3315778590535</v>
          </cell>
          <cell r="M495">
            <v>2511</v>
          </cell>
          <cell r="N495">
            <v>5.3482012492967702E-3</v>
          </cell>
          <cell r="O495">
            <v>2191</v>
          </cell>
          <cell r="P495">
            <v>7.26</v>
          </cell>
          <cell r="Q495">
            <v>449</v>
          </cell>
        </row>
        <row r="496">
          <cell r="B496" t="str">
            <v>CAMP EVERS 21055232</v>
          </cell>
          <cell r="C496">
            <v>83622105</v>
          </cell>
          <cell r="D496" t="str">
            <v>CAMP EVERS 2105</v>
          </cell>
          <cell r="E496">
            <v>5232</v>
          </cell>
          <cell r="F496" t="b">
            <v>0</v>
          </cell>
          <cell r="G496">
            <v>7264.9547204090404</v>
          </cell>
          <cell r="H496">
            <v>7264.9547204090404</v>
          </cell>
          <cell r="I496">
            <v>50</v>
          </cell>
          <cell r="J496">
            <v>2.59770541306352E-4</v>
          </cell>
          <cell r="K496">
            <v>196</v>
          </cell>
          <cell r="L496">
            <v>6.6431229729116206E-2</v>
          </cell>
          <cell r="M496">
            <v>3065</v>
          </cell>
          <cell r="N496">
            <v>1.72568765063791E-5</v>
          </cell>
          <cell r="O496">
            <v>2985</v>
          </cell>
          <cell r="P496">
            <v>0.52</v>
          </cell>
          <cell r="Q496">
            <v>889</v>
          </cell>
        </row>
        <row r="497">
          <cell r="B497" t="str">
            <v>CAMP EVERS 210574170</v>
          </cell>
          <cell r="C497">
            <v>83622105</v>
          </cell>
          <cell r="D497" t="str">
            <v>CAMP EVERS 2105</v>
          </cell>
          <cell r="E497">
            <v>74170</v>
          </cell>
          <cell r="F497" t="b">
            <v>0</v>
          </cell>
          <cell r="G497">
            <v>5752.9394211345498</v>
          </cell>
          <cell r="H497">
            <v>5752.9394211345498</v>
          </cell>
          <cell r="I497">
            <v>43</v>
          </cell>
          <cell r="J497">
            <v>2.5227445304301698E-4</v>
          </cell>
          <cell r="K497">
            <v>211</v>
          </cell>
          <cell r="L497">
            <v>6.6431229729116206E-2</v>
          </cell>
          <cell r="M497">
            <v>3071</v>
          </cell>
          <cell r="N497">
            <v>1.67589021448878E-5</v>
          </cell>
          <cell r="O497">
            <v>2990</v>
          </cell>
          <cell r="P497">
            <v>54.65</v>
          </cell>
          <cell r="Q497">
            <v>106</v>
          </cell>
        </row>
        <row r="498">
          <cell r="B498" t="str">
            <v>CAMP EVERS 210584166</v>
          </cell>
          <cell r="C498">
            <v>83622105</v>
          </cell>
          <cell r="D498" t="str">
            <v>CAMP EVERS 2105</v>
          </cell>
          <cell r="E498">
            <v>84166</v>
          </cell>
          <cell r="F498" t="b">
            <v>0</v>
          </cell>
          <cell r="G498">
            <v>13898.1694173625</v>
          </cell>
          <cell r="H498">
            <v>13231.1785169093</v>
          </cell>
          <cell r="I498">
            <v>97</v>
          </cell>
          <cell r="J498">
            <v>2.8289673733975E-4</v>
          </cell>
          <cell r="K498">
            <v>150</v>
          </cell>
          <cell r="L498">
            <v>1.5367540911711</v>
          </cell>
          <cell r="M498">
            <v>2863</v>
          </cell>
          <cell r="N498">
            <v>3.6427052852500299E-4</v>
          </cell>
          <cell r="O498">
            <v>2776</v>
          </cell>
          <cell r="Q498">
            <v>3013</v>
          </cell>
        </row>
        <row r="499">
          <cell r="B499" t="str">
            <v>CAMP EVERS 21059031</v>
          </cell>
          <cell r="C499">
            <v>83622105</v>
          </cell>
          <cell r="D499" t="str">
            <v>CAMP EVERS 2105</v>
          </cell>
          <cell r="E499">
            <v>9031</v>
          </cell>
          <cell r="F499" t="b">
            <v>0</v>
          </cell>
          <cell r="G499">
            <v>1741.4201266949101</v>
          </cell>
          <cell r="H499">
            <v>1741.4201266949101</v>
          </cell>
          <cell r="I499">
            <v>17</v>
          </cell>
          <cell r="J499">
            <v>1.9852629938053201E-4</v>
          </cell>
          <cell r="K499">
            <v>401</v>
          </cell>
          <cell r="L499">
            <v>5.6598754309716801</v>
          </cell>
          <cell r="M499">
            <v>2722</v>
          </cell>
          <cell r="N499">
            <v>1.8195226965557699E-3</v>
          </cell>
          <cell r="O499">
            <v>2501</v>
          </cell>
          <cell r="P499">
            <v>26.99</v>
          </cell>
          <cell r="Q499">
            <v>262</v>
          </cell>
        </row>
        <row r="500">
          <cell r="B500" t="str">
            <v>CAMP EVERS 210595050</v>
          </cell>
          <cell r="C500">
            <v>83622105</v>
          </cell>
          <cell r="D500" t="str">
            <v>CAMP EVERS 2105</v>
          </cell>
          <cell r="E500">
            <v>95050</v>
          </cell>
          <cell r="F500" t="b">
            <v>1</v>
          </cell>
          <cell r="G500">
            <v>223.21173344340701</v>
          </cell>
          <cell r="H500">
            <v>223.21173344340701</v>
          </cell>
          <cell r="I500">
            <v>5</v>
          </cell>
          <cell r="J500">
            <v>5.9507645200937897E-4</v>
          </cell>
          <cell r="K500">
            <v>17</v>
          </cell>
          <cell r="L500">
            <v>6.6431229729116206E-2</v>
          </cell>
          <cell r="M500">
            <v>3081</v>
          </cell>
          <cell r="N500">
            <v>3.9531660489822501E-5</v>
          </cell>
          <cell r="O500">
            <v>2915</v>
          </cell>
          <cell r="P500">
            <v>0.24</v>
          </cell>
          <cell r="Q500">
            <v>1092</v>
          </cell>
        </row>
        <row r="501">
          <cell r="B501" t="str">
            <v>CAMP EVERS 210595394</v>
          </cell>
          <cell r="C501">
            <v>83622105</v>
          </cell>
          <cell r="D501" t="str">
            <v>CAMP EVERS 2105</v>
          </cell>
          <cell r="E501">
            <v>95394</v>
          </cell>
          <cell r="F501" t="b">
            <v>1</v>
          </cell>
          <cell r="G501">
            <v>790.39424890886096</v>
          </cell>
          <cell r="H501">
            <v>790.39424890886096</v>
          </cell>
          <cell r="I501">
            <v>8</v>
          </cell>
          <cell r="J501">
            <v>4.6444759209407401E-4</v>
          </cell>
          <cell r="K501">
            <v>43</v>
          </cell>
          <cell r="L501">
            <v>6.6431229729116206E-2</v>
          </cell>
          <cell r="M501">
            <v>3075</v>
          </cell>
          <cell r="N501">
            <v>3.0853824687536303E-5</v>
          </cell>
          <cell r="O501">
            <v>2932</v>
          </cell>
          <cell r="P501">
            <v>8.99</v>
          </cell>
          <cell r="Q501">
            <v>417</v>
          </cell>
        </row>
        <row r="502">
          <cell r="B502" t="str">
            <v>CAMP EVERS 2105BL 2101</v>
          </cell>
          <cell r="C502">
            <v>83622105</v>
          </cell>
          <cell r="D502" t="str">
            <v>CAMP EVERS 2105</v>
          </cell>
          <cell r="E502" t="str">
            <v>BL 2101</v>
          </cell>
          <cell r="F502" t="b">
            <v>1</v>
          </cell>
          <cell r="G502">
            <v>5.1909618064977501</v>
          </cell>
          <cell r="H502">
            <v>5.1909618064977501</v>
          </cell>
          <cell r="I502">
            <v>1</v>
          </cell>
          <cell r="J502">
            <v>4.1247712215408602E-4</v>
          </cell>
          <cell r="K502">
            <v>66</v>
          </cell>
          <cell r="L502">
            <v>6.6431229729116206E-2</v>
          </cell>
          <cell r="M502">
            <v>3087</v>
          </cell>
          <cell r="N502">
            <v>2.7401362459822899E-5</v>
          </cell>
          <cell r="O502">
            <v>2945</v>
          </cell>
          <cell r="P502">
            <v>6.05</v>
          </cell>
          <cell r="Q502">
            <v>475</v>
          </cell>
        </row>
        <row r="503">
          <cell r="B503" t="str">
            <v>CAMP EVERS 210610718</v>
          </cell>
          <cell r="C503">
            <v>83622106</v>
          </cell>
          <cell r="D503" t="str">
            <v>CAMP EVERS 2106</v>
          </cell>
          <cell r="E503">
            <v>10718</v>
          </cell>
          <cell r="F503" t="b">
            <v>0</v>
          </cell>
          <cell r="G503">
            <v>13624.5701645604</v>
          </cell>
          <cell r="H503">
            <v>13624.5701645604</v>
          </cell>
          <cell r="I503">
            <v>98</v>
          </cell>
          <cell r="J503">
            <v>2.9137236894408999E-4</v>
          </cell>
          <cell r="K503">
            <v>138</v>
          </cell>
          <cell r="L503">
            <v>2.0070138521018999</v>
          </cell>
          <cell r="M503">
            <v>2842</v>
          </cell>
          <cell r="N503">
            <v>5.1219859448455095E-4</v>
          </cell>
          <cell r="O503">
            <v>2733</v>
          </cell>
          <cell r="P503">
            <v>0.57999999999999996</v>
          </cell>
          <cell r="Q503">
            <v>858</v>
          </cell>
        </row>
        <row r="504">
          <cell r="B504" t="str">
            <v>CAMP EVERS 210611006</v>
          </cell>
          <cell r="C504">
            <v>83622106</v>
          </cell>
          <cell r="D504" t="str">
            <v>CAMP EVERS 2106</v>
          </cell>
          <cell r="E504">
            <v>11006</v>
          </cell>
          <cell r="F504" t="b">
            <v>0</v>
          </cell>
          <cell r="G504">
            <v>3281.0214503664101</v>
          </cell>
          <cell r="H504">
            <v>3281.0214503664101</v>
          </cell>
          <cell r="I504">
            <v>24</v>
          </cell>
          <cell r="J504">
            <v>2.7097228742907899E-4</v>
          </cell>
          <cell r="K504">
            <v>170</v>
          </cell>
          <cell r="L504">
            <v>6.6431229729116206E-2</v>
          </cell>
          <cell r="M504">
            <v>3059</v>
          </cell>
          <cell r="N504">
            <v>1.8001022276425299E-5</v>
          </cell>
          <cell r="O504">
            <v>2976</v>
          </cell>
          <cell r="P504">
            <v>0.37</v>
          </cell>
          <cell r="Q504">
            <v>965</v>
          </cell>
        </row>
        <row r="505">
          <cell r="B505" t="str">
            <v>CAMP EVERS 210611044</v>
          </cell>
          <cell r="C505">
            <v>83622106</v>
          </cell>
          <cell r="D505" t="str">
            <v>CAMP EVERS 2106</v>
          </cell>
          <cell r="E505">
            <v>11044</v>
          </cell>
          <cell r="F505" t="b">
            <v>0</v>
          </cell>
          <cell r="G505">
            <v>19649.910468021601</v>
          </cell>
          <cell r="H505">
            <v>12291.7271539472</v>
          </cell>
          <cell r="I505">
            <v>144</v>
          </cell>
          <cell r="J505">
            <v>2.4667995126037502E-4</v>
          </cell>
          <cell r="K505">
            <v>228</v>
          </cell>
          <cell r="L505">
            <v>6.5889527790827004E-2</v>
          </cell>
          <cell r="M505">
            <v>3246</v>
          </cell>
          <cell r="N505">
            <v>1.6316434907708799E-5</v>
          </cell>
          <cell r="O505">
            <v>2993</v>
          </cell>
          <cell r="P505">
            <v>0.26</v>
          </cell>
          <cell r="Q505">
            <v>1067</v>
          </cell>
        </row>
        <row r="506">
          <cell r="B506" t="str">
            <v>CAMP EVERS 210611533</v>
          </cell>
          <cell r="C506">
            <v>83622106</v>
          </cell>
          <cell r="D506" t="str">
            <v>CAMP EVERS 2106</v>
          </cell>
          <cell r="E506">
            <v>11533</v>
          </cell>
          <cell r="F506" t="b">
            <v>0</v>
          </cell>
          <cell r="G506">
            <v>4249.6595802843503</v>
          </cell>
          <cell r="H506">
            <v>4249.6595802843503</v>
          </cell>
          <cell r="I506">
            <v>28</v>
          </cell>
          <cell r="J506">
            <v>9.1401249782003499E-5</v>
          </cell>
          <cell r="K506">
            <v>1863</v>
          </cell>
          <cell r="L506">
            <v>58.647767185165499</v>
          </cell>
          <cell r="M506">
            <v>2164</v>
          </cell>
          <cell r="N506">
            <v>4.8854859302242502E-3</v>
          </cell>
          <cell r="O506">
            <v>2208</v>
          </cell>
          <cell r="P506">
            <v>29.27</v>
          </cell>
          <cell r="Q506">
            <v>243</v>
          </cell>
        </row>
        <row r="507">
          <cell r="B507" t="str">
            <v>CAMP EVERS 210612518</v>
          </cell>
          <cell r="C507">
            <v>83622106</v>
          </cell>
          <cell r="D507" t="str">
            <v>CAMP EVERS 2106</v>
          </cell>
          <cell r="E507">
            <v>12518</v>
          </cell>
          <cell r="F507" t="b">
            <v>0</v>
          </cell>
          <cell r="G507">
            <v>25177.139882923198</v>
          </cell>
          <cell r="H507">
            <v>25177.139882923198</v>
          </cell>
          <cell r="I507">
            <v>145</v>
          </cell>
          <cell r="J507">
            <v>2.5022990333642501E-4</v>
          </cell>
          <cell r="K507">
            <v>216</v>
          </cell>
          <cell r="L507">
            <v>28.5941375565546</v>
          </cell>
          <cell r="M507">
            <v>2352</v>
          </cell>
          <cell r="N507">
            <v>5.9295057628716997E-3</v>
          </cell>
          <cell r="O507">
            <v>2156</v>
          </cell>
          <cell r="P507">
            <v>0.8</v>
          </cell>
          <cell r="Q507">
            <v>774</v>
          </cell>
        </row>
        <row r="508">
          <cell r="B508" t="str">
            <v>CAMP EVERS 210612760</v>
          </cell>
          <cell r="C508">
            <v>83622106</v>
          </cell>
          <cell r="D508" t="str">
            <v>CAMP EVERS 2106</v>
          </cell>
          <cell r="E508">
            <v>12760</v>
          </cell>
          <cell r="F508" t="b">
            <v>0</v>
          </cell>
          <cell r="G508">
            <v>42462.395387728197</v>
          </cell>
          <cell r="H508">
            <v>42462.395387728197</v>
          </cell>
          <cell r="I508">
            <v>299</v>
          </cell>
          <cell r="J508">
            <v>1.9593935782582399E-4</v>
          </cell>
          <cell r="K508">
            <v>413</v>
          </cell>
          <cell r="L508">
            <v>10.560403178792001</v>
          </cell>
          <cell r="M508">
            <v>2618</v>
          </cell>
          <cell r="N508">
            <v>1.7903424384577099E-3</v>
          </cell>
          <cell r="O508">
            <v>2505</v>
          </cell>
          <cell r="P508">
            <v>1.92</v>
          </cell>
          <cell r="Q508">
            <v>630</v>
          </cell>
        </row>
        <row r="509">
          <cell r="B509" t="str">
            <v>CAMP EVERS 210612840</v>
          </cell>
          <cell r="C509">
            <v>83622106</v>
          </cell>
          <cell r="D509" t="str">
            <v>CAMP EVERS 2106</v>
          </cell>
          <cell r="E509">
            <v>12840</v>
          </cell>
          <cell r="F509" t="b">
            <v>0</v>
          </cell>
          <cell r="G509">
            <v>6323.0477736489102</v>
          </cell>
          <cell r="H509">
            <v>6323.0477736489102</v>
          </cell>
          <cell r="I509">
            <v>50</v>
          </cell>
          <cell r="J509">
            <v>1.44174599554389E-4</v>
          </cell>
          <cell r="K509">
            <v>811</v>
          </cell>
          <cell r="L509">
            <v>15.7468213081359</v>
          </cell>
          <cell r="M509">
            <v>2520</v>
          </cell>
          <cell r="N509">
            <v>2.2579982000788998E-3</v>
          </cell>
          <cell r="O509">
            <v>2442</v>
          </cell>
          <cell r="P509">
            <v>0.4</v>
          </cell>
          <cell r="Q509">
            <v>948</v>
          </cell>
        </row>
        <row r="510">
          <cell r="B510" t="str">
            <v>CAMP EVERS 210616000</v>
          </cell>
          <cell r="C510">
            <v>83622106</v>
          </cell>
          <cell r="D510" t="str">
            <v>CAMP EVERS 2106</v>
          </cell>
          <cell r="E510">
            <v>16000</v>
          </cell>
          <cell r="F510" t="b">
            <v>0</v>
          </cell>
          <cell r="G510">
            <v>6212.4720996903998</v>
          </cell>
          <cell r="H510">
            <v>3353.5944806811499</v>
          </cell>
          <cell r="I510">
            <v>51</v>
          </cell>
          <cell r="J510">
            <v>1.8900232566474901E-4</v>
          </cell>
          <cell r="K510">
            <v>448</v>
          </cell>
          <cell r="L510">
            <v>6.5804346732804206E-2</v>
          </cell>
          <cell r="M510">
            <v>3266</v>
          </cell>
          <cell r="N510">
            <v>1.24960600459608E-5</v>
          </cell>
          <cell r="O510">
            <v>3031</v>
          </cell>
          <cell r="P510">
            <v>13.79</v>
          </cell>
          <cell r="Q510">
            <v>361</v>
          </cell>
        </row>
        <row r="511">
          <cell r="B511" t="str">
            <v>CAMP EVERS 21061625</v>
          </cell>
          <cell r="C511">
            <v>83622106</v>
          </cell>
          <cell r="D511" t="str">
            <v>CAMP EVERS 2106</v>
          </cell>
          <cell r="E511">
            <v>1625</v>
          </cell>
          <cell r="F511" t="b">
            <v>0</v>
          </cell>
          <cell r="G511">
            <v>1400.9701107112</v>
          </cell>
          <cell r="H511">
            <v>1400.9701107112</v>
          </cell>
          <cell r="I511">
            <v>10</v>
          </cell>
          <cell r="J511">
            <v>1.5401023920276201E-4</v>
          </cell>
          <cell r="K511">
            <v>706</v>
          </cell>
          <cell r="L511">
            <v>6.6431229729116206E-2</v>
          </cell>
          <cell r="M511">
            <v>3067</v>
          </cell>
          <cell r="N511">
            <v>1.02310895811148E-5</v>
          </cell>
          <cell r="O511">
            <v>3065</v>
          </cell>
          <cell r="P511">
            <v>45.14</v>
          </cell>
          <cell r="Q511">
            <v>150</v>
          </cell>
        </row>
        <row r="512">
          <cell r="B512" t="str">
            <v>CAMP EVERS 210637210</v>
          </cell>
          <cell r="C512">
            <v>83622106</v>
          </cell>
          <cell r="D512" t="str">
            <v>CAMP EVERS 2106</v>
          </cell>
          <cell r="E512">
            <v>37210</v>
          </cell>
          <cell r="F512" t="b">
            <v>0</v>
          </cell>
          <cell r="G512">
            <v>9746.7159636392498</v>
          </cell>
          <cell r="H512">
            <v>9746.7159636392498</v>
          </cell>
          <cell r="I512">
            <v>65</v>
          </cell>
          <cell r="J512">
            <v>2.19781390171647E-4</v>
          </cell>
          <cell r="K512">
            <v>324</v>
          </cell>
          <cell r="L512">
            <v>16.524065315081099</v>
          </cell>
          <cell r="M512">
            <v>2509</v>
          </cell>
          <cell r="N512">
            <v>3.1441528847212501E-3</v>
          </cell>
          <cell r="O512">
            <v>2335</v>
          </cell>
          <cell r="P512">
            <v>0.45</v>
          </cell>
          <cell r="Q512">
            <v>916</v>
          </cell>
        </row>
        <row r="513">
          <cell r="B513" t="str">
            <v>CAMP EVERS 21065020</v>
          </cell>
          <cell r="C513">
            <v>83622106</v>
          </cell>
          <cell r="D513" t="str">
            <v>CAMP EVERS 2106</v>
          </cell>
          <cell r="E513">
            <v>5020</v>
          </cell>
          <cell r="F513" t="b">
            <v>0</v>
          </cell>
          <cell r="G513">
            <v>24253.131400317801</v>
          </cell>
          <cell r="H513">
            <v>24253.131400317801</v>
          </cell>
          <cell r="I513">
            <v>185</v>
          </cell>
          <cell r="J513">
            <v>2.1261069833181399E-4</v>
          </cell>
          <cell r="K513">
            <v>348</v>
          </cell>
          <cell r="L513">
            <v>14.5867101983387</v>
          </cell>
          <cell r="M513">
            <v>2540</v>
          </cell>
          <cell r="N513">
            <v>2.1264631273294498E-3</v>
          </cell>
          <cell r="O513">
            <v>2464</v>
          </cell>
          <cell r="P513">
            <v>82.74</v>
          </cell>
          <cell r="Q513">
            <v>42</v>
          </cell>
        </row>
        <row r="514">
          <cell r="B514" t="str">
            <v>CAMP EVERS 21065302</v>
          </cell>
          <cell r="C514">
            <v>83622106</v>
          </cell>
          <cell r="D514" t="str">
            <v>CAMP EVERS 2106</v>
          </cell>
          <cell r="E514">
            <v>5302</v>
          </cell>
          <cell r="F514" t="b">
            <v>0</v>
          </cell>
          <cell r="G514">
            <v>9546.4932003797203</v>
          </cell>
          <cell r="H514">
            <v>9546.4932003797203</v>
          </cell>
          <cell r="I514">
            <v>57</v>
          </cell>
          <cell r="J514">
            <v>2.6231819279736899E-4</v>
          </cell>
          <cell r="K514">
            <v>191</v>
          </cell>
          <cell r="L514">
            <v>2.1517064801923498</v>
          </cell>
          <cell r="M514">
            <v>2833</v>
          </cell>
          <cell r="N514">
            <v>4.4853567899710102E-4</v>
          </cell>
          <cell r="O514">
            <v>2750</v>
          </cell>
          <cell r="P514">
            <v>1.02</v>
          </cell>
          <cell r="Q514">
            <v>727</v>
          </cell>
        </row>
        <row r="515">
          <cell r="B515" t="str">
            <v>CAMP EVERS 210660120</v>
          </cell>
          <cell r="C515">
            <v>83622106</v>
          </cell>
          <cell r="D515" t="str">
            <v>CAMP EVERS 2106</v>
          </cell>
          <cell r="E515">
            <v>60120</v>
          </cell>
          <cell r="F515" t="b">
            <v>0</v>
          </cell>
          <cell r="G515">
            <v>6993.6629651317098</v>
          </cell>
          <cell r="H515">
            <v>6993.6629651317098</v>
          </cell>
          <cell r="I515">
            <v>42</v>
          </cell>
          <cell r="J515">
            <v>1.6940182387948001E-4</v>
          </cell>
          <cell r="K515">
            <v>567</v>
          </cell>
          <cell r="L515">
            <v>23.838569292280201</v>
          </cell>
          <cell r="M515">
            <v>2403</v>
          </cell>
          <cell r="N515">
            <v>3.8108631995955999E-3</v>
          </cell>
          <cell r="O515">
            <v>2268</v>
          </cell>
          <cell r="P515">
            <v>27.45</v>
          </cell>
          <cell r="Q515">
            <v>257</v>
          </cell>
        </row>
        <row r="516">
          <cell r="B516" t="str">
            <v>CAMP EVERS 210660124</v>
          </cell>
          <cell r="C516">
            <v>83622106</v>
          </cell>
          <cell r="D516" t="str">
            <v>CAMP EVERS 2106</v>
          </cell>
          <cell r="E516">
            <v>60124</v>
          </cell>
          <cell r="F516" t="b">
            <v>0</v>
          </cell>
          <cell r="G516">
            <v>36140.228192185197</v>
          </cell>
          <cell r="H516">
            <v>36140.228192185197</v>
          </cell>
          <cell r="I516">
            <v>267</v>
          </cell>
          <cell r="J516">
            <v>1.6530549235655901E-4</v>
          </cell>
          <cell r="K516">
            <v>587</v>
          </cell>
          <cell r="L516">
            <v>37.104669600559603</v>
          </cell>
          <cell r="M516">
            <v>2296</v>
          </cell>
          <cell r="N516">
            <v>4.2657162538159796E-3</v>
          </cell>
          <cell r="O516">
            <v>2243</v>
          </cell>
          <cell r="P516">
            <v>77.48</v>
          </cell>
          <cell r="Q516">
            <v>53</v>
          </cell>
        </row>
        <row r="517">
          <cell r="B517" t="str">
            <v>CAMP EVERS 21067603</v>
          </cell>
          <cell r="C517">
            <v>83622106</v>
          </cell>
          <cell r="D517" t="str">
            <v>CAMP EVERS 2106</v>
          </cell>
          <cell r="E517">
            <v>7603</v>
          </cell>
          <cell r="F517" t="b">
            <v>0</v>
          </cell>
          <cell r="G517">
            <v>1527.23063158843</v>
          </cell>
          <cell r="H517">
            <v>1527.23063158843</v>
          </cell>
          <cell r="I517">
            <v>11</v>
          </cell>
          <cell r="J517">
            <v>1.9237863704223501E-4</v>
          </cell>
          <cell r="K517">
            <v>431</v>
          </cell>
          <cell r="L517">
            <v>6.6431229729116206E-2</v>
          </cell>
          <cell r="M517">
            <v>3055</v>
          </cell>
          <cell r="N517">
            <v>1.2779949432327E-5</v>
          </cell>
          <cell r="O517">
            <v>3028</v>
          </cell>
          <cell r="P517">
            <v>0.27</v>
          </cell>
          <cell r="Q517">
            <v>1054</v>
          </cell>
        </row>
        <row r="518">
          <cell r="B518" t="str">
            <v>CAMP EVERS 2106834583</v>
          </cell>
          <cell r="C518">
            <v>83622106</v>
          </cell>
          <cell r="D518" t="str">
            <v>CAMP EVERS 2106</v>
          </cell>
          <cell r="E518">
            <v>834583</v>
          </cell>
          <cell r="F518" t="b">
            <v>1</v>
          </cell>
          <cell r="G518">
            <v>981.03293105131104</v>
          </cell>
          <cell r="H518">
            <v>981.03293105131104</v>
          </cell>
          <cell r="I518">
            <v>7</v>
          </cell>
          <cell r="J518">
            <v>3.0071423472171298E-4</v>
          </cell>
          <cell r="K518">
            <v>130</v>
          </cell>
          <cell r="L518">
            <v>6.6431229729116206E-2</v>
          </cell>
          <cell r="M518">
            <v>3073</v>
          </cell>
          <cell r="N518">
            <v>1.99768164096135E-5</v>
          </cell>
          <cell r="O518">
            <v>2962</v>
          </cell>
          <cell r="P518">
            <v>4.09</v>
          </cell>
          <cell r="Q518">
            <v>528</v>
          </cell>
        </row>
        <row r="519">
          <cell r="B519" t="str">
            <v>CAMP EVERS 210694770</v>
          </cell>
          <cell r="C519">
            <v>83622106</v>
          </cell>
          <cell r="D519" t="str">
            <v>CAMP EVERS 2106</v>
          </cell>
          <cell r="E519">
            <v>94770</v>
          </cell>
          <cell r="F519" t="b">
            <v>0</v>
          </cell>
          <cell r="G519">
            <v>6459.16079073539</v>
          </cell>
          <cell r="H519">
            <v>3806.5671370886998</v>
          </cell>
          <cell r="I519">
            <v>55</v>
          </cell>
          <cell r="J519">
            <v>2.7046547904981003E-4</v>
          </cell>
          <cell r="K519">
            <v>172</v>
          </cell>
          <cell r="L519">
            <v>16.498743510469399</v>
          </cell>
          <cell r="M519">
            <v>2510</v>
          </cell>
          <cell r="N519">
            <v>5.9058374865478304E-3</v>
          </cell>
          <cell r="O519">
            <v>2160</v>
          </cell>
          <cell r="P519">
            <v>0.27</v>
          </cell>
          <cell r="Q519">
            <v>1050</v>
          </cell>
        </row>
        <row r="520">
          <cell r="B520" t="str">
            <v>CAMP EVERS 2106CB</v>
          </cell>
          <cell r="C520">
            <v>83622106</v>
          </cell>
          <cell r="D520" t="str">
            <v>CAMP EVERS 2106</v>
          </cell>
          <cell r="E520" t="str">
            <v>CB</v>
          </cell>
          <cell r="F520" t="b">
            <v>0</v>
          </cell>
          <cell r="G520">
            <v>3786.5636551135399</v>
          </cell>
          <cell r="H520">
            <v>1101.4531690177</v>
          </cell>
          <cell r="I520">
            <v>37</v>
          </cell>
          <cell r="J520">
            <v>1.5881911265849401E-4</v>
          </cell>
          <cell r="K520">
            <v>654</v>
          </cell>
          <cell r="L520">
            <v>6.5392806498283093E-2</v>
          </cell>
          <cell r="M520">
            <v>3421</v>
          </cell>
          <cell r="N520">
            <v>1.03966880861803E-5</v>
          </cell>
          <cell r="O520">
            <v>3060</v>
          </cell>
          <cell r="P520">
            <v>0.08</v>
          </cell>
          <cell r="Q520">
            <v>1623</v>
          </cell>
        </row>
        <row r="521">
          <cell r="B521" t="str">
            <v>CAMPHORA 110122412</v>
          </cell>
          <cell r="C521">
            <v>182071101</v>
          </cell>
          <cell r="D521" t="str">
            <v>CAMPHORA 1101</v>
          </cell>
          <cell r="E521">
            <v>22412</v>
          </cell>
          <cell r="F521" t="b">
            <v>0</v>
          </cell>
          <cell r="G521">
            <v>24417.538910165302</v>
          </cell>
          <cell r="H521">
            <v>3680.7169088087298</v>
          </cell>
          <cell r="I521">
            <v>130</v>
          </cell>
          <cell r="J521">
            <v>3.6956596314806802E-5</v>
          </cell>
          <cell r="K521">
            <v>3316</v>
          </cell>
          <cell r="L521">
            <v>12.511551184323601</v>
          </cell>
          <cell r="M521">
            <v>2579</v>
          </cell>
          <cell r="N521">
            <v>4.4959557566876999E-4</v>
          </cell>
          <cell r="O521">
            <v>2749</v>
          </cell>
          <cell r="Q521">
            <v>2781</v>
          </cell>
        </row>
        <row r="522">
          <cell r="B522" t="str">
            <v>CAMPHORA 1101613562</v>
          </cell>
          <cell r="C522">
            <v>182071101</v>
          </cell>
          <cell r="D522" t="str">
            <v>CAMPHORA 1101</v>
          </cell>
          <cell r="E522">
            <v>613562</v>
          </cell>
          <cell r="F522" t="b">
            <v>0</v>
          </cell>
          <cell r="G522">
            <v>9602.6341448904896</v>
          </cell>
          <cell r="H522">
            <v>5945.3078802898299</v>
          </cell>
          <cell r="I522">
            <v>29</v>
          </cell>
          <cell r="J522">
            <v>4.4820356103108197E-5</v>
          </cell>
          <cell r="K522">
            <v>3166</v>
          </cell>
          <cell r="L522">
            <v>198.149941979994</v>
          </cell>
          <cell r="M522">
            <v>1645</v>
          </cell>
          <cell r="N522">
            <v>1.09041275796543E-2</v>
          </cell>
          <cell r="O522">
            <v>1922</v>
          </cell>
          <cell r="Q522">
            <v>3204</v>
          </cell>
        </row>
        <row r="523">
          <cell r="B523" t="str">
            <v>CARLOTTA 11214045</v>
          </cell>
          <cell r="C523">
            <v>192291121</v>
          </cell>
          <cell r="D523" t="str">
            <v>CARLOTTA 1121</v>
          </cell>
          <cell r="E523">
            <v>4045</v>
          </cell>
          <cell r="F523" t="b">
            <v>1</v>
          </cell>
          <cell r="G523">
            <v>3179.9108424569599</v>
          </cell>
          <cell r="H523">
            <v>576.10802287594697</v>
          </cell>
          <cell r="I523">
            <v>18</v>
          </cell>
          <cell r="J523">
            <v>1.32154276292971E-4</v>
          </cell>
          <cell r="K523">
            <v>979</v>
          </cell>
          <cell r="L523">
            <v>114.530486568794</v>
          </cell>
          <cell r="M523">
            <v>1897</v>
          </cell>
          <cell r="N523">
            <v>1.4617797041566301E-2</v>
          </cell>
          <cell r="O523">
            <v>1799</v>
          </cell>
          <cell r="P523">
            <v>0.03</v>
          </cell>
          <cell r="Q523">
            <v>2324</v>
          </cell>
        </row>
        <row r="524">
          <cell r="B524" t="str">
            <v>CARLOTTA 112142896</v>
          </cell>
          <cell r="C524">
            <v>192291121</v>
          </cell>
          <cell r="D524" t="str">
            <v>CARLOTTA 1121</v>
          </cell>
          <cell r="E524">
            <v>42896</v>
          </cell>
          <cell r="F524" t="b">
            <v>0</v>
          </cell>
          <cell r="G524">
            <v>8829.7849678978</v>
          </cell>
          <cell r="H524">
            <v>3686.5968065417201</v>
          </cell>
          <cell r="I524">
            <v>71</v>
          </cell>
          <cell r="J524">
            <v>1.9576686063886299E-4</v>
          </cell>
          <cell r="K524">
            <v>414</v>
          </cell>
          <cell r="L524">
            <v>80.383362554645998</v>
          </cell>
          <cell r="M524">
            <v>2046</v>
          </cell>
          <cell r="N524">
            <v>1.10286310460622E-2</v>
          </cell>
          <cell r="O524">
            <v>1918</v>
          </cell>
          <cell r="P524">
            <v>0.04</v>
          </cell>
          <cell r="Q524">
            <v>2101</v>
          </cell>
        </row>
        <row r="525">
          <cell r="B525" t="str">
            <v>CARLOTTA 112144150</v>
          </cell>
          <cell r="C525">
            <v>192291121</v>
          </cell>
          <cell r="D525" t="str">
            <v>CARLOTTA 1121</v>
          </cell>
          <cell r="E525">
            <v>44150</v>
          </cell>
          <cell r="F525" t="b">
            <v>0</v>
          </cell>
          <cell r="G525">
            <v>5746.80820605791</v>
          </cell>
          <cell r="H525">
            <v>5746.80820605791</v>
          </cell>
          <cell r="I525">
            <v>13</v>
          </cell>
          <cell r="J525">
            <v>9.8024813572313395E-5</v>
          </cell>
          <cell r="K525">
            <v>1689</v>
          </cell>
          <cell r="L525">
            <v>54.896549207264798</v>
          </cell>
          <cell r="M525">
            <v>2182</v>
          </cell>
          <cell r="N525">
            <v>3.1684706028128201E-3</v>
          </cell>
          <cell r="O525">
            <v>2332</v>
          </cell>
          <cell r="P525">
            <v>0</v>
          </cell>
          <cell r="Q525">
            <v>2641</v>
          </cell>
        </row>
        <row r="526">
          <cell r="B526" t="str">
            <v>CARLOTTA 11214914</v>
          </cell>
          <cell r="C526">
            <v>192291121</v>
          </cell>
          <cell r="D526" t="str">
            <v>CARLOTTA 1121</v>
          </cell>
          <cell r="E526">
            <v>4914</v>
          </cell>
          <cell r="F526" t="b">
            <v>0</v>
          </cell>
          <cell r="G526">
            <v>22650.1521035517</v>
          </cell>
          <cell r="H526">
            <v>17097.447554681599</v>
          </cell>
          <cell r="I526">
            <v>138</v>
          </cell>
          <cell r="J526">
            <v>1.67759547524759E-4</v>
          </cell>
          <cell r="K526">
            <v>577</v>
          </cell>
          <cell r="L526">
            <v>39.252131394278202</v>
          </cell>
          <cell r="M526">
            <v>2282</v>
          </cell>
          <cell r="N526">
            <v>7.0374278467448901E-3</v>
          </cell>
          <cell r="O526">
            <v>2091</v>
          </cell>
          <cell r="P526">
            <v>0.08</v>
          </cell>
          <cell r="Q526">
            <v>1621</v>
          </cell>
        </row>
        <row r="527">
          <cell r="B527" t="str">
            <v>CARLOTTA 1121CB</v>
          </cell>
          <cell r="C527">
            <v>192291121</v>
          </cell>
          <cell r="D527" t="str">
            <v>CARLOTTA 1121</v>
          </cell>
          <cell r="E527" t="str">
            <v>CB</v>
          </cell>
          <cell r="F527" t="b">
            <v>0</v>
          </cell>
          <cell r="G527">
            <v>37542.253414315303</v>
          </cell>
          <cell r="H527">
            <v>4224.1485052012004</v>
          </cell>
          <cell r="I527">
            <v>255</v>
          </cell>
          <cell r="J527">
            <v>1.3212459615479099E-4</v>
          </cell>
          <cell r="K527">
            <v>981</v>
          </cell>
          <cell r="L527">
            <v>102.388221360206</v>
          </cell>
          <cell r="M527">
            <v>1942</v>
          </cell>
          <cell r="N527">
            <v>1.23016466869726E-2</v>
          </cell>
          <cell r="O527">
            <v>1872</v>
          </cell>
          <cell r="P527">
            <v>0.03</v>
          </cell>
          <cell r="Q527">
            <v>2408</v>
          </cell>
        </row>
        <row r="528">
          <cell r="B528" t="str">
            <v>CAROLANDS 04018888</v>
          </cell>
          <cell r="C528">
            <v>24060401</v>
          </cell>
          <cell r="D528" t="str">
            <v>CAROLANDS 0401</v>
          </cell>
          <cell r="E528">
            <v>8888</v>
          </cell>
          <cell r="F528" t="b">
            <v>1</v>
          </cell>
          <cell r="G528">
            <v>2206.3606617502001</v>
          </cell>
          <cell r="H528">
            <v>0</v>
          </cell>
          <cell r="I528">
            <v>25</v>
          </cell>
          <cell r="J528">
            <v>9.9899947220668099E-5</v>
          </cell>
          <cell r="K528">
            <v>1651</v>
          </cell>
          <cell r="L528">
            <v>6.5146990120410905E-2</v>
          </cell>
          <cell r="M528">
            <v>3614</v>
          </cell>
          <cell r="N528">
            <v>6.5081808746144399E-6</v>
          </cell>
          <cell r="O528">
            <v>3189</v>
          </cell>
          <cell r="Q528">
            <v>3244</v>
          </cell>
        </row>
        <row r="529">
          <cell r="B529" t="str">
            <v>CAROLANDS 040484797</v>
          </cell>
          <cell r="C529">
            <v>24060404</v>
          </cell>
          <cell r="D529" t="str">
            <v>CAROLANDS 0404</v>
          </cell>
          <cell r="E529">
            <v>84797</v>
          </cell>
          <cell r="F529" t="b">
            <v>1</v>
          </cell>
          <cell r="G529">
            <v>2211.5606545150999</v>
          </cell>
          <cell r="H529">
            <v>66.699533439278596</v>
          </cell>
          <cell r="I529">
            <v>21</v>
          </cell>
          <cell r="J529">
            <v>6.4533495424257107E-5</v>
          </cell>
          <cell r="K529">
            <v>2626</v>
          </cell>
          <cell r="L529">
            <v>6.5330550074577304E-2</v>
          </cell>
          <cell r="M529">
            <v>3445</v>
          </cell>
          <cell r="N529">
            <v>4.2154812573879697E-6</v>
          </cell>
          <cell r="O529">
            <v>3318</v>
          </cell>
          <cell r="P529">
            <v>0.02</v>
          </cell>
          <cell r="Q529">
            <v>2441</v>
          </cell>
        </row>
        <row r="530">
          <cell r="B530" t="str">
            <v>CAROLANDS 04049024</v>
          </cell>
          <cell r="C530">
            <v>24060404</v>
          </cell>
          <cell r="D530" t="str">
            <v>CAROLANDS 0404</v>
          </cell>
          <cell r="E530">
            <v>9024</v>
          </cell>
          <cell r="F530" t="b">
            <v>0</v>
          </cell>
          <cell r="G530">
            <v>6139.1911589984302</v>
          </cell>
          <cell r="H530">
            <v>5646.8014860037601</v>
          </cell>
          <cell r="I530">
            <v>62</v>
          </cell>
          <cell r="J530">
            <v>8.1166802638401803E-5</v>
          </cell>
          <cell r="K530">
            <v>2180</v>
          </cell>
          <cell r="L530">
            <v>6.6328287244804399E-2</v>
          </cell>
          <cell r="M530">
            <v>3141</v>
          </cell>
          <cell r="N530">
            <v>5.3872662929835698E-6</v>
          </cell>
          <cell r="O530">
            <v>3246</v>
          </cell>
          <cell r="P530">
            <v>0.12</v>
          </cell>
          <cell r="Q530">
            <v>1406</v>
          </cell>
        </row>
        <row r="531">
          <cell r="B531" t="str">
            <v>CAROLANDS 04049026</v>
          </cell>
          <cell r="C531">
            <v>24060404</v>
          </cell>
          <cell r="D531" t="str">
            <v>CAROLANDS 0404</v>
          </cell>
          <cell r="E531">
            <v>9026</v>
          </cell>
          <cell r="F531" t="b">
            <v>0</v>
          </cell>
          <cell r="G531">
            <v>8105.2329512271099</v>
          </cell>
          <cell r="H531">
            <v>1184.15093382023</v>
          </cell>
          <cell r="I531">
            <v>71</v>
          </cell>
          <cell r="J531">
            <v>5.9490117010959103E-5</v>
          </cell>
          <cell r="K531">
            <v>2791</v>
          </cell>
          <cell r="L531">
            <v>6.53822571039199E-2</v>
          </cell>
          <cell r="M531">
            <v>3425</v>
          </cell>
          <cell r="N531">
            <v>3.89324877666491E-6</v>
          </cell>
          <cell r="O531">
            <v>3343</v>
          </cell>
          <cell r="P531">
            <v>0.03</v>
          </cell>
          <cell r="Q531">
            <v>2274</v>
          </cell>
        </row>
        <row r="532">
          <cell r="B532" t="str">
            <v>CASTRO VALLEY 1102837904</v>
          </cell>
          <cell r="C532">
            <v>14091102</v>
          </cell>
          <cell r="D532" t="str">
            <v>CASTRO VALLEY 1102</v>
          </cell>
          <cell r="E532">
            <v>837904</v>
          </cell>
          <cell r="F532" t="b">
            <v>0</v>
          </cell>
          <cell r="G532">
            <v>3252.9939231040798</v>
          </cell>
          <cell r="H532">
            <v>1669.2170788429801</v>
          </cell>
          <cell r="I532">
            <v>25</v>
          </cell>
          <cell r="J532">
            <v>3.8293568031804103E-5</v>
          </cell>
          <cell r="K532">
            <v>3293</v>
          </cell>
          <cell r="L532">
            <v>0.69840843409299802</v>
          </cell>
          <cell r="M532">
            <v>2909</v>
          </cell>
          <cell r="N532">
            <v>2.44354635753559E-5</v>
          </cell>
          <cell r="O532">
            <v>2953</v>
          </cell>
          <cell r="Q532">
            <v>2930</v>
          </cell>
        </row>
        <row r="533">
          <cell r="B533" t="str">
            <v>CASTRO VALLEY 1102MR204</v>
          </cell>
          <cell r="C533">
            <v>14091102</v>
          </cell>
          <cell r="D533" t="str">
            <v>CASTRO VALLEY 1102</v>
          </cell>
          <cell r="E533" t="str">
            <v>MR204</v>
          </cell>
          <cell r="F533" t="b">
            <v>1</v>
          </cell>
          <cell r="G533">
            <v>4739.0906948802503</v>
          </cell>
          <cell r="H533">
            <v>326.52521502906899</v>
          </cell>
          <cell r="I533">
            <v>46</v>
          </cell>
          <cell r="J533">
            <v>3.9361322756626999E-5</v>
          </cell>
          <cell r="K533">
            <v>3279</v>
          </cell>
          <cell r="L533">
            <v>6.5258722266425206E-2</v>
          </cell>
          <cell r="M533">
            <v>3475</v>
          </cell>
          <cell r="N533">
            <v>2.5758629239452799E-6</v>
          </cell>
          <cell r="O533">
            <v>3457</v>
          </cell>
          <cell r="Q533">
            <v>2785</v>
          </cell>
        </row>
        <row r="534">
          <cell r="B534" t="str">
            <v>CASTRO VALLEY 1102MR359</v>
          </cell>
          <cell r="C534">
            <v>14091102</v>
          </cell>
          <cell r="D534" t="str">
            <v>CASTRO VALLEY 1102</v>
          </cell>
          <cell r="E534" t="str">
            <v>MR359</v>
          </cell>
          <cell r="F534" t="b">
            <v>1</v>
          </cell>
          <cell r="G534">
            <v>10891.952397220401</v>
          </cell>
          <cell r="H534">
            <v>0</v>
          </cell>
          <cell r="I534">
            <v>90</v>
          </cell>
          <cell r="J534">
            <v>2.5294647365514099E-5</v>
          </cell>
          <cell r="K534">
            <v>3493</v>
          </cell>
          <cell r="L534">
            <v>0.41658770442008902</v>
          </cell>
          <cell r="M534">
            <v>2914</v>
          </cell>
          <cell r="N534">
            <v>1.14755402796717E-5</v>
          </cell>
          <cell r="O534">
            <v>3040</v>
          </cell>
          <cell r="Q534">
            <v>2849</v>
          </cell>
        </row>
        <row r="535">
          <cell r="B535" t="str">
            <v>CASTRO VALLEY 1105132304</v>
          </cell>
          <cell r="C535">
            <v>14091105</v>
          </cell>
          <cell r="D535" t="str">
            <v>CASTRO VALLEY 1105</v>
          </cell>
          <cell r="E535">
            <v>132304</v>
          </cell>
          <cell r="F535" t="b">
            <v>1</v>
          </cell>
          <cell r="G535">
            <v>1491.8996075085399</v>
          </cell>
          <cell r="H535">
            <v>118.663131323013</v>
          </cell>
          <cell r="I535">
            <v>13</v>
          </cell>
          <cell r="J535">
            <v>5.8099073892383098E-6</v>
          </cell>
          <cell r="K535">
            <v>3632</v>
          </cell>
          <cell r="L535">
            <v>6.5146990120410905E-2</v>
          </cell>
          <cell r="M535">
            <v>3607</v>
          </cell>
          <cell r="N535">
            <v>3.7849797928721001E-7</v>
          </cell>
          <cell r="O535">
            <v>3632</v>
          </cell>
          <cell r="Q535">
            <v>3288</v>
          </cell>
        </row>
        <row r="536">
          <cell r="B536" t="str">
            <v>CASTRO VALLEY 1105MR201</v>
          </cell>
          <cell r="C536">
            <v>14091105</v>
          </cell>
          <cell r="D536" t="str">
            <v>CASTRO VALLEY 1105</v>
          </cell>
          <cell r="E536" t="str">
            <v>MR201</v>
          </cell>
          <cell r="F536" t="b">
            <v>0</v>
          </cell>
          <cell r="G536">
            <v>13962.3910813319</v>
          </cell>
          <cell r="H536">
            <v>2014.38878754396</v>
          </cell>
          <cell r="I536">
            <v>112</v>
          </cell>
          <cell r="J536">
            <v>1.4628399112228001E-5</v>
          </cell>
          <cell r="K536">
            <v>3589</v>
          </cell>
          <cell r="L536">
            <v>6.5296132583171101E-2</v>
          </cell>
          <cell r="M536">
            <v>3463</v>
          </cell>
          <cell r="N536">
            <v>9.5698378916180899E-7</v>
          </cell>
          <cell r="O536">
            <v>3595</v>
          </cell>
          <cell r="Q536">
            <v>2794</v>
          </cell>
        </row>
        <row r="537">
          <cell r="B537" t="str">
            <v>CASTRO VALLEY 1105MR236</v>
          </cell>
          <cell r="C537">
            <v>14091105</v>
          </cell>
          <cell r="D537" t="str">
            <v>CASTRO VALLEY 1105</v>
          </cell>
          <cell r="E537" t="str">
            <v>MR236</v>
          </cell>
          <cell r="F537" t="b">
            <v>0</v>
          </cell>
          <cell r="G537">
            <v>13624.145104892399</v>
          </cell>
          <cell r="H537">
            <v>2212.8784028912401</v>
          </cell>
          <cell r="I537">
            <v>112</v>
          </cell>
          <cell r="J537">
            <v>1.2234333514779099E-5</v>
          </cell>
          <cell r="K537">
            <v>3607</v>
          </cell>
          <cell r="L537">
            <v>6.5342022571712705E-2</v>
          </cell>
          <cell r="M537">
            <v>3441</v>
          </cell>
          <cell r="N537">
            <v>8.0193220593455997E-7</v>
          </cell>
          <cell r="O537">
            <v>3609</v>
          </cell>
          <cell r="Q537">
            <v>2670</v>
          </cell>
        </row>
        <row r="538">
          <cell r="B538" t="str">
            <v>CASTRO VALLEY 11088971</v>
          </cell>
          <cell r="C538">
            <v>14091108</v>
          </cell>
          <cell r="D538" t="str">
            <v>CASTRO VALLEY 1108</v>
          </cell>
          <cell r="E538">
            <v>8971</v>
          </cell>
          <cell r="F538" t="b">
            <v>0</v>
          </cell>
          <cell r="G538">
            <v>12716.2407461038</v>
          </cell>
          <cell r="H538">
            <v>12716.2407461038</v>
          </cell>
          <cell r="I538">
            <v>72</v>
          </cell>
          <cell r="J538">
            <v>1.0597460287742801E-4</v>
          </cell>
          <cell r="K538">
            <v>1496</v>
          </cell>
          <cell r="L538">
            <v>268.18369621035703</v>
          </cell>
          <cell r="M538">
            <v>1504</v>
          </cell>
          <cell r="N538">
            <v>2.9749059188731199E-2</v>
          </cell>
          <cell r="O538">
            <v>1466</v>
          </cell>
          <cell r="Q538">
            <v>3293</v>
          </cell>
        </row>
        <row r="539">
          <cell r="B539" t="str">
            <v>CASTRO VALLEY 1108MR205</v>
          </cell>
          <cell r="C539">
            <v>14091108</v>
          </cell>
          <cell r="D539" t="str">
            <v>CASTRO VALLEY 1108</v>
          </cell>
          <cell r="E539" t="str">
            <v>MR205</v>
          </cell>
          <cell r="F539" t="b">
            <v>1</v>
          </cell>
          <cell r="G539">
            <v>8740.8691640369307</v>
          </cell>
          <cell r="H539">
            <v>0</v>
          </cell>
          <cell r="I539">
            <v>73</v>
          </cell>
          <cell r="J539">
            <v>2.6763203806012802E-5</v>
          </cell>
          <cell r="K539">
            <v>3475</v>
          </cell>
          <cell r="L539">
            <v>6.5182193399292099E-2</v>
          </cell>
          <cell r="M539">
            <v>3534</v>
          </cell>
          <cell r="N539">
            <v>1.74778468895968E-6</v>
          </cell>
          <cell r="O539">
            <v>3530</v>
          </cell>
          <cell r="Q539">
            <v>2764</v>
          </cell>
        </row>
        <row r="540">
          <cell r="B540" t="str">
            <v>CASTRO VALLEY 1108MR233</v>
          </cell>
          <cell r="C540">
            <v>14091108</v>
          </cell>
          <cell r="D540" t="str">
            <v>CASTRO VALLEY 1108</v>
          </cell>
          <cell r="E540" t="str">
            <v>MR233</v>
          </cell>
          <cell r="F540" t="b">
            <v>1</v>
          </cell>
          <cell r="G540">
            <v>1023.3374386975501</v>
          </cell>
          <cell r="H540">
            <v>370.94476516106101</v>
          </cell>
          <cell r="I540">
            <v>7</v>
          </cell>
          <cell r="J540">
            <v>4.4443358222321999E-5</v>
          </cell>
          <cell r="K540">
            <v>3176</v>
          </cell>
          <cell r="L540">
            <v>6.5330550074577304E-2</v>
          </cell>
          <cell r="M540">
            <v>3447</v>
          </cell>
          <cell r="N540">
            <v>2.90352292960923E-6</v>
          </cell>
          <cell r="O540">
            <v>3423</v>
          </cell>
          <cell r="Q540">
            <v>3504</v>
          </cell>
        </row>
        <row r="541">
          <cell r="B541" t="str">
            <v>CASTRO VALLEY 1108MR337</v>
          </cell>
          <cell r="C541">
            <v>14091108</v>
          </cell>
          <cell r="D541" t="str">
            <v>CASTRO VALLEY 1108</v>
          </cell>
          <cell r="E541" t="str">
            <v>MR337</v>
          </cell>
          <cell r="F541" t="b">
            <v>0</v>
          </cell>
          <cell r="G541">
            <v>30458.132444010502</v>
          </cell>
          <cell r="H541">
            <v>14629.5478572961</v>
          </cell>
          <cell r="I541">
            <v>193</v>
          </cell>
          <cell r="J541">
            <v>2.0736058334155499E-5</v>
          </cell>
          <cell r="K541">
            <v>3536</v>
          </cell>
          <cell r="L541">
            <v>31.702073141855202</v>
          </cell>
          <cell r="M541">
            <v>2331</v>
          </cell>
          <cell r="N541">
            <v>2.6206424372110602E-3</v>
          </cell>
          <cell r="O541">
            <v>2394</v>
          </cell>
          <cell r="Q541">
            <v>2704</v>
          </cell>
        </row>
        <row r="542">
          <cell r="B542" t="str">
            <v>CASTRO VALLEY 111010315</v>
          </cell>
          <cell r="C542">
            <v>14091110</v>
          </cell>
          <cell r="D542" t="str">
            <v>CASTRO VALLEY 1110</v>
          </cell>
          <cell r="E542">
            <v>10315</v>
          </cell>
          <cell r="F542" t="b">
            <v>0</v>
          </cell>
          <cell r="G542">
            <v>8831.8074336886293</v>
          </cell>
          <cell r="H542">
            <v>8831.8074336886293</v>
          </cell>
          <cell r="I542">
            <v>53</v>
          </cell>
          <cell r="J542">
            <v>1.06994945592717E-4</v>
          </cell>
          <cell r="K542">
            <v>1472</v>
          </cell>
          <cell r="L542">
            <v>59.7801017893295</v>
          </cell>
          <cell r="M542">
            <v>2155</v>
          </cell>
          <cell r="N542">
            <v>6.4309632263521103E-3</v>
          </cell>
          <cell r="O542">
            <v>2132</v>
          </cell>
          <cell r="Q542">
            <v>3064</v>
          </cell>
        </row>
        <row r="543">
          <cell r="B543" t="str">
            <v>CASTRO VALLEY 1110264914</v>
          </cell>
          <cell r="C543">
            <v>14091110</v>
          </cell>
          <cell r="D543" t="str">
            <v>CASTRO VALLEY 1110</v>
          </cell>
          <cell r="E543">
            <v>264914</v>
          </cell>
          <cell r="F543" t="b">
            <v>0</v>
          </cell>
          <cell r="G543">
            <v>1490.2678089825399</v>
          </cell>
          <cell r="H543">
            <v>1396.6170523093699</v>
          </cell>
          <cell r="I543">
            <v>14</v>
          </cell>
          <cell r="J543">
            <v>8.0284654229347094E-5</v>
          </cell>
          <cell r="K543">
            <v>2197</v>
          </cell>
          <cell r="L543">
            <v>6.6248349845409393E-2</v>
          </cell>
          <cell r="M543">
            <v>3164</v>
          </cell>
          <cell r="N543">
            <v>5.3219088638709501E-6</v>
          </cell>
          <cell r="O543">
            <v>3248</v>
          </cell>
          <cell r="Q543">
            <v>2934</v>
          </cell>
        </row>
        <row r="544">
          <cell r="B544" t="str">
            <v>CASTRO VALLEY 1110610800</v>
          </cell>
          <cell r="C544">
            <v>14091110</v>
          </cell>
          <cell r="D544" t="str">
            <v>CASTRO VALLEY 1110</v>
          </cell>
          <cell r="E544">
            <v>610800</v>
          </cell>
          <cell r="F544" t="b">
            <v>0</v>
          </cell>
          <cell r="G544">
            <v>4080.4254005563098</v>
          </cell>
          <cell r="H544">
            <v>3862.9952976487102</v>
          </cell>
          <cell r="I544">
            <v>33</v>
          </cell>
          <cell r="J544">
            <v>8.5461379498927699E-5</v>
          </cell>
          <cell r="K544">
            <v>2042</v>
          </cell>
          <cell r="L544">
            <v>102.3731698667</v>
          </cell>
          <cell r="M544">
            <v>1943</v>
          </cell>
          <cell r="N544">
            <v>9.1095987355039407E-3</v>
          </cell>
          <cell r="O544">
            <v>1997</v>
          </cell>
          <cell r="Q544">
            <v>3147</v>
          </cell>
        </row>
        <row r="545">
          <cell r="B545" t="str">
            <v>CASTRO VALLEY 1110CB</v>
          </cell>
          <cell r="C545">
            <v>14091110</v>
          </cell>
          <cell r="D545" t="str">
            <v>CASTRO VALLEY 1110</v>
          </cell>
          <cell r="E545" t="str">
            <v>CB</v>
          </cell>
          <cell r="F545" t="b">
            <v>1</v>
          </cell>
          <cell r="G545">
            <v>2059.8957316270598</v>
          </cell>
          <cell r="H545">
            <v>523.32750165575999</v>
          </cell>
          <cell r="I545">
            <v>23</v>
          </cell>
          <cell r="J545">
            <v>4.4906404720835702E-5</v>
          </cell>
          <cell r="K545">
            <v>3162</v>
          </cell>
          <cell r="L545">
            <v>6.5538052631461105E-2</v>
          </cell>
          <cell r="M545">
            <v>3356</v>
          </cell>
          <cell r="N545">
            <v>2.9631660856932401E-6</v>
          </cell>
          <cell r="O545">
            <v>3415</v>
          </cell>
          <cell r="Q545">
            <v>2989</v>
          </cell>
        </row>
        <row r="546">
          <cell r="B546" t="str">
            <v>CASTRO VALLEY 1110MR243</v>
          </cell>
          <cell r="C546">
            <v>14091110</v>
          </cell>
          <cell r="D546" t="str">
            <v>CASTRO VALLEY 1110</v>
          </cell>
          <cell r="E546" t="str">
            <v>MR243</v>
          </cell>
          <cell r="F546" t="b">
            <v>0</v>
          </cell>
          <cell r="G546">
            <v>8929.80504482365</v>
          </cell>
          <cell r="H546">
            <v>8929.80504482365</v>
          </cell>
          <cell r="I546">
            <v>72</v>
          </cell>
          <cell r="J546">
            <v>8.9045559914464103E-5</v>
          </cell>
          <cell r="K546">
            <v>1946</v>
          </cell>
          <cell r="L546">
            <v>128.04842813851101</v>
          </cell>
          <cell r="M546">
            <v>1849</v>
          </cell>
          <cell r="N546">
            <v>1.10842481948938E-2</v>
          </cell>
          <cell r="O546">
            <v>1914</v>
          </cell>
          <cell r="Q546">
            <v>2988</v>
          </cell>
        </row>
        <row r="547">
          <cell r="B547" t="str">
            <v>CASTRO VALLEY 1110MR273</v>
          </cell>
          <cell r="C547">
            <v>14091110</v>
          </cell>
          <cell r="D547" t="str">
            <v>CASTRO VALLEY 1110</v>
          </cell>
          <cell r="E547" t="str">
            <v>MR273</v>
          </cell>
          <cell r="F547" t="b">
            <v>0</v>
          </cell>
          <cell r="G547">
            <v>1164.6083310070501</v>
          </cell>
          <cell r="H547">
            <v>1164.6083310070501</v>
          </cell>
          <cell r="I547">
            <v>13</v>
          </cell>
          <cell r="J547">
            <v>7.8527303300618794E-5</v>
          </cell>
          <cell r="K547">
            <v>2248</v>
          </cell>
          <cell r="L547">
            <v>62.480966808704203</v>
          </cell>
          <cell r="M547">
            <v>2140</v>
          </cell>
          <cell r="N547">
            <v>4.7918536502110304E-3</v>
          </cell>
          <cell r="O547">
            <v>2214</v>
          </cell>
          <cell r="Q547">
            <v>3564</v>
          </cell>
        </row>
        <row r="548">
          <cell r="B548" t="str">
            <v>CASTRO VALLEY 1110MR341</v>
          </cell>
          <cell r="C548">
            <v>14091110</v>
          </cell>
          <cell r="D548" t="str">
            <v>CASTRO VALLEY 1110</v>
          </cell>
          <cell r="E548" t="str">
            <v>MR341</v>
          </cell>
          <cell r="F548" t="b">
            <v>1</v>
          </cell>
          <cell r="G548">
            <v>1045.18498456159</v>
          </cell>
          <cell r="H548">
            <v>417.22496291913598</v>
          </cell>
          <cell r="I548">
            <v>11</v>
          </cell>
          <cell r="J548">
            <v>9.8400568524745896E-5</v>
          </cell>
          <cell r="K548">
            <v>1680</v>
          </cell>
          <cell r="L548">
            <v>6.5731044520031298E-2</v>
          </cell>
          <cell r="M548">
            <v>3300</v>
          </cell>
          <cell r="N548">
            <v>6.5026725855826303E-6</v>
          </cell>
          <cell r="O548">
            <v>3191</v>
          </cell>
          <cell r="Q548">
            <v>3142</v>
          </cell>
        </row>
        <row r="549">
          <cell r="B549" t="str">
            <v>CASTRO VALLEY 1110MR379</v>
          </cell>
          <cell r="C549">
            <v>14091110</v>
          </cell>
          <cell r="D549" t="str">
            <v>CASTRO VALLEY 1110</v>
          </cell>
          <cell r="E549" t="str">
            <v>MR379</v>
          </cell>
          <cell r="F549" t="b">
            <v>0</v>
          </cell>
          <cell r="G549">
            <v>2535.6762915720801</v>
          </cell>
          <cell r="H549">
            <v>1749.5826670270501</v>
          </cell>
          <cell r="I549">
            <v>22</v>
          </cell>
          <cell r="J549">
            <v>1.9869814836552401E-5</v>
          </cell>
          <cell r="K549">
            <v>3545</v>
          </cell>
          <cell r="L549">
            <v>6.5964666279879403E-2</v>
          </cell>
          <cell r="M549">
            <v>3229</v>
          </cell>
          <cell r="N549">
            <v>1.3088106492642301E-6</v>
          </cell>
          <cell r="O549">
            <v>3564</v>
          </cell>
          <cell r="Q549">
            <v>2658</v>
          </cell>
        </row>
        <row r="550">
          <cell r="B550" t="str">
            <v>CASTRO VALLEY 1110MR525</v>
          </cell>
          <cell r="C550">
            <v>14091110</v>
          </cell>
          <cell r="D550" t="str">
            <v>CASTRO VALLEY 1110</v>
          </cell>
          <cell r="E550" t="str">
            <v>MR525</v>
          </cell>
          <cell r="F550" t="b">
            <v>1</v>
          </cell>
          <cell r="G550">
            <v>98.249114598337698</v>
          </cell>
          <cell r="H550">
            <v>17.883119057711799</v>
          </cell>
          <cell r="I550">
            <v>2</v>
          </cell>
          <cell r="J550">
            <v>6.2244269429356696E-5</v>
          </cell>
          <cell r="K550">
            <v>2712</v>
          </cell>
          <cell r="L550">
            <v>142.61541505157899</v>
          </cell>
          <cell r="M550">
            <v>1800</v>
          </cell>
          <cell r="N550">
            <v>9.1966946082615506E-3</v>
          </cell>
          <cell r="O550">
            <v>1995</v>
          </cell>
          <cell r="Q550">
            <v>3348</v>
          </cell>
        </row>
        <row r="551">
          <cell r="B551" t="str">
            <v>CASTRO VALLEY 1110MR748</v>
          </cell>
          <cell r="C551">
            <v>14091110</v>
          </cell>
          <cell r="D551" t="str">
            <v>CASTRO VALLEY 1110</v>
          </cell>
          <cell r="E551" t="str">
            <v>MR748</v>
          </cell>
          <cell r="F551" t="b">
            <v>0</v>
          </cell>
          <cell r="G551">
            <v>10026.112526966301</v>
          </cell>
          <cell r="H551">
            <v>10026.112526966301</v>
          </cell>
          <cell r="I551">
            <v>86</v>
          </cell>
          <cell r="J551">
            <v>9.5898198302419606E-5</v>
          </cell>
          <cell r="K551">
            <v>1731</v>
          </cell>
          <cell r="L551">
            <v>353.76311780187802</v>
          </cell>
          <cell r="M551">
            <v>1368</v>
          </cell>
          <cell r="N551">
            <v>3.9516371487973302E-2</v>
          </cell>
          <cell r="O551">
            <v>1309</v>
          </cell>
          <cell r="Q551">
            <v>2749</v>
          </cell>
        </row>
        <row r="552">
          <cell r="B552" t="str">
            <v>CASTRO VALLEY 1111227862</v>
          </cell>
          <cell r="C552">
            <v>14091111</v>
          </cell>
          <cell r="D552" t="str">
            <v>CASTRO VALLEY 1111</v>
          </cell>
          <cell r="E552">
            <v>227862</v>
          </cell>
          <cell r="F552" t="b">
            <v>1</v>
          </cell>
          <cell r="G552">
            <v>2810.71035243191</v>
          </cell>
          <cell r="H552">
            <v>319.33694764915703</v>
          </cell>
          <cell r="I552">
            <v>26</v>
          </cell>
          <cell r="J552">
            <v>7.58637509954076E-5</v>
          </cell>
          <cell r="K552">
            <v>2311</v>
          </cell>
          <cell r="L552">
            <v>6.5245830095731205E-2</v>
          </cell>
          <cell r="M552">
            <v>3481</v>
          </cell>
          <cell r="N552">
            <v>4.95198294391266E-6</v>
          </cell>
          <cell r="O552">
            <v>3270</v>
          </cell>
          <cell r="Q552">
            <v>2736</v>
          </cell>
        </row>
        <row r="553">
          <cell r="B553" t="str">
            <v>CASTRO VALLEY 1111CB</v>
          </cell>
          <cell r="C553">
            <v>14091111</v>
          </cell>
          <cell r="D553" t="str">
            <v>CASTRO VALLEY 1111</v>
          </cell>
          <cell r="E553" t="str">
            <v>CB</v>
          </cell>
          <cell r="F553" t="b">
            <v>1</v>
          </cell>
          <cell r="G553">
            <v>1304.8231678654799</v>
          </cell>
          <cell r="H553">
            <v>357.336109842518</v>
          </cell>
          <cell r="I553">
            <v>16</v>
          </cell>
          <cell r="J553">
            <v>7.3542016131492906E-5</v>
          </cell>
          <cell r="K553">
            <v>2381</v>
          </cell>
          <cell r="L553">
            <v>5.0120126400142899</v>
          </cell>
          <cell r="M553">
            <v>2752</v>
          </cell>
          <cell r="N553">
            <v>5.70582625480527E-4</v>
          </cell>
          <cell r="O553">
            <v>2717</v>
          </cell>
          <cell r="Q553">
            <v>3215</v>
          </cell>
        </row>
        <row r="554">
          <cell r="B554" t="str">
            <v>CASTRO VALLEY 1111MR334</v>
          </cell>
          <cell r="C554">
            <v>14091111</v>
          </cell>
          <cell r="D554" t="str">
            <v>CASTRO VALLEY 1111</v>
          </cell>
          <cell r="E554" t="str">
            <v>MR334</v>
          </cell>
          <cell r="F554" t="b">
            <v>0</v>
          </cell>
          <cell r="G554">
            <v>9742.4846331495901</v>
          </cell>
          <cell r="H554">
            <v>9116.5948687837608</v>
          </cell>
          <cell r="I554">
            <v>80</v>
          </cell>
          <cell r="J554">
            <v>8.2030273529198897E-5</v>
          </cell>
          <cell r="K554">
            <v>2151</v>
          </cell>
          <cell r="L554">
            <v>200.45906572859201</v>
          </cell>
          <cell r="M554">
            <v>1639</v>
          </cell>
          <cell r="N554">
            <v>8.2358044148445192E-3</v>
          </cell>
          <cell r="O554">
            <v>2041</v>
          </cell>
          <cell r="Q554">
            <v>2808</v>
          </cell>
        </row>
        <row r="555">
          <cell r="B555" t="str">
            <v>CASTROVILLE 210436922</v>
          </cell>
          <cell r="C555">
            <v>182352104</v>
          </cell>
          <cell r="D555" t="str">
            <v>CASTROVILLE 2104</v>
          </cell>
          <cell r="E555">
            <v>36922</v>
          </cell>
          <cell r="F555" t="b">
            <v>1</v>
          </cell>
          <cell r="G555">
            <v>8825.2122838623709</v>
          </cell>
          <cell r="H555">
            <v>0</v>
          </cell>
          <cell r="I555">
            <v>37</v>
          </cell>
          <cell r="J555">
            <v>4.0991466764555502E-5</v>
          </cell>
          <cell r="K555">
            <v>3245</v>
          </cell>
          <cell r="L555">
            <v>6.5147589932388297E-2</v>
          </cell>
          <cell r="M555">
            <v>3595</v>
          </cell>
          <cell r="N555">
            <v>2.6704952675043801E-6</v>
          </cell>
          <cell r="O555">
            <v>3443</v>
          </cell>
          <cell r="Q555">
            <v>2948</v>
          </cell>
        </row>
        <row r="556">
          <cell r="B556" t="str">
            <v>CAYETANO 2109884904</v>
          </cell>
          <cell r="C556">
            <v>14422109</v>
          </cell>
          <cell r="D556" t="str">
            <v>CAYETANO 2109</v>
          </cell>
          <cell r="E556">
            <v>884904</v>
          </cell>
          <cell r="F556" t="b">
            <v>0</v>
          </cell>
          <cell r="G556">
            <v>18739.601567048499</v>
          </cell>
          <cell r="H556">
            <v>18723.681645350502</v>
          </cell>
          <cell r="I556">
            <v>77</v>
          </cell>
          <cell r="J556">
            <v>1.01903867744113E-4</v>
          </cell>
          <cell r="K556">
            <v>1605</v>
          </cell>
          <cell r="L556">
            <v>3934.60395612509</v>
          </cell>
          <cell r="M556">
            <v>152</v>
          </cell>
          <cell r="N556">
            <v>0.363260708975783</v>
          </cell>
          <cell r="O556">
            <v>83</v>
          </cell>
          <cell r="Q556">
            <v>2842</v>
          </cell>
        </row>
        <row r="557">
          <cell r="B557" t="str">
            <v>CAYETANO 21099504</v>
          </cell>
          <cell r="C557">
            <v>14422109</v>
          </cell>
          <cell r="D557" t="str">
            <v>CAYETANO 2109</v>
          </cell>
          <cell r="E557">
            <v>9504</v>
          </cell>
          <cell r="F557" t="b">
            <v>0</v>
          </cell>
          <cell r="G557">
            <v>23288.556144891601</v>
          </cell>
          <cell r="H557">
            <v>23283.869875367502</v>
          </cell>
          <cell r="I557">
            <v>97</v>
          </cell>
          <cell r="J557">
            <v>5.18656422248871E-5</v>
          </cell>
          <cell r="K557">
            <v>2997</v>
          </cell>
          <cell r="L557">
            <v>4524.1542316045197</v>
          </cell>
          <cell r="M557">
            <v>104</v>
          </cell>
          <cell r="N557">
            <v>0.21922159424743701</v>
          </cell>
          <cell r="O557">
            <v>285</v>
          </cell>
          <cell r="P557">
            <v>0.67</v>
          </cell>
          <cell r="Q557">
            <v>812</v>
          </cell>
        </row>
        <row r="558">
          <cell r="B558" t="str">
            <v>CAYETANO 2109CB</v>
          </cell>
          <cell r="C558">
            <v>14422109</v>
          </cell>
          <cell r="D558" t="str">
            <v>CAYETANO 2109</v>
          </cell>
          <cell r="E558" t="str">
            <v>CB</v>
          </cell>
          <cell r="F558" t="b">
            <v>0</v>
          </cell>
          <cell r="G558">
            <v>8828.3789216315108</v>
          </cell>
          <cell r="H558">
            <v>2269.8171523063602</v>
          </cell>
          <cell r="I558">
            <v>51</v>
          </cell>
          <cell r="J558">
            <v>8.6513396386830399E-5</v>
          </cell>
          <cell r="K558">
            <v>2023</v>
          </cell>
          <cell r="L558">
            <v>1197.22486578812</v>
          </cell>
          <cell r="M558">
            <v>732</v>
          </cell>
          <cell r="N558">
            <v>9.4773187815846205E-2</v>
          </cell>
          <cell r="O558">
            <v>795</v>
          </cell>
          <cell r="P558">
            <v>0.08</v>
          </cell>
          <cell r="Q558">
            <v>1602</v>
          </cell>
        </row>
        <row r="559">
          <cell r="B559" t="str">
            <v>CAYETANO 2109MR186</v>
          </cell>
          <cell r="C559">
            <v>14422109</v>
          </cell>
          <cell r="D559" t="str">
            <v>CAYETANO 2109</v>
          </cell>
          <cell r="E559" t="str">
            <v>MR186</v>
          </cell>
          <cell r="F559" t="b">
            <v>1</v>
          </cell>
          <cell r="G559">
            <v>4135.7533399501999</v>
          </cell>
          <cell r="H559">
            <v>818.88370372120403</v>
          </cell>
          <cell r="I559">
            <v>27</v>
          </cell>
          <cell r="J559">
            <v>8.9464671705004304E-5</v>
          </cell>
          <cell r="K559">
            <v>1933</v>
          </cell>
          <cell r="L559">
            <v>1490.2333603519201</v>
          </cell>
          <cell r="M559">
            <v>599</v>
          </cell>
          <cell r="N559">
            <v>0.118743039516152</v>
          </cell>
          <cell r="O559">
            <v>653</v>
          </cell>
          <cell r="P559">
            <v>0.02</v>
          </cell>
          <cell r="Q559">
            <v>2461</v>
          </cell>
        </row>
        <row r="560">
          <cell r="B560" t="str">
            <v>CAYETANO 2109MR572</v>
          </cell>
          <cell r="C560">
            <v>14422109</v>
          </cell>
          <cell r="D560" t="str">
            <v>CAYETANO 2109</v>
          </cell>
          <cell r="E560" t="str">
            <v>MR572</v>
          </cell>
          <cell r="F560" t="b">
            <v>0</v>
          </cell>
          <cell r="G560">
            <v>19863.5833336627</v>
          </cell>
          <cell r="H560">
            <v>13342.820790453599</v>
          </cell>
          <cell r="I560">
            <v>80</v>
          </cell>
          <cell r="J560">
            <v>8.3530245296969906E-5</v>
          </cell>
          <cell r="K560">
            <v>2113</v>
          </cell>
          <cell r="L560">
            <v>3855.50034222561</v>
          </cell>
          <cell r="M560">
            <v>161</v>
          </cell>
          <cell r="N560">
            <v>0.27120867887412597</v>
          </cell>
          <cell r="O560">
            <v>177</v>
          </cell>
          <cell r="P560">
            <v>0.06</v>
          </cell>
          <cell r="Q560">
            <v>1900</v>
          </cell>
        </row>
        <row r="561">
          <cell r="B561" t="str">
            <v>CAYETANO 2111389190</v>
          </cell>
          <cell r="C561">
            <v>14422111</v>
          </cell>
          <cell r="D561" t="str">
            <v>CAYETANO 2111</v>
          </cell>
          <cell r="E561">
            <v>389190</v>
          </cell>
          <cell r="F561" t="b">
            <v>0</v>
          </cell>
          <cell r="G561">
            <v>4452.7835078260896</v>
          </cell>
          <cell r="H561">
            <v>3542.8058467170999</v>
          </cell>
          <cell r="I561">
            <v>18</v>
          </cell>
          <cell r="J561">
            <v>1.03179279903997E-4</v>
          </cell>
          <cell r="K561">
            <v>1566</v>
          </cell>
          <cell r="L561">
            <v>3658.7667812971199</v>
          </cell>
          <cell r="M561">
            <v>184</v>
          </cell>
          <cell r="N561">
            <v>0.359459660427071</v>
          </cell>
          <cell r="O561">
            <v>90</v>
          </cell>
          <cell r="Q561">
            <v>3524</v>
          </cell>
        </row>
        <row r="562">
          <cell r="B562" t="str">
            <v>CAYETANO 2111CB</v>
          </cell>
          <cell r="C562">
            <v>14422111</v>
          </cell>
          <cell r="D562" t="str">
            <v>CAYETANO 2111</v>
          </cell>
          <cell r="E562" t="str">
            <v>CB</v>
          </cell>
          <cell r="F562" t="b">
            <v>0</v>
          </cell>
          <cell r="G562">
            <v>14665.156543299499</v>
          </cell>
          <cell r="H562">
            <v>5449.7895714079996</v>
          </cell>
          <cell r="I562">
            <v>81</v>
          </cell>
          <cell r="J562">
            <v>1.21464170486632E-4</v>
          </cell>
          <cell r="K562">
            <v>1157</v>
          </cell>
          <cell r="L562">
            <v>1050.37577460542</v>
          </cell>
          <cell r="M562">
            <v>796</v>
          </cell>
          <cell r="N562">
            <v>0.112576677232596</v>
          </cell>
          <cell r="O562">
            <v>692</v>
          </cell>
          <cell r="P562">
            <v>0.04</v>
          </cell>
          <cell r="Q562">
            <v>2099</v>
          </cell>
        </row>
        <row r="563">
          <cell r="B563" t="str">
            <v>CAYUCOS 11014701</v>
          </cell>
          <cell r="C563">
            <v>182551101</v>
          </cell>
          <cell r="D563" t="str">
            <v>CAYUCOS 1101</v>
          </cell>
          <cell r="E563">
            <v>4701</v>
          </cell>
          <cell r="F563" t="b">
            <v>0</v>
          </cell>
          <cell r="G563">
            <v>14095.959872609599</v>
          </cell>
          <cell r="H563">
            <v>3388.7478391806699</v>
          </cell>
          <cell r="I563">
            <v>65</v>
          </cell>
          <cell r="J563">
            <v>6.2737255319689198E-5</v>
          </cell>
          <cell r="K563">
            <v>2693</v>
          </cell>
          <cell r="L563">
            <v>533.92170406992602</v>
          </cell>
          <cell r="M563">
            <v>1166</v>
          </cell>
          <cell r="N563">
            <v>3.5932033951693802E-2</v>
          </cell>
          <cell r="O563">
            <v>1356</v>
          </cell>
          <cell r="P563">
            <v>0.03</v>
          </cell>
          <cell r="Q563">
            <v>2301</v>
          </cell>
        </row>
        <row r="564">
          <cell r="B564" t="str">
            <v>CAYUCOS 1102317156</v>
          </cell>
          <cell r="C564">
            <v>182551102</v>
          </cell>
          <cell r="D564" t="str">
            <v>CAYUCOS 1102</v>
          </cell>
          <cell r="E564">
            <v>317156</v>
          </cell>
          <cell r="F564" t="b">
            <v>0</v>
          </cell>
          <cell r="G564">
            <v>18303.2443272778</v>
          </cell>
          <cell r="H564">
            <v>3816.3109876356598</v>
          </cell>
          <cell r="I564">
            <v>67</v>
          </cell>
          <cell r="J564">
            <v>5.1744935262831798E-5</v>
          </cell>
          <cell r="K564">
            <v>3000</v>
          </cell>
          <cell r="L564">
            <v>86.480305361769894</v>
          </cell>
          <cell r="M564">
            <v>2018</v>
          </cell>
          <cell r="N564">
            <v>4.4039214311582704E-3</v>
          </cell>
          <cell r="O564">
            <v>2233</v>
          </cell>
          <cell r="Q564">
            <v>3166</v>
          </cell>
        </row>
        <row r="565">
          <cell r="B565" t="str">
            <v>CAYUCOS 1102613456</v>
          </cell>
          <cell r="C565">
            <v>182551102</v>
          </cell>
          <cell r="D565" t="str">
            <v>CAYUCOS 1102</v>
          </cell>
          <cell r="E565">
            <v>613456</v>
          </cell>
          <cell r="F565" t="b">
            <v>0</v>
          </cell>
          <cell r="G565">
            <v>38029.461120465603</v>
          </cell>
          <cell r="H565">
            <v>21637.064411255</v>
          </cell>
          <cell r="I565">
            <v>145</v>
          </cell>
          <cell r="J565">
            <v>5.8725184342418003E-5</v>
          </cell>
          <cell r="K565">
            <v>2815</v>
          </cell>
          <cell r="L565">
            <v>256.25736705604299</v>
          </cell>
          <cell r="M565">
            <v>1531</v>
          </cell>
          <cell r="N565">
            <v>1.40280210868267E-2</v>
          </cell>
          <cell r="O565">
            <v>1820</v>
          </cell>
          <cell r="Q565">
            <v>3187</v>
          </cell>
        </row>
        <row r="566">
          <cell r="B566" t="str">
            <v>CAYUCOS 1102CB</v>
          </cell>
          <cell r="C566">
            <v>182551102</v>
          </cell>
          <cell r="D566" t="str">
            <v>CAYUCOS 1102</v>
          </cell>
          <cell r="E566" t="str">
            <v>CB</v>
          </cell>
          <cell r="F566" t="b">
            <v>1</v>
          </cell>
          <cell r="G566">
            <v>8504.0552625054006</v>
          </cell>
          <cell r="H566">
            <v>0</v>
          </cell>
          <cell r="I566">
            <v>41</v>
          </cell>
          <cell r="J566">
            <v>3.9093076829407101E-5</v>
          </cell>
          <cell r="K566">
            <v>3284</v>
          </cell>
          <cell r="L566">
            <v>6.5146990120410905E-2</v>
          </cell>
          <cell r="M566">
            <v>3625</v>
          </cell>
          <cell r="N566">
            <v>2.54679628998185E-6</v>
          </cell>
          <cell r="O566">
            <v>3460</v>
          </cell>
          <cell r="P566">
            <v>0.18</v>
          </cell>
          <cell r="Q566">
            <v>1219</v>
          </cell>
        </row>
        <row r="567">
          <cell r="B567" t="str">
            <v>CEDAR CREEK 11011362</v>
          </cell>
          <cell r="C567">
            <v>103321101</v>
          </cell>
          <cell r="D567" t="str">
            <v>CEDAR CREEK 1101</v>
          </cell>
          <cell r="E567">
            <v>1362</v>
          </cell>
          <cell r="F567" t="b">
            <v>1</v>
          </cell>
          <cell r="G567">
            <v>24.951411183958601</v>
          </cell>
          <cell r="H567">
            <v>24.951411183958601</v>
          </cell>
          <cell r="I567">
            <v>1</v>
          </cell>
          <cell r="J567">
            <v>6.5972970332950299E-4</v>
          </cell>
          <cell r="K567">
            <v>10</v>
          </cell>
          <cell r="L567">
            <v>6.6431380861030107E-2</v>
          </cell>
          <cell r="M567">
            <v>3035</v>
          </cell>
          <cell r="N567">
            <v>4.3826755187216598E-5</v>
          </cell>
          <cell r="O567">
            <v>2908</v>
          </cell>
          <cell r="P567">
            <v>0.04</v>
          </cell>
          <cell r="Q567">
            <v>2068</v>
          </cell>
        </row>
        <row r="568">
          <cell r="B568" t="str">
            <v>CEDAR CREEK 11011608</v>
          </cell>
          <cell r="C568">
            <v>103321101</v>
          </cell>
          <cell r="D568" t="str">
            <v>CEDAR CREEK 1101</v>
          </cell>
          <cell r="E568">
            <v>1608</v>
          </cell>
          <cell r="F568" t="b">
            <v>0</v>
          </cell>
          <cell r="G568">
            <v>53827.5719390132</v>
          </cell>
          <cell r="H568">
            <v>53827.5719390132</v>
          </cell>
          <cell r="I568">
            <v>252</v>
          </cell>
          <cell r="J568">
            <v>1.9008628186110499E-4</v>
          </cell>
          <cell r="K568">
            <v>441</v>
          </cell>
          <cell r="L568">
            <v>523.025844987553</v>
          </cell>
          <cell r="M568">
            <v>1180</v>
          </cell>
          <cell r="N568">
            <v>9.9643525667033397E-2</v>
          </cell>
          <cell r="O568">
            <v>768</v>
          </cell>
          <cell r="P568">
            <v>0.06</v>
          </cell>
          <cell r="Q568">
            <v>1838</v>
          </cell>
        </row>
        <row r="569">
          <cell r="B569" t="str">
            <v>CEDAR CREEK 11011656</v>
          </cell>
          <cell r="C569">
            <v>103321101</v>
          </cell>
          <cell r="D569" t="str">
            <v>CEDAR CREEK 1101</v>
          </cell>
          <cell r="E569">
            <v>1656</v>
          </cell>
          <cell r="F569" t="b">
            <v>0</v>
          </cell>
          <cell r="G569">
            <v>51859.327133335501</v>
          </cell>
          <cell r="H569">
            <v>51859.327133335501</v>
          </cell>
          <cell r="I569">
            <v>208</v>
          </cell>
          <cell r="J569">
            <v>1.02058636947581E-4</v>
          </cell>
          <cell r="K569">
            <v>1602</v>
          </cell>
          <cell r="L569">
            <v>466.16115963586498</v>
          </cell>
          <cell r="M569">
            <v>1228</v>
          </cell>
          <cell r="N569">
            <v>3.9175560940853199E-2</v>
          </cell>
          <cell r="O569">
            <v>1318</v>
          </cell>
          <cell r="P569">
            <v>7.0000000000000007E-2</v>
          </cell>
          <cell r="Q569">
            <v>1727</v>
          </cell>
        </row>
        <row r="570">
          <cell r="B570" t="str">
            <v>CEDAR CREEK 11011664</v>
          </cell>
          <cell r="C570">
            <v>103321101</v>
          </cell>
          <cell r="D570" t="str">
            <v>CEDAR CREEK 1101</v>
          </cell>
          <cell r="E570">
            <v>1664</v>
          </cell>
          <cell r="F570" t="b">
            <v>0</v>
          </cell>
          <cell r="G570">
            <v>47581.291844954503</v>
          </cell>
          <cell r="H570">
            <v>47581.291844954503</v>
          </cell>
          <cell r="I570">
            <v>244</v>
          </cell>
          <cell r="J570">
            <v>1.6153151150958799E-4</v>
          </cell>
          <cell r="K570">
            <v>624</v>
          </cell>
          <cell r="L570">
            <v>1257.5627129245499</v>
          </cell>
          <cell r="M570">
            <v>697</v>
          </cell>
          <cell r="N570">
            <v>0.22208851967395599</v>
          </cell>
          <cell r="O570">
            <v>281</v>
          </cell>
          <cell r="P570">
            <v>0.09</v>
          </cell>
          <cell r="Q570">
            <v>1544</v>
          </cell>
        </row>
        <row r="571">
          <cell r="B571" t="str">
            <v>CEDAR CREEK 1101451856</v>
          </cell>
          <cell r="C571">
            <v>103321101</v>
          </cell>
          <cell r="D571" t="str">
            <v>CEDAR CREEK 1101</v>
          </cell>
          <cell r="E571">
            <v>451856</v>
          </cell>
          <cell r="F571" t="b">
            <v>1</v>
          </cell>
          <cell r="G571">
            <v>105.14702036552799</v>
          </cell>
          <cell r="H571">
            <v>105.14702036552799</v>
          </cell>
          <cell r="I571">
            <v>2</v>
          </cell>
          <cell r="J571">
            <v>5.04826621181564E-5</v>
          </cell>
          <cell r="K571">
            <v>3022</v>
          </cell>
          <cell r="L571">
            <v>2807.0375182544499</v>
          </cell>
          <cell r="M571">
            <v>299</v>
          </cell>
          <cell r="N571">
            <v>0.14172294959262699</v>
          </cell>
          <cell r="O571">
            <v>563</v>
          </cell>
          <cell r="Q571">
            <v>3442</v>
          </cell>
        </row>
        <row r="572">
          <cell r="B572" t="str">
            <v>CEDAR CREEK 1101CB</v>
          </cell>
          <cell r="C572">
            <v>103321101</v>
          </cell>
          <cell r="D572" t="str">
            <v>CEDAR CREEK 1101</v>
          </cell>
          <cell r="E572" t="str">
            <v>CB</v>
          </cell>
          <cell r="F572" t="b">
            <v>0</v>
          </cell>
          <cell r="G572">
            <v>24813.827383408501</v>
          </cell>
          <cell r="H572">
            <v>24813.827383408501</v>
          </cell>
          <cell r="I572">
            <v>127</v>
          </cell>
          <cell r="J572">
            <v>1.05143745439284E-4</v>
          </cell>
          <cell r="K572">
            <v>1517</v>
          </cell>
          <cell r="L572">
            <v>1354.0744180801701</v>
          </cell>
          <cell r="M572">
            <v>662</v>
          </cell>
          <cell r="N572">
            <v>0.18254495034697299</v>
          </cell>
          <cell r="O572">
            <v>392</v>
          </cell>
          <cell r="P572">
            <v>7.0000000000000007E-2</v>
          </cell>
          <cell r="Q572">
            <v>1749</v>
          </cell>
        </row>
        <row r="573">
          <cell r="B573" t="str">
            <v>CHALLENGE 110113026</v>
          </cell>
          <cell r="C573">
            <v>103201101</v>
          </cell>
          <cell r="D573" t="str">
            <v>CHALLENGE 1101</v>
          </cell>
          <cell r="E573">
            <v>13026</v>
          </cell>
          <cell r="F573" t="b">
            <v>0</v>
          </cell>
          <cell r="G573">
            <v>12912.9615297891</v>
          </cell>
          <cell r="H573">
            <v>12912.9615297891</v>
          </cell>
          <cell r="I573">
            <v>70</v>
          </cell>
          <cell r="J573">
            <v>4.9240656390674801E-5</v>
          </cell>
          <cell r="K573">
            <v>3058</v>
          </cell>
          <cell r="L573">
            <v>11.607620525925499</v>
          </cell>
          <cell r="M573">
            <v>2595</v>
          </cell>
          <cell r="N573">
            <v>6.5268742988844905E-4</v>
          </cell>
          <cell r="O573">
            <v>2696</v>
          </cell>
          <cell r="P573">
            <v>8.3800000000000008</v>
          </cell>
          <cell r="Q573">
            <v>429</v>
          </cell>
        </row>
        <row r="574">
          <cell r="B574" t="str">
            <v>CHALLENGE 11015460</v>
          </cell>
          <cell r="C574">
            <v>103201101</v>
          </cell>
          <cell r="D574" t="str">
            <v>CHALLENGE 1101</v>
          </cell>
          <cell r="E574">
            <v>5460</v>
          </cell>
          <cell r="F574" t="b">
            <v>0</v>
          </cell>
          <cell r="G574">
            <v>18980.33721596</v>
          </cell>
          <cell r="H574">
            <v>18980.33721596</v>
          </cell>
          <cell r="I574">
            <v>91</v>
          </cell>
          <cell r="J574">
            <v>1.14002212083303E-4</v>
          </cell>
          <cell r="K574">
            <v>1322</v>
          </cell>
          <cell r="L574">
            <v>193.36633335923</v>
          </cell>
          <cell r="M574">
            <v>1657</v>
          </cell>
          <cell r="N574">
            <v>2.1115577717353999E-2</v>
          </cell>
          <cell r="O574">
            <v>1650</v>
          </cell>
          <cell r="P574">
            <v>41.43</v>
          </cell>
          <cell r="Q574">
            <v>176</v>
          </cell>
        </row>
        <row r="575">
          <cell r="B575" t="str">
            <v>CHALLENGE 110198174</v>
          </cell>
          <cell r="C575">
            <v>103201101</v>
          </cell>
          <cell r="D575" t="str">
            <v>CHALLENGE 1101</v>
          </cell>
          <cell r="E575">
            <v>98174</v>
          </cell>
          <cell r="F575" t="b">
            <v>0</v>
          </cell>
          <cell r="G575">
            <v>19681.588080109799</v>
          </cell>
          <cell r="H575">
            <v>19681.588080109799</v>
          </cell>
          <cell r="I575">
            <v>66</v>
          </cell>
          <cell r="J575">
            <v>7.9167960379097099E-5</v>
          </cell>
          <cell r="K575">
            <v>2229</v>
          </cell>
          <cell r="L575">
            <v>58.035694893411801</v>
          </cell>
          <cell r="M575">
            <v>2166</v>
          </cell>
          <cell r="N575">
            <v>6.2047767401570897E-3</v>
          </cell>
          <cell r="O575">
            <v>2143</v>
          </cell>
          <cell r="P575">
            <v>22.16</v>
          </cell>
          <cell r="Q575">
            <v>296</v>
          </cell>
        </row>
        <row r="576">
          <cell r="B576" t="str">
            <v>CHALLENGE 1101CB</v>
          </cell>
          <cell r="C576">
            <v>103201101</v>
          </cell>
          <cell r="D576" t="str">
            <v>CHALLENGE 1101</v>
          </cell>
          <cell r="E576" t="str">
            <v>CB</v>
          </cell>
          <cell r="F576" t="b">
            <v>0</v>
          </cell>
          <cell r="G576">
            <v>26652.3350619497</v>
          </cell>
          <cell r="H576">
            <v>26652.3350619497</v>
          </cell>
          <cell r="I576">
            <v>128</v>
          </cell>
          <cell r="J576">
            <v>1.18611822358616E-4</v>
          </cell>
          <cell r="K576">
            <v>1214</v>
          </cell>
          <cell r="L576">
            <v>102.401606982251</v>
          </cell>
          <cell r="M576">
            <v>1941</v>
          </cell>
          <cell r="N576">
            <v>1.2215295409586E-2</v>
          </cell>
          <cell r="O576">
            <v>1874</v>
          </cell>
          <cell r="P576">
            <v>82.53</v>
          </cell>
          <cell r="Q576">
            <v>43</v>
          </cell>
        </row>
        <row r="577">
          <cell r="B577" t="str">
            <v>CHALLENGE 11021064</v>
          </cell>
          <cell r="C577">
            <v>103201102</v>
          </cell>
          <cell r="D577" t="str">
            <v>CHALLENGE 1102</v>
          </cell>
          <cell r="E577">
            <v>1064</v>
          </cell>
          <cell r="F577" t="b">
            <v>0</v>
          </cell>
          <cell r="G577">
            <v>31650.742211544799</v>
          </cell>
          <cell r="H577">
            <v>31650.742211544799</v>
          </cell>
          <cell r="I577">
            <v>179</v>
          </cell>
          <cell r="J577">
            <v>9.2950239050377999E-5</v>
          </cell>
          <cell r="K577">
            <v>1824</v>
          </cell>
          <cell r="L577">
            <v>1110.3932243725999</v>
          </cell>
          <cell r="M577">
            <v>771</v>
          </cell>
          <cell r="N577">
            <v>9.4904719336338206E-2</v>
          </cell>
          <cell r="O577">
            <v>793</v>
          </cell>
          <cell r="P577">
            <v>64.19</v>
          </cell>
          <cell r="Q577">
            <v>79</v>
          </cell>
        </row>
        <row r="578">
          <cell r="B578" t="str">
            <v>CHALLENGE 11021902</v>
          </cell>
          <cell r="C578">
            <v>103201102</v>
          </cell>
          <cell r="D578" t="str">
            <v>CHALLENGE 1102</v>
          </cell>
          <cell r="E578">
            <v>1902</v>
          </cell>
          <cell r="F578" t="b">
            <v>0</v>
          </cell>
          <cell r="G578">
            <v>7840.3137636362299</v>
          </cell>
          <cell r="H578">
            <v>7840.3137636362299</v>
          </cell>
          <cell r="I578">
            <v>44</v>
          </cell>
          <cell r="J578">
            <v>1.3678512484396099E-4</v>
          </cell>
          <cell r="K578">
            <v>909</v>
          </cell>
          <cell r="L578">
            <v>253.46991337399601</v>
          </cell>
          <cell r="M578">
            <v>1535</v>
          </cell>
          <cell r="N578">
            <v>2.6064012426400201E-2</v>
          </cell>
          <cell r="O578">
            <v>1531</v>
          </cell>
          <cell r="P578">
            <v>31.9</v>
          </cell>
          <cell r="Q578">
            <v>227</v>
          </cell>
        </row>
        <row r="579">
          <cell r="B579" t="str">
            <v>CHALLENGE 11025462</v>
          </cell>
          <cell r="C579">
            <v>103201102</v>
          </cell>
          <cell r="D579" t="str">
            <v>CHALLENGE 1102</v>
          </cell>
          <cell r="E579">
            <v>5462</v>
          </cell>
          <cell r="F579" t="b">
            <v>0</v>
          </cell>
          <cell r="G579">
            <v>37447.090528612702</v>
          </cell>
          <cell r="H579">
            <v>37447.090528612702</v>
          </cell>
          <cell r="I579">
            <v>248</v>
          </cell>
          <cell r="J579">
            <v>1.63835848585951E-4</v>
          </cell>
          <cell r="K579">
            <v>602</v>
          </cell>
          <cell r="L579">
            <v>227.118646820983</v>
          </cell>
          <cell r="M579">
            <v>1593</v>
          </cell>
          <cell r="N579">
            <v>3.2082273511569601E-2</v>
          </cell>
          <cell r="O579">
            <v>1428</v>
          </cell>
          <cell r="P579">
            <v>37.76</v>
          </cell>
          <cell r="Q579">
            <v>199</v>
          </cell>
        </row>
        <row r="580">
          <cell r="B580" t="str">
            <v>CHALLENGE 1102CB</v>
          </cell>
          <cell r="C580">
            <v>103201102</v>
          </cell>
          <cell r="D580" t="str">
            <v>CHALLENGE 1102</v>
          </cell>
          <cell r="E580" t="str">
            <v>CB</v>
          </cell>
          <cell r="F580" t="b">
            <v>0</v>
          </cell>
          <cell r="G580">
            <v>24644.898030650402</v>
          </cell>
          <cell r="H580">
            <v>24644.898030650402</v>
          </cell>
          <cell r="I580">
            <v>123</v>
          </cell>
          <cell r="J580">
            <v>1.47221213144182E-4</v>
          </cell>
          <cell r="K580">
            <v>772</v>
          </cell>
          <cell r="L580">
            <v>162.39121621910201</v>
          </cell>
          <cell r="M580">
            <v>1740</v>
          </cell>
          <cell r="N580">
            <v>1.8499959171722698E-2</v>
          </cell>
          <cell r="O580">
            <v>1693</v>
          </cell>
          <cell r="P580">
            <v>73.53</v>
          </cell>
          <cell r="Q580">
            <v>61</v>
          </cell>
        </row>
        <row r="581">
          <cell r="B581" t="str">
            <v>CHESTER 1101656108</v>
          </cell>
          <cell r="C581">
            <v>103181101</v>
          </cell>
          <cell r="D581" t="str">
            <v>CHESTER 1101</v>
          </cell>
          <cell r="E581">
            <v>656108</v>
          </cell>
          <cell r="F581" t="b">
            <v>1</v>
          </cell>
          <cell r="G581">
            <v>1195.09843493824</v>
          </cell>
          <cell r="H581">
            <v>838.70965092282995</v>
          </cell>
          <cell r="I581">
            <v>10</v>
          </cell>
          <cell r="J581">
            <v>3.2603454837953901E-5</v>
          </cell>
          <cell r="K581">
            <v>3392</v>
          </cell>
          <cell r="L581">
            <v>6.5918331102973904E-2</v>
          </cell>
          <cell r="M581">
            <v>3240</v>
          </cell>
          <cell r="N581">
            <v>2.1477806587672801E-6</v>
          </cell>
          <cell r="O581">
            <v>3499</v>
          </cell>
          <cell r="Q581">
            <v>2956</v>
          </cell>
        </row>
        <row r="582">
          <cell r="B582" t="str">
            <v>CHESTER 1101922138</v>
          </cell>
          <cell r="C582">
            <v>103181101</v>
          </cell>
          <cell r="D582" t="str">
            <v>CHESTER 1101</v>
          </cell>
          <cell r="E582">
            <v>922138</v>
          </cell>
          <cell r="F582" t="b">
            <v>0</v>
          </cell>
          <cell r="G582">
            <v>3566.8479618290198</v>
          </cell>
          <cell r="H582">
            <v>2524.6385713623999</v>
          </cell>
          <cell r="I582">
            <v>24</v>
          </cell>
          <cell r="J582">
            <v>4.9755693908082301E-5</v>
          </cell>
          <cell r="K582">
            <v>3043</v>
          </cell>
          <cell r="L582">
            <v>2.0460028610289598</v>
          </cell>
          <cell r="M582">
            <v>2840</v>
          </cell>
          <cell r="N582">
            <v>8.4168616245671094E-5</v>
          </cell>
          <cell r="O582">
            <v>2883</v>
          </cell>
          <cell r="Q582">
            <v>3016</v>
          </cell>
        </row>
        <row r="583">
          <cell r="B583" t="str">
            <v>CHESTER 1101CB</v>
          </cell>
          <cell r="C583">
            <v>103181101</v>
          </cell>
          <cell r="D583" t="str">
            <v>CHESTER 1101</v>
          </cell>
          <cell r="E583" t="str">
            <v>CB</v>
          </cell>
          <cell r="F583" t="b">
            <v>1</v>
          </cell>
          <cell r="G583">
            <v>8238.19532421228</v>
          </cell>
          <cell r="H583">
            <v>128.958819831662</v>
          </cell>
          <cell r="I583">
            <v>69</v>
          </cell>
          <cell r="J583">
            <v>1.7565399232715699E-5</v>
          </cell>
          <cell r="K583">
            <v>3565</v>
          </cell>
          <cell r="L583">
            <v>6.5166792192641196E-2</v>
          </cell>
          <cell r="M583">
            <v>3548</v>
          </cell>
          <cell r="N583">
            <v>1.14525418984922E-6</v>
          </cell>
          <cell r="O583">
            <v>3578</v>
          </cell>
          <cell r="P583">
            <v>0.04</v>
          </cell>
          <cell r="Q583">
            <v>2203</v>
          </cell>
        </row>
        <row r="584">
          <cell r="B584" t="str">
            <v>CHESTER 11022564</v>
          </cell>
          <cell r="C584">
            <v>103181102</v>
          </cell>
          <cell r="D584" t="str">
            <v>CHESTER 1102</v>
          </cell>
          <cell r="E584">
            <v>2564</v>
          </cell>
          <cell r="F584" t="b">
            <v>0</v>
          </cell>
          <cell r="G584">
            <v>3603.0113546471698</v>
          </cell>
          <cell r="H584">
            <v>3598.4394055697098</v>
          </cell>
          <cell r="I584">
            <v>21</v>
          </cell>
          <cell r="J584">
            <v>3.9721406426993E-5</v>
          </cell>
          <cell r="K584">
            <v>3274</v>
          </cell>
          <cell r="L584">
            <v>12.517593536590899</v>
          </cell>
          <cell r="M584">
            <v>2577</v>
          </cell>
          <cell r="N584">
            <v>5.3291431370888298E-4</v>
          </cell>
          <cell r="O584">
            <v>2726</v>
          </cell>
          <cell r="P584">
            <v>0.1</v>
          </cell>
          <cell r="Q584">
            <v>1482</v>
          </cell>
        </row>
        <row r="585">
          <cell r="B585" t="str">
            <v>CHESTER 1102546744</v>
          </cell>
          <cell r="C585">
            <v>103181102</v>
          </cell>
          <cell r="D585" t="str">
            <v>CHESTER 1102</v>
          </cell>
          <cell r="E585">
            <v>546744</v>
          </cell>
          <cell r="F585" t="b">
            <v>1</v>
          </cell>
          <cell r="G585">
            <v>633.17158732645305</v>
          </cell>
          <cell r="H585">
            <v>428.86959234612402</v>
          </cell>
          <cell r="I585">
            <v>7</v>
          </cell>
          <cell r="J585">
            <v>2.9209846356284899E-5</v>
          </cell>
          <cell r="K585">
            <v>3435</v>
          </cell>
          <cell r="L585">
            <v>6.5881657704945001E-2</v>
          </cell>
          <cell r="M585">
            <v>3248</v>
          </cell>
          <cell r="N585">
            <v>1.9339709750124199E-6</v>
          </cell>
          <cell r="O585">
            <v>3514</v>
          </cell>
          <cell r="Q585">
            <v>3577</v>
          </cell>
        </row>
        <row r="586">
          <cell r="B586" t="str">
            <v>CHESTER 1102CB</v>
          </cell>
          <cell r="C586">
            <v>103181102</v>
          </cell>
          <cell r="D586" t="str">
            <v>CHESTER 1102</v>
          </cell>
          <cell r="E586" t="str">
            <v>CB</v>
          </cell>
          <cell r="F586" t="b">
            <v>1</v>
          </cell>
          <cell r="G586">
            <v>4463.0648328058996</v>
          </cell>
          <cell r="H586">
            <v>40.296633360899598</v>
          </cell>
          <cell r="I586">
            <v>38</v>
          </cell>
          <cell r="J586">
            <v>2.72462151961486E-5</v>
          </cell>
          <cell r="K586">
            <v>3469</v>
          </cell>
          <cell r="L586">
            <v>6.5181967874129096E-2</v>
          </cell>
          <cell r="M586">
            <v>3535</v>
          </cell>
          <cell r="N586">
            <v>1.7765683855436601E-6</v>
          </cell>
          <cell r="O586">
            <v>3527</v>
          </cell>
          <cell r="P586">
            <v>0.04</v>
          </cell>
          <cell r="Q586">
            <v>2082</v>
          </cell>
        </row>
        <row r="587">
          <cell r="B587" t="str">
            <v>CHOLAME 21025597</v>
          </cell>
          <cell r="C587">
            <v>182562102</v>
          </cell>
          <cell r="D587" t="str">
            <v>CHOLAME 2102</v>
          </cell>
          <cell r="E587">
            <v>5597</v>
          </cell>
          <cell r="F587" t="b">
            <v>0</v>
          </cell>
          <cell r="G587">
            <v>8229.9237633319699</v>
          </cell>
          <cell r="H587">
            <v>8229.9237633319699</v>
          </cell>
          <cell r="I587">
            <v>22</v>
          </cell>
          <cell r="J587">
            <v>5.7292371691021602E-5</v>
          </cell>
          <cell r="K587">
            <v>2855</v>
          </cell>
          <cell r="L587">
            <v>4008.41868105801</v>
          </cell>
          <cell r="M587">
            <v>148</v>
          </cell>
          <cell r="N587">
            <v>0.23009223110285501</v>
          </cell>
          <cell r="O587">
            <v>258</v>
          </cell>
          <cell r="P587">
            <v>0.06</v>
          </cell>
          <cell r="Q587">
            <v>1847</v>
          </cell>
        </row>
        <row r="588">
          <cell r="B588" t="str">
            <v>CHOLAME 2102796386</v>
          </cell>
          <cell r="C588">
            <v>182562102</v>
          </cell>
          <cell r="D588" t="str">
            <v>CHOLAME 2102</v>
          </cell>
          <cell r="E588">
            <v>796386</v>
          </cell>
          <cell r="F588" t="b">
            <v>0</v>
          </cell>
          <cell r="G588">
            <v>64232.668313602102</v>
          </cell>
          <cell r="H588">
            <v>57391.975309308997</v>
          </cell>
          <cell r="I588">
            <v>159</v>
          </cell>
          <cell r="J588">
            <v>5.7452584265647397E-5</v>
          </cell>
          <cell r="K588">
            <v>2849</v>
          </cell>
          <cell r="L588">
            <v>3563.2206775970999</v>
          </cell>
          <cell r="M588">
            <v>192</v>
          </cell>
          <cell r="N588">
            <v>0.197915729058424</v>
          </cell>
          <cell r="O588">
            <v>336</v>
          </cell>
          <cell r="Q588">
            <v>2815</v>
          </cell>
        </row>
        <row r="589">
          <cell r="B589" t="str">
            <v>CHOLAME 2102X06</v>
          </cell>
          <cell r="C589">
            <v>182562102</v>
          </cell>
          <cell r="D589" t="str">
            <v>CHOLAME 2102</v>
          </cell>
          <cell r="E589" t="str">
            <v>X06</v>
          </cell>
          <cell r="F589" t="b">
            <v>1</v>
          </cell>
          <cell r="G589">
            <v>20798.495138115799</v>
          </cell>
          <cell r="H589">
            <v>651.95781180435802</v>
          </cell>
          <cell r="I589">
            <v>40</v>
          </cell>
          <cell r="J589">
            <v>5.1105149955569303E-5</v>
          </cell>
          <cell r="K589">
            <v>3012</v>
          </cell>
          <cell r="L589">
            <v>121.2254268568</v>
          </cell>
          <cell r="M589">
            <v>1866</v>
          </cell>
          <cell r="N589">
            <v>3.2532693675225602E-3</v>
          </cell>
          <cell r="O589">
            <v>2322</v>
          </cell>
          <cell r="P589">
            <v>0.03</v>
          </cell>
          <cell r="Q589">
            <v>2295</v>
          </cell>
        </row>
        <row r="590">
          <cell r="B590" t="str">
            <v>CHOLAME 2102X10</v>
          </cell>
          <cell r="C590">
            <v>182562102</v>
          </cell>
          <cell r="D590" t="str">
            <v>CHOLAME 2102</v>
          </cell>
          <cell r="E590" t="str">
            <v>X10</v>
          </cell>
          <cell r="F590" t="b">
            <v>0</v>
          </cell>
          <cell r="G590">
            <v>70912.219171572404</v>
          </cell>
          <cell r="H590">
            <v>34475.595952534401</v>
          </cell>
          <cell r="I590">
            <v>156</v>
          </cell>
          <cell r="J590">
            <v>7.3071318992929394E-5</v>
          </cell>
          <cell r="K590">
            <v>2393</v>
          </cell>
          <cell r="L590">
            <v>2615.2407717341298</v>
          </cell>
          <cell r="M590">
            <v>327</v>
          </cell>
          <cell r="N590">
            <v>0.16893105472582601</v>
          </cell>
          <cell r="O590">
            <v>442</v>
          </cell>
          <cell r="P590">
            <v>0</v>
          </cell>
          <cell r="Q590">
            <v>2634</v>
          </cell>
        </row>
        <row r="591">
          <cell r="B591" t="str">
            <v>CLARK ROAD 1101CB</v>
          </cell>
          <cell r="C591">
            <v>103091101</v>
          </cell>
          <cell r="D591" t="str">
            <v>CLARK ROAD 1101</v>
          </cell>
          <cell r="E591" t="str">
            <v>CB</v>
          </cell>
          <cell r="F591" t="b">
            <v>1</v>
          </cell>
          <cell r="G591">
            <v>33.321477624685201</v>
          </cell>
          <cell r="H591">
            <v>28.7494504816272</v>
          </cell>
          <cell r="I591">
            <v>2</v>
          </cell>
          <cell r="J591">
            <v>1.02684720332035E-4</v>
          </cell>
          <cell r="K591">
            <v>1578</v>
          </cell>
          <cell r="L591">
            <v>1672.4211442071901</v>
          </cell>
          <cell r="M591">
            <v>534</v>
          </cell>
          <cell r="N591">
            <v>0.15464255304438199</v>
          </cell>
          <cell r="O591">
            <v>493</v>
          </cell>
          <cell r="Q591">
            <v>3632</v>
          </cell>
        </row>
        <row r="592">
          <cell r="B592" t="str">
            <v>CLARK ROAD 11022044</v>
          </cell>
          <cell r="C592">
            <v>103091102</v>
          </cell>
          <cell r="D592" t="str">
            <v>CLARK ROAD 1102</v>
          </cell>
          <cell r="E592">
            <v>2044</v>
          </cell>
          <cell r="F592" t="b">
            <v>0</v>
          </cell>
          <cell r="G592">
            <v>20271.696127057301</v>
          </cell>
          <cell r="H592">
            <v>13688.9230116489</v>
          </cell>
          <cell r="I592">
            <v>67</v>
          </cell>
          <cell r="J592">
            <v>1.15192260580862E-4</v>
          </cell>
          <cell r="K592">
            <v>1295</v>
          </cell>
          <cell r="L592">
            <v>1533.53165660885</v>
          </cell>
          <cell r="M592">
            <v>584</v>
          </cell>
          <cell r="N592">
            <v>0.14864986907236699</v>
          </cell>
          <cell r="O592">
            <v>526</v>
          </cell>
          <cell r="P592">
            <v>0.03</v>
          </cell>
          <cell r="Q592">
            <v>2330</v>
          </cell>
        </row>
        <row r="593">
          <cell r="B593" t="str">
            <v>CLARK ROAD 11022068</v>
          </cell>
          <cell r="C593">
            <v>103091102</v>
          </cell>
          <cell r="D593" t="str">
            <v>CLARK ROAD 1102</v>
          </cell>
          <cell r="E593">
            <v>2068</v>
          </cell>
          <cell r="F593" t="b">
            <v>0</v>
          </cell>
          <cell r="G593">
            <v>17517.326390722399</v>
          </cell>
          <cell r="H593">
            <v>17517.326390722399</v>
          </cell>
          <cell r="I593">
            <v>90</v>
          </cell>
          <cell r="J593">
            <v>1.1363579582798001E-4</v>
          </cell>
          <cell r="K593">
            <v>1328</v>
          </cell>
          <cell r="L593">
            <v>80.737676500754205</v>
          </cell>
          <cell r="M593">
            <v>2044</v>
          </cell>
          <cell r="N593">
            <v>8.4896892783506601E-3</v>
          </cell>
          <cell r="O593">
            <v>2032</v>
          </cell>
          <cell r="P593">
            <v>0.32</v>
          </cell>
          <cell r="Q593">
            <v>992</v>
          </cell>
        </row>
        <row r="594">
          <cell r="B594" t="str">
            <v>CLARK ROAD 11022070</v>
          </cell>
          <cell r="C594">
            <v>103091102</v>
          </cell>
          <cell r="D594" t="str">
            <v>CLARK ROAD 1102</v>
          </cell>
          <cell r="E594">
            <v>2070</v>
          </cell>
          <cell r="F594" t="b">
            <v>0</v>
          </cell>
          <cell r="G594">
            <v>15059.4590551693</v>
          </cell>
          <cell r="H594">
            <v>14786.622191213801</v>
          </cell>
          <cell r="I594">
            <v>72</v>
          </cell>
          <cell r="J594">
            <v>1.4394900442441899E-4</v>
          </cell>
          <cell r="K594">
            <v>814</v>
          </cell>
          <cell r="L594">
            <v>498.04582487457401</v>
          </cell>
          <cell r="M594">
            <v>1203</v>
          </cell>
          <cell r="N594">
            <v>6.3105786339537298E-2</v>
          </cell>
          <cell r="O594">
            <v>1033</v>
          </cell>
          <cell r="P594">
            <v>7.0000000000000007E-2</v>
          </cell>
          <cell r="Q594">
            <v>1760</v>
          </cell>
        </row>
        <row r="595">
          <cell r="B595" t="str">
            <v>CLARK ROAD 11022094</v>
          </cell>
          <cell r="C595">
            <v>103091102</v>
          </cell>
          <cell r="D595" t="str">
            <v>CLARK ROAD 1102</v>
          </cell>
          <cell r="E595">
            <v>2094</v>
          </cell>
          <cell r="F595" t="b">
            <v>0</v>
          </cell>
          <cell r="G595">
            <v>5517.0419437955097</v>
          </cell>
          <cell r="H595">
            <v>5517.0419437955097</v>
          </cell>
          <cell r="I595">
            <v>11</v>
          </cell>
          <cell r="J595">
            <v>2.1984590166539399E-4</v>
          </cell>
          <cell r="K595">
            <v>323</v>
          </cell>
          <cell r="L595">
            <v>101.823136956247</v>
          </cell>
          <cell r="M595">
            <v>1947</v>
          </cell>
          <cell r="N595">
            <v>1.8087911446350202E-2</v>
          </cell>
          <cell r="O595">
            <v>1703</v>
          </cell>
          <cell r="P595">
            <v>0.01</v>
          </cell>
          <cell r="Q595">
            <v>2580</v>
          </cell>
        </row>
        <row r="596">
          <cell r="B596" t="str">
            <v>CLARK ROAD 11022582</v>
          </cell>
          <cell r="C596">
            <v>103091102</v>
          </cell>
          <cell r="D596" t="str">
            <v>CLARK ROAD 1102</v>
          </cell>
          <cell r="E596">
            <v>2582</v>
          </cell>
          <cell r="F596" t="b">
            <v>0</v>
          </cell>
          <cell r="G596">
            <v>33578.7100276454</v>
          </cell>
          <cell r="H596">
            <v>32011.0942691253</v>
          </cell>
          <cell r="I596">
            <v>186</v>
          </cell>
          <cell r="J596">
            <v>8.3332212073988898E-5</v>
          </cell>
          <cell r="K596">
            <v>2124</v>
          </cell>
          <cell r="L596">
            <v>2966.3342121690498</v>
          </cell>
          <cell r="M596">
            <v>275</v>
          </cell>
          <cell r="N596">
            <v>0.22449428768385399</v>
          </cell>
          <cell r="O596">
            <v>275</v>
          </cell>
          <cell r="P596">
            <v>0.31</v>
          </cell>
          <cell r="Q596">
            <v>999</v>
          </cell>
        </row>
        <row r="597">
          <cell r="B597" t="str">
            <v>CLARK ROAD 11022584</v>
          </cell>
          <cell r="C597">
            <v>103091102</v>
          </cell>
          <cell r="D597" t="str">
            <v>CLARK ROAD 1102</v>
          </cell>
          <cell r="E597">
            <v>2584</v>
          </cell>
          <cell r="F597" t="b">
            <v>0</v>
          </cell>
          <cell r="G597">
            <v>15108.9141306116</v>
          </cell>
          <cell r="H597">
            <v>14615.318366822699</v>
          </cell>
          <cell r="I597">
            <v>83</v>
          </cell>
          <cell r="J597">
            <v>7.5727912773777706E-5</v>
          </cell>
          <cell r="K597">
            <v>2313</v>
          </cell>
          <cell r="L597">
            <v>1697.4775499350001</v>
          </cell>
          <cell r="M597">
            <v>524</v>
          </cell>
          <cell r="N597">
            <v>0.101904817377967</v>
          </cell>
          <cell r="O597">
            <v>751</v>
          </cell>
          <cell r="P597">
            <v>0.06</v>
          </cell>
          <cell r="Q597">
            <v>1883</v>
          </cell>
        </row>
        <row r="598">
          <cell r="B598" t="str">
            <v>CLARK ROAD 110247006</v>
          </cell>
          <cell r="C598">
            <v>103091102</v>
          </cell>
          <cell r="D598" t="str">
            <v>CLARK ROAD 1102</v>
          </cell>
          <cell r="E598">
            <v>47006</v>
          </cell>
          <cell r="F598" t="b">
            <v>0</v>
          </cell>
          <cell r="G598">
            <v>7194.66401549681</v>
          </cell>
          <cell r="H598">
            <v>7194.66401549681</v>
          </cell>
          <cell r="I598">
            <v>51</v>
          </cell>
          <cell r="J598">
            <v>4.1525644846842599E-4</v>
          </cell>
          <cell r="K598">
            <v>65</v>
          </cell>
          <cell r="L598">
            <v>106.836187180672</v>
          </cell>
          <cell r="M598">
            <v>1923</v>
          </cell>
          <cell r="N598">
            <v>2.5935892223075699E-2</v>
          </cell>
          <cell r="O598">
            <v>1535</v>
          </cell>
          <cell r="P598">
            <v>0.13</v>
          </cell>
          <cell r="Q598">
            <v>1347</v>
          </cell>
        </row>
        <row r="599">
          <cell r="B599" t="str">
            <v>CLARK ROAD 110281296</v>
          </cell>
          <cell r="C599">
            <v>103091102</v>
          </cell>
          <cell r="D599" t="str">
            <v>CLARK ROAD 1102</v>
          </cell>
          <cell r="E599">
            <v>81296</v>
          </cell>
          <cell r="F599" t="b">
            <v>0</v>
          </cell>
          <cell r="G599">
            <v>24680.733585422498</v>
          </cell>
          <cell r="H599">
            <v>17571.051087090102</v>
          </cell>
          <cell r="I599">
            <v>124</v>
          </cell>
          <cell r="J599">
            <v>1.06363452555195E-4</v>
          </cell>
          <cell r="K599">
            <v>1490</v>
          </cell>
          <cell r="L599">
            <v>869.98579434648695</v>
          </cell>
          <cell r="M599">
            <v>899</v>
          </cell>
          <cell r="N599">
            <v>0.11218273871993099</v>
          </cell>
          <cell r="O599">
            <v>698</v>
          </cell>
          <cell r="P599">
            <v>0.05</v>
          </cell>
          <cell r="Q599">
            <v>2005</v>
          </cell>
        </row>
        <row r="600">
          <cell r="B600" t="str">
            <v>CLARK ROAD 110290548</v>
          </cell>
          <cell r="C600">
            <v>103091102</v>
          </cell>
          <cell r="D600" t="str">
            <v>CLARK ROAD 1102</v>
          </cell>
          <cell r="E600">
            <v>90548</v>
          </cell>
          <cell r="F600" t="b">
            <v>0</v>
          </cell>
          <cell r="G600">
            <v>28870.492497245799</v>
          </cell>
          <cell r="H600">
            <v>28870.492497245799</v>
          </cell>
          <cell r="I600">
            <v>168</v>
          </cell>
          <cell r="J600">
            <v>1.39729352700801E-4</v>
          </cell>
          <cell r="K600">
            <v>872</v>
          </cell>
          <cell r="L600">
            <v>196.93342356027901</v>
          </cell>
          <cell r="M600">
            <v>1651</v>
          </cell>
          <cell r="N600">
            <v>2.40030969604316E-2</v>
          </cell>
          <cell r="O600">
            <v>1578</v>
          </cell>
          <cell r="P600">
            <v>0.67</v>
          </cell>
          <cell r="Q600">
            <v>811</v>
          </cell>
        </row>
        <row r="601">
          <cell r="B601" t="str">
            <v>CLARK ROAD 110292622</v>
          </cell>
          <cell r="C601">
            <v>103091102</v>
          </cell>
          <cell r="D601" t="str">
            <v>CLARK ROAD 1102</v>
          </cell>
          <cell r="E601">
            <v>92622</v>
          </cell>
          <cell r="F601" t="b">
            <v>0</v>
          </cell>
          <cell r="G601">
            <v>50349.375570402299</v>
          </cell>
          <cell r="H601">
            <v>50311.053457047499</v>
          </cell>
          <cell r="I601">
            <v>257</v>
          </cell>
          <cell r="J601">
            <v>1.15449466239425E-4</v>
          </cell>
          <cell r="K601">
            <v>1291</v>
          </cell>
          <cell r="L601">
            <v>1017.61909571256</v>
          </cell>
          <cell r="M601">
            <v>817</v>
          </cell>
          <cell r="N601">
            <v>9.8497941736223296E-2</v>
          </cell>
          <cell r="O601">
            <v>771</v>
          </cell>
          <cell r="P601">
            <v>7.0000000000000007E-2</v>
          </cell>
          <cell r="Q601">
            <v>1774</v>
          </cell>
        </row>
        <row r="602">
          <cell r="B602" t="str">
            <v>CLARK ROAD 1102CB</v>
          </cell>
          <cell r="C602">
            <v>103091102</v>
          </cell>
          <cell r="D602" t="str">
            <v>CLARK ROAD 1102</v>
          </cell>
          <cell r="E602" t="str">
            <v>CB</v>
          </cell>
          <cell r="F602" t="b">
            <v>0</v>
          </cell>
          <cell r="G602">
            <v>2444.9029489067402</v>
          </cell>
          <cell r="H602">
            <v>1435.1004763123599</v>
          </cell>
          <cell r="I602">
            <v>20</v>
          </cell>
          <cell r="J602">
            <v>2.0219772595737501E-4</v>
          </cell>
          <cell r="K602">
            <v>389</v>
          </cell>
          <cell r="L602">
            <v>1029.67527840958</v>
          </cell>
          <cell r="M602">
            <v>809</v>
          </cell>
          <cell r="N602">
            <v>0.22631702556979599</v>
          </cell>
          <cell r="O602">
            <v>268</v>
          </cell>
          <cell r="P602">
            <v>0.01</v>
          </cell>
          <cell r="Q602">
            <v>2599</v>
          </cell>
        </row>
        <row r="603">
          <cell r="B603" t="str">
            <v>CLARKSVILLE 210319572</v>
          </cell>
          <cell r="C603">
            <v>153612103</v>
          </cell>
          <cell r="D603" t="str">
            <v>CLARKSVILLE 2103</v>
          </cell>
          <cell r="E603">
            <v>19572</v>
          </cell>
          <cell r="F603" t="b">
            <v>1</v>
          </cell>
          <cell r="G603">
            <v>4463.6596355910597</v>
          </cell>
          <cell r="H603">
            <v>595.37940167895897</v>
          </cell>
          <cell r="I603">
            <v>12</v>
          </cell>
          <cell r="J603">
            <v>8.8886113371699997E-5</v>
          </cell>
          <cell r="K603">
            <v>1956</v>
          </cell>
          <cell r="L603">
            <v>995.99200276024703</v>
          </cell>
          <cell r="M603">
            <v>836</v>
          </cell>
          <cell r="N603">
            <v>0.103483284129759</v>
          </cell>
          <cell r="O603">
            <v>743</v>
          </cell>
          <cell r="P603">
            <v>0.4</v>
          </cell>
          <cell r="Q603">
            <v>947</v>
          </cell>
        </row>
        <row r="604">
          <cell r="B604" t="str">
            <v>CLARKSVILLE 2103593454</v>
          </cell>
          <cell r="C604">
            <v>153612103</v>
          </cell>
          <cell r="D604" t="str">
            <v>CLARKSVILLE 2103</v>
          </cell>
          <cell r="E604">
            <v>593454</v>
          </cell>
          <cell r="F604" t="b">
            <v>0</v>
          </cell>
          <cell r="G604">
            <v>65282.8122729643</v>
          </cell>
          <cell r="H604">
            <v>51502.824136269403</v>
          </cell>
          <cell r="I604">
            <v>324</v>
          </cell>
          <cell r="J604">
            <v>8.6964568389765406E-5</v>
          </cell>
          <cell r="K604">
            <v>2012</v>
          </cell>
          <cell r="L604">
            <v>1565.53436232678</v>
          </cell>
          <cell r="M604">
            <v>572</v>
          </cell>
          <cell r="N604">
            <v>0.112206368012081</v>
          </cell>
          <cell r="O604">
            <v>696</v>
          </cell>
          <cell r="Q604">
            <v>2656</v>
          </cell>
        </row>
        <row r="605">
          <cell r="B605" t="str">
            <v>CLARKSVILLE 210413352</v>
          </cell>
          <cell r="C605">
            <v>153612104</v>
          </cell>
          <cell r="D605" t="str">
            <v>CLARKSVILLE 2104</v>
          </cell>
          <cell r="E605">
            <v>13352</v>
          </cell>
          <cell r="F605" t="b">
            <v>0</v>
          </cell>
          <cell r="G605">
            <v>58907.874252879803</v>
          </cell>
          <cell r="H605">
            <v>55896.818973937698</v>
          </cell>
          <cell r="I605">
            <v>409</v>
          </cell>
          <cell r="J605">
            <v>1.2489251799243099E-4</v>
          </cell>
          <cell r="K605">
            <v>1100</v>
          </cell>
          <cell r="L605">
            <v>1100.9740157890201</v>
          </cell>
          <cell r="M605">
            <v>774</v>
          </cell>
          <cell r="N605">
            <v>0.13485774506626599</v>
          </cell>
          <cell r="O605">
            <v>586</v>
          </cell>
          <cell r="P605">
            <v>30.41</v>
          </cell>
          <cell r="Q605">
            <v>238</v>
          </cell>
        </row>
        <row r="606">
          <cell r="B606" t="str">
            <v>CLARKSVILLE 210419632</v>
          </cell>
          <cell r="C606">
            <v>153612104</v>
          </cell>
          <cell r="D606" t="str">
            <v>CLARKSVILLE 2104</v>
          </cell>
          <cell r="E606">
            <v>19632</v>
          </cell>
          <cell r="F606" t="b">
            <v>0</v>
          </cell>
          <cell r="G606">
            <v>14659.9971342842</v>
          </cell>
          <cell r="H606">
            <v>8997.9267933010797</v>
          </cell>
          <cell r="I606">
            <v>110</v>
          </cell>
          <cell r="J606">
            <v>1.33872867180881E-4</v>
          </cell>
          <cell r="K606">
            <v>944</v>
          </cell>
          <cell r="L606">
            <v>1009.12406810436</v>
          </cell>
          <cell r="M606">
            <v>828</v>
          </cell>
          <cell r="N606">
            <v>7.9350012150520399E-2</v>
          </cell>
          <cell r="O606">
            <v>906</v>
          </cell>
          <cell r="P606">
            <v>23.44</v>
          </cell>
          <cell r="Q606">
            <v>286</v>
          </cell>
        </row>
        <row r="607">
          <cell r="B607" t="str">
            <v>CLARKSVILLE 210419772</v>
          </cell>
          <cell r="C607">
            <v>153612104</v>
          </cell>
          <cell r="D607" t="str">
            <v>CLARKSVILLE 2104</v>
          </cell>
          <cell r="E607">
            <v>19772</v>
          </cell>
          <cell r="F607" t="b">
            <v>0</v>
          </cell>
          <cell r="G607">
            <v>29712.158233440601</v>
          </cell>
          <cell r="H607">
            <v>28840.3765198855</v>
          </cell>
          <cell r="I607">
            <v>185</v>
          </cell>
          <cell r="J607">
            <v>1.06373307418202E-4</v>
          </cell>
          <cell r="K607">
            <v>1489</v>
          </cell>
          <cell r="L607">
            <v>1084.3193887718901</v>
          </cell>
          <cell r="M607">
            <v>780</v>
          </cell>
          <cell r="N607">
            <v>0.11232757013863</v>
          </cell>
          <cell r="O607">
            <v>695</v>
          </cell>
          <cell r="P607">
            <v>41.36</v>
          </cell>
          <cell r="Q607">
            <v>177</v>
          </cell>
        </row>
        <row r="608">
          <cell r="B608" t="str">
            <v>CLARKSVILLE 2104CB</v>
          </cell>
          <cell r="C608">
            <v>153612104</v>
          </cell>
          <cell r="D608" t="str">
            <v>CLARKSVILLE 2104</v>
          </cell>
          <cell r="E608" t="str">
            <v>CB</v>
          </cell>
          <cell r="F608" t="b">
            <v>0</v>
          </cell>
          <cell r="G608">
            <v>16489.2316908826</v>
          </cell>
          <cell r="H608">
            <v>14163.7600115818</v>
          </cell>
          <cell r="I608">
            <v>107</v>
          </cell>
          <cell r="J608">
            <v>1.57245721637528E-4</v>
          </cell>
          <cell r="K608">
            <v>671</v>
          </cell>
          <cell r="L608">
            <v>2292.7589717372002</v>
          </cell>
          <cell r="M608">
            <v>385</v>
          </cell>
          <cell r="N608">
            <v>0.30391318928768002</v>
          </cell>
          <cell r="O608">
            <v>134</v>
          </cell>
          <cell r="P608">
            <v>6.82</v>
          </cell>
          <cell r="Q608">
            <v>459</v>
          </cell>
        </row>
        <row r="609">
          <cell r="B609" t="str">
            <v>CLARKSVILLE 210551478</v>
          </cell>
          <cell r="C609">
            <v>153612105</v>
          </cell>
          <cell r="D609" t="str">
            <v>CLARKSVILLE 2105</v>
          </cell>
          <cell r="E609">
            <v>51478</v>
          </cell>
          <cell r="F609" t="b">
            <v>1</v>
          </cell>
          <cell r="G609">
            <v>90.198029257642801</v>
          </cell>
          <cell r="H609">
            <v>81.054078363005999</v>
          </cell>
          <cell r="I609">
            <v>3</v>
          </cell>
          <cell r="J609">
            <v>1.4053727015076801E-4</v>
          </cell>
          <cell r="K609">
            <v>863</v>
          </cell>
          <cell r="L609">
            <v>6.5577170120416903E-2</v>
          </cell>
          <cell r="M609">
            <v>3343</v>
          </cell>
          <cell r="N609">
            <v>9.2482920080790704E-6</v>
          </cell>
          <cell r="O609">
            <v>3087</v>
          </cell>
          <cell r="P609">
            <v>1.23</v>
          </cell>
          <cell r="Q609">
            <v>697</v>
          </cell>
        </row>
        <row r="610">
          <cell r="B610" t="str">
            <v>CLARKSVILLE 210575884</v>
          </cell>
          <cell r="C610">
            <v>153612105</v>
          </cell>
          <cell r="D610" t="str">
            <v>CLARKSVILLE 2105</v>
          </cell>
          <cell r="E610">
            <v>75884</v>
          </cell>
          <cell r="F610" t="b">
            <v>0</v>
          </cell>
          <cell r="G610">
            <v>18035.327469370801</v>
          </cell>
          <cell r="H610">
            <v>17165.494278399899</v>
          </cell>
          <cell r="I610">
            <v>94</v>
          </cell>
          <cell r="J610">
            <v>1.7443754224766701E-4</v>
          </cell>
          <cell r="K610">
            <v>533</v>
          </cell>
          <cell r="L610">
            <v>718.56974766785504</v>
          </cell>
          <cell r="M610">
            <v>1003</v>
          </cell>
          <cell r="N610">
            <v>9.2579592526522106E-2</v>
          </cell>
          <cell r="O610">
            <v>810</v>
          </cell>
          <cell r="P610">
            <v>3.43</v>
          </cell>
          <cell r="Q610">
            <v>548</v>
          </cell>
        </row>
        <row r="611">
          <cell r="B611" t="str">
            <v>CLARKSVILLE 2105CB</v>
          </cell>
          <cell r="C611">
            <v>153612105</v>
          </cell>
          <cell r="D611" t="str">
            <v>CLARKSVILLE 2105</v>
          </cell>
          <cell r="E611" t="str">
            <v>CB</v>
          </cell>
          <cell r="F611" t="b">
            <v>0</v>
          </cell>
          <cell r="G611">
            <v>1481.3738175298899</v>
          </cell>
          <cell r="H611">
            <v>1293.9429675019001</v>
          </cell>
          <cell r="I611">
            <v>9</v>
          </cell>
          <cell r="J611">
            <v>1.8563092089607299E-4</v>
          </cell>
          <cell r="K611">
            <v>469</v>
          </cell>
          <cell r="L611">
            <v>1193.2798920478799</v>
          </cell>
          <cell r="M611">
            <v>733</v>
          </cell>
          <cell r="N611">
            <v>0.31824271874057702</v>
          </cell>
          <cell r="O611">
            <v>120</v>
          </cell>
          <cell r="P611">
            <v>0.39</v>
          </cell>
          <cell r="Q611">
            <v>953</v>
          </cell>
        </row>
        <row r="612">
          <cell r="B612" t="str">
            <v>CLARKSVILLE 210619642</v>
          </cell>
          <cell r="C612">
            <v>153612106</v>
          </cell>
          <cell r="D612" t="str">
            <v>CLARKSVILLE 2106</v>
          </cell>
          <cell r="E612">
            <v>19642</v>
          </cell>
          <cell r="F612" t="b">
            <v>0</v>
          </cell>
          <cell r="G612">
            <v>2579.2739382392701</v>
          </cell>
          <cell r="H612">
            <v>1246.43993908021</v>
          </cell>
          <cell r="I612">
            <v>17</v>
          </cell>
          <cell r="J612">
            <v>2.4873664006008702E-4</v>
          </cell>
          <cell r="K612">
            <v>219</v>
          </cell>
          <cell r="L612">
            <v>453.12581161854303</v>
          </cell>
          <cell r="M612">
            <v>1242</v>
          </cell>
          <cell r="N612">
            <v>0.114769158554502</v>
          </cell>
          <cell r="O612">
            <v>675</v>
          </cell>
          <cell r="P612">
            <v>0.96</v>
          </cell>
          <cell r="Q612">
            <v>739</v>
          </cell>
        </row>
        <row r="613">
          <cell r="B613" t="str">
            <v>CLARKSVILLE 2106CB</v>
          </cell>
          <cell r="C613">
            <v>153612106</v>
          </cell>
          <cell r="D613" t="str">
            <v>CLARKSVILLE 2106</v>
          </cell>
          <cell r="E613" t="str">
            <v>CB</v>
          </cell>
          <cell r="F613" t="b">
            <v>1</v>
          </cell>
          <cell r="G613">
            <v>830.41999873947304</v>
          </cell>
          <cell r="H613">
            <v>224.61894002645801</v>
          </cell>
          <cell r="I613">
            <v>9</v>
          </cell>
          <cell r="J613">
            <v>2.0912167221669899E-4</v>
          </cell>
          <cell r="K613">
            <v>364</v>
          </cell>
          <cell r="L613">
            <v>241.40350126238599</v>
          </cell>
          <cell r="M613">
            <v>1563</v>
          </cell>
          <cell r="N613">
            <v>5.4215470848492001E-2</v>
          </cell>
          <cell r="O613">
            <v>1133</v>
          </cell>
          <cell r="P613">
            <v>0.02</v>
          </cell>
          <cell r="Q613">
            <v>2507</v>
          </cell>
        </row>
        <row r="614">
          <cell r="B614" t="str">
            <v>CLARKSVILLE 2109102734</v>
          </cell>
          <cell r="C614">
            <v>153612109</v>
          </cell>
          <cell r="D614" t="str">
            <v>CLARKSVILLE 2109</v>
          </cell>
          <cell r="E614">
            <v>102734</v>
          </cell>
          <cell r="F614" t="b">
            <v>1</v>
          </cell>
          <cell r="G614">
            <v>954.13744587230303</v>
          </cell>
          <cell r="H614">
            <v>954.13744587230303</v>
          </cell>
          <cell r="I614">
            <v>7</v>
          </cell>
          <cell r="J614">
            <v>8.97730725617813E-5</v>
          </cell>
          <cell r="K614">
            <v>1919</v>
          </cell>
          <cell r="L614">
            <v>197.08751106086001</v>
          </cell>
          <cell r="M614">
            <v>1650</v>
          </cell>
          <cell r="N614">
            <v>3.37539856334177E-2</v>
          </cell>
          <cell r="O614">
            <v>1394</v>
          </cell>
          <cell r="Q614">
            <v>3280</v>
          </cell>
        </row>
        <row r="615">
          <cell r="B615" t="str">
            <v>CLARKSVILLE 210951744</v>
          </cell>
          <cell r="C615">
            <v>153612109</v>
          </cell>
          <cell r="D615" t="str">
            <v>CLARKSVILLE 2109</v>
          </cell>
          <cell r="E615">
            <v>51744</v>
          </cell>
          <cell r="F615" t="b">
            <v>0</v>
          </cell>
          <cell r="G615">
            <v>2867.8226325096002</v>
          </cell>
          <cell r="H615">
            <v>2099.9047119413499</v>
          </cell>
          <cell r="I615">
            <v>25</v>
          </cell>
          <cell r="J615">
            <v>1.3923216945840901E-4</v>
          </cell>
          <cell r="K615">
            <v>883</v>
          </cell>
          <cell r="L615">
            <v>25.818525939180599</v>
          </cell>
          <cell r="M615">
            <v>2382</v>
          </cell>
          <cell r="N615">
            <v>3.0148753420389399E-3</v>
          </cell>
          <cell r="O615">
            <v>2350</v>
          </cell>
          <cell r="P615">
            <v>0.2</v>
          </cell>
          <cell r="Q615">
            <v>1162</v>
          </cell>
        </row>
        <row r="616">
          <cell r="B616" t="str">
            <v>CLARKSVILLE 2109649874</v>
          </cell>
          <cell r="C616">
            <v>153612109</v>
          </cell>
          <cell r="D616" t="str">
            <v>CLARKSVILLE 2109</v>
          </cell>
          <cell r="E616">
            <v>649874</v>
          </cell>
          <cell r="F616" t="b">
            <v>1</v>
          </cell>
          <cell r="G616">
            <v>608.46510406615005</v>
          </cell>
          <cell r="H616">
            <v>608.46510406615005</v>
          </cell>
          <cell r="I616">
            <v>5</v>
          </cell>
          <cell r="J616">
            <v>1.18082716653589E-4</v>
          </cell>
          <cell r="K616">
            <v>1227</v>
          </cell>
          <cell r="L616">
            <v>142.79001822935001</v>
          </cell>
          <cell r="M616">
            <v>1797</v>
          </cell>
          <cell r="N616">
            <v>1.2323571791321399E-2</v>
          </cell>
          <cell r="O616">
            <v>1870</v>
          </cell>
          <cell r="Q616">
            <v>3543</v>
          </cell>
        </row>
        <row r="617">
          <cell r="B617" t="str">
            <v>CLARKSVILLE 21096502</v>
          </cell>
          <cell r="C617">
            <v>153612109</v>
          </cell>
          <cell r="D617" t="str">
            <v>CLARKSVILLE 2109</v>
          </cell>
          <cell r="E617">
            <v>6502</v>
          </cell>
          <cell r="F617" t="b">
            <v>0</v>
          </cell>
          <cell r="G617">
            <v>6145.0425456326302</v>
          </cell>
          <cell r="H617">
            <v>1500.68195888123</v>
          </cell>
          <cell r="I617">
            <v>52</v>
          </cell>
          <cell r="J617">
            <v>1.7024943036421199E-4</v>
          </cell>
          <cell r="K617">
            <v>561</v>
          </cell>
          <cell r="L617">
            <v>88.419225669478607</v>
          </cell>
          <cell r="M617">
            <v>2012</v>
          </cell>
          <cell r="N617">
            <v>2.12514663895144E-2</v>
          </cell>
          <cell r="O617">
            <v>1644</v>
          </cell>
          <cell r="P617">
            <v>1.73</v>
          </cell>
          <cell r="Q617">
            <v>647</v>
          </cell>
        </row>
        <row r="618">
          <cell r="B618" t="str">
            <v>CLARKSVILLE 2109781566</v>
          </cell>
          <cell r="C618">
            <v>153612109</v>
          </cell>
          <cell r="D618" t="str">
            <v>CLARKSVILLE 2109</v>
          </cell>
          <cell r="E618">
            <v>781566</v>
          </cell>
          <cell r="F618" t="b">
            <v>0</v>
          </cell>
          <cell r="G618">
            <v>1246.34020343781</v>
          </cell>
          <cell r="H618">
            <v>1113.5138890184201</v>
          </cell>
          <cell r="I618">
            <v>11</v>
          </cell>
          <cell r="J618">
            <v>1.4318181902953301E-4</v>
          </cell>
          <cell r="K618">
            <v>824</v>
          </cell>
          <cell r="L618">
            <v>155.62639813313501</v>
          </cell>
          <cell r="M618">
            <v>1762</v>
          </cell>
          <cell r="N618">
            <v>2.5517538734989E-2</v>
          </cell>
          <cell r="O618">
            <v>1546</v>
          </cell>
          <cell r="Q618">
            <v>3459</v>
          </cell>
        </row>
        <row r="619">
          <cell r="B619" t="str">
            <v>CLARKSVILLE 2109CB</v>
          </cell>
          <cell r="C619">
            <v>153612109</v>
          </cell>
          <cell r="D619" t="str">
            <v>CLARKSVILLE 2109</v>
          </cell>
          <cell r="E619" t="str">
            <v>CB</v>
          </cell>
          <cell r="F619" t="b">
            <v>0</v>
          </cell>
          <cell r="G619">
            <v>1831.33191094943</v>
          </cell>
          <cell r="H619">
            <v>1593.49926336563</v>
          </cell>
          <cell r="I619">
            <v>15</v>
          </cell>
          <cell r="J619">
            <v>2.1274708706187E-4</v>
          </cell>
          <cell r="K619">
            <v>345</v>
          </cell>
          <cell r="L619">
            <v>713.52338565734999</v>
          </cell>
          <cell r="M619">
            <v>1009</v>
          </cell>
          <cell r="N619">
            <v>0.119887999507061</v>
          </cell>
          <cell r="O619">
            <v>646</v>
          </cell>
          <cell r="P619">
            <v>7.0000000000000007E-2</v>
          </cell>
          <cell r="Q619">
            <v>1726</v>
          </cell>
        </row>
        <row r="620">
          <cell r="B620" t="str">
            <v>CLAY 110113442</v>
          </cell>
          <cell r="C620">
            <v>163341101</v>
          </cell>
          <cell r="D620" t="str">
            <v>CLAY 1101</v>
          </cell>
          <cell r="E620">
            <v>13442</v>
          </cell>
          <cell r="F620" t="b">
            <v>0</v>
          </cell>
          <cell r="G620">
            <v>49960.437031129099</v>
          </cell>
          <cell r="H620">
            <v>40749.390278776598</v>
          </cell>
          <cell r="I620">
            <v>272</v>
          </cell>
          <cell r="J620">
            <v>6.9011066288685106E-5</v>
          </cell>
          <cell r="K620">
            <v>2508</v>
          </cell>
          <cell r="L620">
            <v>1672.0730386355101</v>
          </cell>
          <cell r="M620">
            <v>535</v>
          </cell>
          <cell r="N620">
            <v>0.10337921643098601</v>
          </cell>
          <cell r="O620">
            <v>744</v>
          </cell>
          <cell r="P620">
            <v>0.16</v>
          </cell>
          <cell r="Q620">
            <v>1269</v>
          </cell>
        </row>
        <row r="621">
          <cell r="B621" t="str">
            <v>CLAY 110113450</v>
          </cell>
          <cell r="C621">
            <v>163341101</v>
          </cell>
          <cell r="D621" t="str">
            <v>CLAY 1101</v>
          </cell>
          <cell r="E621">
            <v>13450</v>
          </cell>
          <cell r="F621" t="b">
            <v>0</v>
          </cell>
          <cell r="G621">
            <v>7994.7686071521603</v>
          </cell>
          <cell r="H621">
            <v>1509.2840278075</v>
          </cell>
          <cell r="I621">
            <v>42</v>
          </cell>
          <cell r="J621">
            <v>7.6415215117754602E-5</v>
          </cell>
          <cell r="K621">
            <v>2295</v>
          </cell>
          <cell r="L621">
            <v>360.80665265482401</v>
          </cell>
          <cell r="M621">
            <v>1352</v>
          </cell>
          <cell r="N621">
            <v>2.9531878591212798E-2</v>
          </cell>
          <cell r="O621">
            <v>1473</v>
          </cell>
          <cell r="Q621">
            <v>2741</v>
          </cell>
        </row>
        <row r="622">
          <cell r="B622" t="str">
            <v>CLAY 110184572</v>
          </cell>
          <cell r="C622">
            <v>163341101</v>
          </cell>
          <cell r="D622" t="str">
            <v>CLAY 1101</v>
          </cell>
          <cell r="E622">
            <v>84572</v>
          </cell>
          <cell r="F622" t="b">
            <v>1</v>
          </cell>
          <cell r="G622">
            <v>3629.8322681939699</v>
          </cell>
          <cell r="H622">
            <v>844.79954416089299</v>
          </cell>
          <cell r="I622">
            <v>27</v>
          </cell>
          <cell r="J622">
            <v>6.1460775230915199E-5</v>
          </cell>
          <cell r="K622">
            <v>2735</v>
          </cell>
          <cell r="L622">
            <v>146.120489602888</v>
          </cell>
          <cell r="M622">
            <v>1788</v>
          </cell>
          <cell r="N622">
            <v>1.0768593406890599E-2</v>
          </cell>
          <cell r="O622">
            <v>1931</v>
          </cell>
          <cell r="P622">
            <v>0.05</v>
          </cell>
          <cell r="Q622">
            <v>2022</v>
          </cell>
        </row>
        <row r="623">
          <cell r="B623" t="str">
            <v>CLAY 1101CB</v>
          </cell>
          <cell r="C623">
            <v>163341101</v>
          </cell>
          <cell r="D623" t="str">
            <v>CLAY 1101</v>
          </cell>
          <cell r="E623" t="str">
            <v>CB</v>
          </cell>
          <cell r="F623" t="b">
            <v>1</v>
          </cell>
          <cell r="G623">
            <v>4411.9173619858902</v>
          </cell>
          <cell r="H623">
            <v>914.11118264118295</v>
          </cell>
          <cell r="I623">
            <v>33</v>
          </cell>
          <cell r="J623">
            <v>8.0382619092812406E-5</v>
          </cell>
          <cell r="K623">
            <v>2194</v>
          </cell>
          <cell r="L623">
            <v>401.46380985626701</v>
          </cell>
          <cell r="M623">
            <v>1294</v>
          </cell>
          <cell r="N623">
            <v>7.0136260689980204E-2</v>
          </cell>
          <cell r="O623">
            <v>978</v>
          </cell>
          <cell r="Q623">
            <v>3048</v>
          </cell>
        </row>
        <row r="624">
          <cell r="B624" t="str">
            <v>CLAY 1102CB</v>
          </cell>
          <cell r="C624">
            <v>163341102</v>
          </cell>
          <cell r="D624" t="str">
            <v>CLAY 1102</v>
          </cell>
          <cell r="E624" t="str">
            <v>CB</v>
          </cell>
          <cell r="F624" t="b">
            <v>0</v>
          </cell>
          <cell r="G624">
            <v>3161.2302122825199</v>
          </cell>
          <cell r="H624">
            <v>1492.49041982945</v>
          </cell>
          <cell r="I624">
            <v>19</v>
          </cell>
          <cell r="J624">
            <v>1.4572250151296E-4</v>
          </cell>
          <cell r="K624">
            <v>793</v>
          </cell>
          <cell r="L624">
            <v>421.92034656232101</v>
          </cell>
          <cell r="M624">
            <v>1271</v>
          </cell>
          <cell r="N624">
            <v>8.5217329063356703E-2</v>
          </cell>
          <cell r="O624">
            <v>861</v>
          </cell>
          <cell r="P624">
            <v>0.04</v>
          </cell>
          <cell r="Q624">
            <v>2178</v>
          </cell>
        </row>
        <row r="625">
          <cell r="B625" t="str">
            <v>CLAY 11031230</v>
          </cell>
          <cell r="C625">
            <v>163341103</v>
          </cell>
          <cell r="D625" t="str">
            <v>CLAY 1103</v>
          </cell>
          <cell r="E625">
            <v>1230</v>
          </cell>
          <cell r="F625" t="b">
            <v>0</v>
          </cell>
          <cell r="G625">
            <v>31242.042043322599</v>
          </cell>
          <cell r="H625">
            <v>27069.5790833428</v>
          </cell>
          <cell r="I625">
            <v>136</v>
          </cell>
          <cell r="J625">
            <v>8.4358586257300905E-5</v>
          </cell>
          <cell r="K625">
            <v>2080</v>
          </cell>
          <cell r="L625">
            <v>2820.2881882304</v>
          </cell>
          <cell r="M625">
            <v>297</v>
          </cell>
          <cell r="N625">
            <v>0.226081795942778</v>
          </cell>
          <cell r="O625">
            <v>270</v>
          </cell>
          <cell r="P625">
            <v>0.08</v>
          </cell>
          <cell r="Q625">
            <v>1627</v>
          </cell>
        </row>
        <row r="626">
          <cell r="B626" t="str">
            <v>CLAY 11031821</v>
          </cell>
          <cell r="C626">
            <v>163341103</v>
          </cell>
          <cell r="D626" t="str">
            <v>CLAY 1103</v>
          </cell>
          <cell r="E626">
            <v>1821</v>
          </cell>
          <cell r="F626" t="b">
            <v>0</v>
          </cell>
          <cell r="G626">
            <v>6061.9210189229498</v>
          </cell>
          <cell r="H626">
            <v>5767.6055762832402</v>
          </cell>
          <cell r="I626">
            <v>33</v>
          </cell>
          <cell r="J626">
            <v>6.9086145341509196E-5</v>
          </cell>
          <cell r="K626">
            <v>2504</v>
          </cell>
          <cell r="L626">
            <v>1429.87238123825</v>
          </cell>
          <cell r="M626">
            <v>624</v>
          </cell>
          <cell r="N626">
            <v>8.0482794762134005E-2</v>
          </cell>
          <cell r="O626">
            <v>892</v>
          </cell>
          <cell r="P626">
            <v>0.08</v>
          </cell>
          <cell r="Q626">
            <v>1594</v>
          </cell>
        </row>
        <row r="627">
          <cell r="B627" t="str">
            <v>CLAY 110334338</v>
          </cell>
          <cell r="C627">
            <v>163341103</v>
          </cell>
          <cell r="D627" t="str">
            <v>CLAY 1103</v>
          </cell>
          <cell r="E627">
            <v>34338</v>
          </cell>
          <cell r="F627" t="b">
            <v>0</v>
          </cell>
          <cell r="G627">
            <v>16775.579324129601</v>
          </cell>
          <cell r="H627">
            <v>15726.6133241592</v>
          </cell>
          <cell r="I627">
            <v>66</v>
          </cell>
          <cell r="J627">
            <v>6.7900301071292202E-5</v>
          </cell>
          <cell r="K627">
            <v>2539</v>
          </cell>
          <cell r="L627">
            <v>3085.83853632006</v>
          </cell>
          <cell r="M627">
            <v>258</v>
          </cell>
          <cell r="N627">
            <v>0.202204545119614</v>
          </cell>
          <cell r="O627">
            <v>320</v>
          </cell>
          <cell r="P627">
            <v>0.08</v>
          </cell>
          <cell r="Q627">
            <v>1669</v>
          </cell>
        </row>
        <row r="628">
          <cell r="B628" t="str">
            <v>CLAY 110359714</v>
          </cell>
          <cell r="C628">
            <v>163341103</v>
          </cell>
          <cell r="D628" t="str">
            <v>CLAY 1103</v>
          </cell>
          <cell r="E628">
            <v>59714</v>
          </cell>
          <cell r="F628" t="b">
            <v>0</v>
          </cell>
          <cell r="G628">
            <v>7503.9159614979098</v>
          </cell>
          <cell r="H628">
            <v>7503.9159614979098</v>
          </cell>
          <cell r="I628">
            <v>34</v>
          </cell>
          <cell r="J628">
            <v>9.4274590992426898E-5</v>
          </cell>
          <cell r="K628">
            <v>1786</v>
          </cell>
          <cell r="L628">
            <v>2408.1591733177602</v>
          </cell>
          <cell r="M628">
            <v>360</v>
          </cell>
          <cell r="N628">
            <v>0.25390632518120498</v>
          </cell>
          <cell r="O628">
            <v>208</v>
          </cell>
          <cell r="P628">
            <v>0.04</v>
          </cell>
          <cell r="Q628">
            <v>2176</v>
          </cell>
        </row>
        <row r="629">
          <cell r="B629" t="str">
            <v>CLAY 11037124</v>
          </cell>
          <cell r="C629">
            <v>163341103</v>
          </cell>
          <cell r="D629" t="str">
            <v>CLAY 1103</v>
          </cell>
          <cell r="E629">
            <v>7124</v>
          </cell>
          <cell r="F629" t="b">
            <v>0</v>
          </cell>
          <cell r="G629">
            <v>51663.543113542197</v>
          </cell>
          <cell r="H629">
            <v>17797.994415319299</v>
          </cell>
          <cell r="I629">
            <v>286</v>
          </cell>
          <cell r="J629">
            <v>6.2920853093268106E-5</v>
          </cell>
          <cell r="K629">
            <v>2684</v>
          </cell>
          <cell r="L629">
            <v>727.33075544236203</v>
          </cell>
          <cell r="M629">
            <v>993</v>
          </cell>
          <cell r="N629">
            <v>4.5279111373545698E-2</v>
          </cell>
          <cell r="O629">
            <v>1230</v>
          </cell>
          <cell r="P629">
            <v>0.05</v>
          </cell>
          <cell r="Q629">
            <v>2026</v>
          </cell>
        </row>
        <row r="630">
          <cell r="B630" t="str">
            <v>CLAY 11037142</v>
          </cell>
          <cell r="C630">
            <v>163341103</v>
          </cell>
          <cell r="D630" t="str">
            <v>CLAY 1103</v>
          </cell>
          <cell r="E630">
            <v>7142</v>
          </cell>
          <cell r="F630" t="b">
            <v>0</v>
          </cell>
          <cell r="G630">
            <v>24816.412058705599</v>
          </cell>
          <cell r="H630">
            <v>6275.5412762590804</v>
          </cell>
          <cell r="I630">
            <v>100</v>
          </cell>
          <cell r="J630">
            <v>7.7236851138877603E-5</v>
          </cell>
          <cell r="K630">
            <v>2282</v>
          </cell>
          <cell r="L630">
            <v>356.23749460457799</v>
          </cell>
          <cell r="M630">
            <v>1361</v>
          </cell>
          <cell r="N630">
            <v>2.2773393206089499E-2</v>
          </cell>
          <cell r="O630">
            <v>1609</v>
          </cell>
          <cell r="P630">
            <v>0.03</v>
          </cell>
          <cell r="Q630">
            <v>2276</v>
          </cell>
        </row>
        <row r="631">
          <cell r="B631" t="str">
            <v>CLAY 110398680</v>
          </cell>
          <cell r="C631">
            <v>163341103</v>
          </cell>
          <cell r="D631" t="str">
            <v>CLAY 1103</v>
          </cell>
          <cell r="E631">
            <v>98680</v>
          </cell>
          <cell r="F631" t="b">
            <v>1</v>
          </cell>
          <cell r="G631">
            <v>46.597308265495897</v>
          </cell>
          <cell r="H631">
            <v>46.597308265495897</v>
          </cell>
          <cell r="I631">
            <v>1</v>
          </cell>
          <cell r="J631">
            <v>7.2821276262402494E-5</v>
          </cell>
          <cell r="K631">
            <v>2397</v>
          </cell>
          <cell r="L631">
            <v>2215.7621191718299</v>
          </cell>
          <cell r="M631">
            <v>399</v>
          </cell>
          <cell r="N631">
            <v>0.16135462541197801</v>
          </cell>
          <cell r="O631">
            <v>464</v>
          </cell>
          <cell r="Q631">
            <v>3628</v>
          </cell>
        </row>
        <row r="632">
          <cell r="B632" t="str">
            <v>CLAY 1103CB</v>
          </cell>
          <cell r="C632">
            <v>163341103</v>
          </cell>
          <cell r="D632" t="str">
            <v>CLAY 1103</v>
          </cell>
          <cell r="E632" t="str">
            <v>CB</v>
          </cell>
          <cell r="F632" t="b">
            <v>0</v>
          </cell>
          <cell r="G632">
            <v>21668.4066506159</v>
          </cell>
          <cell r="H632">
            <v>9680.0570193411004</v>
          </cell>
          <cell r="I632">
            <v>110</v>
          </cell>
          <cell r="J632">
            <v>1.13974211217282E-4</v>
          </cell>
          <cell r="K632">
            <v>1323</v>
          </cell>
          <cell r="L632">
            <v>734.80742416026499</v>
          </cell>
          <cell r="M632">
            <v>989</v>
          </cell>
          <cell r="N632">
            <v>0.115208533488071</v>
          </cell>
          <cell r="O632">
            <v>671</v>
          </cell>
          <cell r="P632">
            <v>0.03</v>
          </cell>
          <cell r="Q632">
            <v>2334</v>
          </cell>
        </row>
        <row r="633">
          <cell r="B633" t="str">
            <v>CLAYTON 2212158138</v>
          </cell>
          <cell r="C633">
            <v>12022212</v>
          </cell>
          <cell r="D633" t="str">
            <v>CLAYTON 2212</v>
          </cell>
          <cell r="E633">
            <v>158138</v>
          </cell>
          <cell r="F633" t="b">
            <v>1</v>
          </cell>
          <cell r="G633">
            <v>1490.10486428634</v>
          </cell>
          <cell r="H633">
            <v>829.43755752031404</v>
          </cell>
          <cell r="I633">
            <v>10</v>
          </cell>
          <cell r="J633">
            <v>2.4840226842570701E-5</v>
          </cell>
          <cell r="K633">
            <v>3499</v>
          </cell>
          <cell r="L633">
            <v>1008.60509688459</v>
          </cell>
          <cell r="M633">
            <v>829</v>
          </cell>
          <cell r="N633">
            <v>3.8703550394755197E-2</v>
          </cell>
          <cell r="O633">
            <v>1321</v>
          </cell>
          <cell r="Q633">
            <v>3560</v>
          </cell>
        </row>
        <row r="634">
          <cell r="B634" t="str">
            <v>CLAYTON 22122944</v>
          </cell>
          <cell r="C634">
            <v>12022212</v>
          </cell>
          <cell r="D634" t="str">
            <v>CLAYTON 2212</v>
          </cell>
          <cell r="E634">
            <v>2944</v>
          </cell>
          <cell r="F634" t="b">
            <v>0</v>
          </cell>
          <cell r="G634">
            <v>24391.936487556999</v>
          </cell>
          <cell r="H634">
            <v>24262.419841119099</v>
          </cell>
          <cell r="I634">
            <v>148</v>
          </cell>
          <cell r="J634">
            <v>5.6050570984135001E-5</v>
          </cell>
          <cell r="K634">
            <v>2885</v>
          </cell>
          <cell r="L634">
            <v>4103.8074675511898</v>
          </cell>
          <cell r="M634">
            <v>143</v>
          </cell>
          <cell r="N634">
            <v>0.21330680333515201</v>
          </cell>
          <cell r="O634">
            <v>300</v>
          </cell>
          <cell r="P634">
            <v>0.08</v>
          </cell>
          <cell r="Q634">
            <v>1576</v>
          </cell>
        </row>
        <row r="635">
          <cell r="B635" t="str">
            <v>CLAYTON 2212334476</v>
          </cell>
          <cell r="C635">
            <v>12022212</v>
          </cell>
          <cell r="D635" t="str">
            <v>CLAYTON 2212</v>
          </cell>
          <cell r="E635">
            <v>334476</v>
          </cell>
          <cell r="F635" t="b">
            <v>1</v>
          </cell>
          <cell r="G635">
            <v>102.035392358103</v>
          </cell>
          <cell r="H635">
            <v>89.942836236781005</v>
          </cell>
          <cell r="I635">
            <v>2</v>
          </cell>
          <cell r="J635">
            <v>3.6825833376497003E-5</v>
          </cell>
          <cell r="K635">
            <v>3318</v>
          </cell>
          <cell r="L635">
            <v>3174.6241405018</v>
          </cell>
          <cell r="M635">
            <v>245</v>
          </cell>
          <cell r="N635">
            <v>0.16960905502239099</v>
          </cell>
          <cell r="O635">
            <v>438</v>
          </cell>
          <cell r="Q635">
            <v>3587</v>
          </cell>
        </row>
        <row r="636">
          <cell r="B636" t="str">
            <v>CLAYTON 2212523764</v>
          </cell>
          <cell r="C636">
            <v>12022212</v>
          </cell>
          <cell r="D636" t="str">
            <v>CLAYTON 2212</v>
          </cell>
          <cell r="E636">
            <v>523764</v>
          </cell>
          <cell r="F636" t="b">
            <v>1</v>
          </cell>
          <cell r="G636">
            <v>581.21328573035601</v>
          </cell>
          <cell r="H636">
            <v>177.57454311109001</v>
          </cell>
          <cell r="I636">
            <v>5</v>
          </cell>
          <cell r="J636">
            <v>5.3526270858128497E-5</v>
          </cell>
          <cell r="K636">
            <v>2949</v>
          </cell>
          <cell r="L636">
            <v>454.56135438163801</v>
          </cell>
          <cell r="M636">
            <v>1241</v>
          </cell>
          <cell r="N636">
            <v>3.4477678660794799E-2</v>
          </cell>
          <cell r="O636">
            <v>1380</v>
          </cell>
          <cell r="Q636">
            <v>3531</v>
          </cell>
        </row>
        <row r="637">
          <cell r="B637" t="str">
            <v>CLAYTON 2212859443</v>
          </cell>
          <cell r="C637">
            <v>12022212</v>
          </cell>
          <cell r="D637" t="str">
            <v>CLAYTON 2212</v>
          </cell>
          <cell r="E637">
            <v>859443</v>
          </cell>
          <cell r="F637" t="b">
            <v>1</v>
          </cell>
          <cell r="G637">
            <v>777.63936741769101</v>
          </cell>
          <cell r="H637">
            <v>475.28370503024001</v>
          </cell>
          <cell r="I637">
            <v>5</v>
          </cell>
          <cell r="J637">
            <v>4.9573874275665699E-5</v>
          </cell>
          <cell r="K637">
            <v>3047</v>
          </cell>
          <cell r="L637">
            <v>1445.6352378752899</v>
          </cell>
          <cell r="M637">
            <v>616</v>
          </cell>
          <cell r="N637">
            <v>5.5167178185713699E-2</v>
          </cell>
          <cell r="O637">
            <v>1120</v>
          </cell>
          <cell r="Q637">
            <v>3268</v>
          </cell>
        </row>
        <row r="638">
          <cell r="B638" t="str">
            <v>CLAYTON 221296224</v>
          </cell>
          <cell r="C638">
            <v>12022212</v>
          </cell>
          <cell r="D638" t="str">
            <v>CLAYTON 2212</v>
          </cell>
          <cell r="E638">
            <v>96224</v>
          </cell>
          <cell r="F638" t="b">
            <v>0</v>
          </cell>
          <cell r="G638">
            <v>31213.304885780399</v>
          </cell>
          <cell r="H638">
            <v>31213.304885780399</v>
          </cell>
          <cell r="I638">
            <v>174</v>
          </cell>
          <cell r="J638">
            <v>6.6243334286213899E-5</v>
          </cell>
          <cell r="K638">
            <v>2582</v>
          </cell>
          <cell r="L638">
            <v>2944.24387948712</v>
          </cell>
          <cell r="M638">
            <v>281</v>
          </cell>
          <cell r="N638">
            <v>0.18754525481800599</v>
          </cell>
          <cell r="O638">
            <v>377</v>
          </cell>
          <cell r="P638">
            <v>0.79</v>
          </cell>
          <cell r="Q638">
            <v>777</v>
          </cell>
        </row>
        <row r="639">
          <cell r="B639" t="str">
            <v>CLAYTON 2212CB</v>
          </cell>
          <cell r="C639">
            <v>12022212</v>
          </cell>
          <cell r="D639" t="str">
            <v>CLAYTON 2212</v>
          </cell>
          <cell r="E639" t="str">
            <v>CB</v>
          </cell>
          <cell r="F639" t="b">
            <v>0</v>
          </cell>
          <cell r="G639">
            <v>17569.860761929402</v>
          </cell>
          <cell r="H639">
            <v>1899.4743630774001</v>
          </cell>
          <cell r="I639">
            <v>140</v>
          </cell>
          <cell r="J639">
            <v>3.3628433210911402E-5</v>
          </cell>
          <cell r="K639">
            <v>3373</v>
          </cell>
          <cell r="L639">
            <v>17.212043801582698</v>
          </cell>
          <cell r="M639">
            <v>2499</v>
          </cell>
          <cell r="N639">
            <v>1.4893925459446801E-3</v>
          </cell>
          <cell r="O639">
            <v>2561</v>
          </cell>
          <cell r="P639">
            <v>0.55000000000000004</v>
          </cell>
          <cell r="Q639">
            <v>873</v>
          </cell>
        </row>
        <row r="640">
          <cell r="B640" t="str">
            <v>CLAYTON 2212Y504R</v>
          </cell>
          <cell r="C640">
            <v>12022212</v>
          </cell>
          <cell r="D640" t="str">
            <v>CLAYTON 2212</v>
          </cell>
          <cell r="E640" t="str">
            <v>Y504R</v>
          </cell>
          <cell r="F640" t="b">
            <v>0</v>
          </cell>
          <cell r="G640">
            <v>18910.143456159702</v>
          </cell>
          <cell r="H640">
            <v>18838.2346918406</v>
          </cell>
          <cell r="I640">
            <v>112</v>
          </cell>
          <cell r="J640">
            <v>7.2579478959206806E-5</v>
          </cell>
          <cell r="K640">
            <v>2404</v>
          </cell>
          <cell r="L640">
            <v>2414.4364245225402</v>
          </cell>
          <cell r="M640">
            <v>358</v>
          </cell>
          <cell r="N640">
            <v>0.180210721261542</v>
          </cell>
          <cell r="O640">
            <v>400</v>
          </cell>
          <cell r="P640">
            <v>0.36</v>
          </cell>
          <cell r="Q640">
            <v>972</v>
          </cell>
        </row>
        <row r="641">
          <cell r="B641" t="str">
            <v>CLAYTON 2213CB</v>
          </cell>
          <cell r="C641">
            <v>12022213</v>
          </cell>
          <cell r="D641" t="str">
            <v>CLAYTON 2213</v>
          </cell>
          <cell r="E641" t="str">
            <v>CB</v>
          </cell>
          <cell r="F641" t="b">
            <v>0</v>
          </cell>
          <cell r="G641">
            <v>9981.7319606757792</v>
          </cell>
          <cell r="H641">
            <v>6230.9216437658097</v>
          </cell>
          <cell r="I641">
            <v>51</v>
          </cell>
          <cell r="J641">
            <v>2.7369375867568699E-5</v>
          </cell>
          <cell r="K641">
            <v>3466</v>
          </cell>
          <cell r="L641">
            <v>650.85539955011495</v>
          </cell>
          <cell r="M641">
            <v>1065</v>
          </cell>
          <cell r="N641">
            <v>3.5350448398041003E-2</v>
          </cell>
          <cell r="O641">
            <v>1367</v>
          </cell>
          <cell r="Q641">
            <v>2870</v>
          </cell>
        </row>
        <row r="642">
          <cell r="B642" t="str">
            <v>CLAYTON 2215184604</v>
          </cell>
          <cell r="C642">
            <v>12022215</v>
          </cell>
          <cell r="D642" t="str">
            <v>CLAYTON 2215</v>
          </cell>
          <cell r="E642">
            <v>184604</v>
          </cell>
          <cell r="F642" t="b">
            <v>0</v>
          </cell>
          <cell r="G642">
            <v>16467.237612305202</v>
          </cell>
          <cell r="H642">
            <v>3361.2921869030101</v>
          </cell>
          <cell r="I642">
            <v>106</v>
          </cell>
          <cell r="J642">
            <v>3.7122801704943698E-5</v>
          </cell>
          <cell r="K642">
            <v>3311</v>
          </cell>
          <cell r="L642">
            <v>169.94574136242099</v>
          </cell>
          <cell r="M642">
            <v>1716</v>
          </cell>
          <cell r="N642">
            <v>1.6934975080580301E-2</v>
          </cell>
          <cell r="O642">
            <v>1739</v>
          </cell>
          <cell r="Q642">
            <v>2831</v>
          </cell>
        </row>
        <row r="643">
          <cell r="B643" t="str">
            <v>CLAYTON 22159765</v>
          </cell>
          <cell r="C643">
            <v>12022215</v>
          </cell>
          <cell r="D643" t="str">
            <v>CLAYTON 2215</v>
          </cell>
          <cell r="E643">
            <v>9765</v>
          </cell>
          <cell r="F643" t="b">
            <v>1</v>
          </cell>
          <cell r="G643">
            <v>1507.32571393836</v>
          </cell>
          <cell r="H643">
            <v>425.49789520714199</v>
          </cell>
          <cell r="I643">
            <v>16</v>
          </cell>
          <cell r="J643">
            <v>4.0376098354499798E-5</v>
          </cell>
          <cell r="K643">
            <v>3257</v>
          </cell>
          <cell r="L643">
            <v>1304.4492852859801</v>
          </cell>
          <cell r="M643">
            <v>680</v>
          </cell>
          <cell r="N643">
            <v>8.5394041129567805E-2</v>
          </cell>
          <cell r="O643">
            <v>857</v>
          </cell>
          <cell r="P643">
            <v>1.1100000000000001</v>
          </cell>
          <cell r="Q643">
            <v>715</v>
          </cell>
        </row>
        <row r="644">
          <cell r="B644" t="str">
            <v>CLAYTON 2215W531R</v>
          </cell>
          <cell r="C644">
            <v>12022215</v>
          </cell>
          <cell r="D644" t="str">
            <v>CLAYTON 2215</v>
          </cell>
          <cell r="E644" t="str">
            <v>W531R</v>
          </cell>
          <cell r="F644" t="b">
            <v>0</v>
          </cell>
          <cell r="G644">
            <v>17380.291665558099</v>
          </cell>
          <cell r="H644">
            <v>10443.672980438199</v>
          </cell>
          <cell r="I644">
            <v>100</v>
          </cell>
          <cell r="J644">
            <v>6.9697799396951202E-5</v>
          </cell>
          <cell r="K644">
            <v>2483</v>
          </cell>
          <cell r="L644">
            <v>735.72302737217399</v>
          </cell>
          <cell r="M644">
            <v>988</v>
          </cell>
          <cell r="N644">
            <v>6.5356036494251493E-2</v>
          </cell>
          <cell r="O644">
            <v>1017</v>
          </cell>
          <cell r="P644">
            <v>7.0000000000000007E-2</v>
          </cell>
          <cell r="Q644">
            <v>1731</v>
          </cell>
        </row>
        <row r="645">
          <cell r="B645" t="str">
            <v>CLAYTON 2217CB</v>
          </cell>
          <cell r="C645">
            <v>12022217</v>
          </cell>
          <cell r="D645" t="str">
            <v>CLAYTON 2217</v>
          </cell>
          <cell r="E645" t="str">
            <v>CB</v>
          </cell>
          <cell r="F645" t="b">
            <v>1</v>
          </cell>
          <cell r="G645">
            <v>1021.96226044771</v>
          </cell>
          <cell r="H645">
            <v>373.78513018556498</v>
          </cell>
          <cell r="I645">
            <v>8</v>
          </cell>
          <cell r="J645">
            <v>6.5789423024398202E-5</v>
          </cell>
          <cell r="K645">
            <v>2595</v>
          </cell>
          <cell r="L645">
            <v>6.5148189744365606E-2</v>
          </cell>
          <cell r="M645">
            <v>3585</v>
          </cell>
          <cell r="N645">
            <v>4.2860618143658302E-6</v>
          </cell>
          <cell r="O645">
            <v>3312</v>
          </cell>
          <cell r="Q645">
            <v>3278</v>
          </cell>
        </row>
        <row r="646">
          <cell r="B646" t="str">
            <v>CLEAR LAKE 11011302</v>
          </cell>
          <cell r="C646">
            <v>42141101</v>
          </cell>
          <cell r="D646" t="str">
            <v>CLEAR LAKE 1101</v>
          </cell>
          <cell r="E646">
            <v>1302</v>
          </cell>
          <cell r="F646" t="b">
            <v>0</v>
          </cell>
          <cell r="G646">
            <v>28390.995671393201</v>
          </cell>
          <cell r="H646">
            <v>12188.0094880014</v>
          </cell>
          <cell r="I646">
            <v>189</v>
          </cell>
          <cell r="J646">
            <v>9.1550329380953396E-5</v>
          </cell>
          <cell r="K646">
            <v>1856</v>
          </cell>
          <cell r="L646">
            <v>135.964153177855</v>
          </cell>
          <cell r="M646">
            <v>1826</v>
          </cell>
          <cell r="N646">
            <v>8.6777206230646796E-3</v>
          </cell>
          <cell r="O646">
            <v>2020</v>
          </cell>
          <cell r="P646">
            <v>7.0000000000000007E-2</v>
          </cell>
          <cell r="Q646">
            <v>1751</v>
          </cell>
        </row>
        <row r="647">
          <cell r="B647" t="str">
            <v>CLEAR LAKE 1101406</v>
          </cell>
          <cell r="C647">
            <v>42141101</v>
          </cell>
          <cell r="D647" t="str">
            <v>CLEAR LAKE 1101</v>
          </cell>
          <cell r="E647">
            <v>406</v>
          </cell>
          <cell r="F647" t="b">
            <v>0</v>
          </cell>
          <cell r="G647">
            <v>53036.291105476303</v>
          </cell>
          <cell r="H647">
            <v>19984.653739352401</v>
          </cell>
          <cell r="I647">
            <v>312</v>
          </cell>
          <cell r="J647">
            <v>8.8388230723382302E-5</v>
          </cell>
          <cell r="K647">
            <v>1975</v>
          </cell>
          <cell r="L647">
            <v>1508.2872864257899</v>
          </cell>
          <cell r="M647">
            <v>594</v>
          </cell>
          <cell r="N647">
            <v>0.13429839401917501</v>
          </cell>
          <cell r="O647">
            <v>588</v>
          </cell>
          <cell r="P647">
            <v>0.13</v>
          </cell>
          <cell r="Q647">
            <v>1362</v>
          </cell>
        </row>
        <row r="648">
          <cell r="B648" t="str">
            <v>CLEAR LAKE 1101699062</v>
          </cell>
          <cell r="C648">
            <v>42141101</v>
          </cell>
          <cell r="D648" t="str">
            <v>CLEAR LAKE 1101</v>
          </cell>
          <cell r="E648">
            <v>699062</v>
          </cell>
          <cell r="F648" t="b">
            <v>0</v>
          </cell>
          <cell r="G648">
            <v>3006.4234645719998</v>
          </cell>
          <cell r="H648">
            <v>1359.6472912583499</v>
          </cell>
          <cell r="I648">
            <v>20</v>
          </cell>
          <cell r="J648">
            <v>8.6499181634280804E-5</v>
          </cell>
          <cell r="K648">
            <v>2024</v>
          </cell>
          <cell r="L648">
            <v>1257.98021862263</v>
          </cell>
          <cell r="M648">
            <v>696</v>
          </cell>
          <cell r="N648">
            <v>0.113224101238978</v>
          </cell>
          <cell r="O648">
            <v>687</v>
          </cell>
          <cell r="Q648">
            <v>3300</v>
          </cell>
        </row>
        <row r="649">
          <cell r="B649" t="str">
            <v>CLEAR LAKE 1101740076</v>
          </cell>
          <cell r="C649">
            <v>42141101</v>
          </cell>
          <cell r="D649" t="str">
            <v>CLEAR LAKE 1101</v>
          </cell>
          <cell r="E649">
            <v>740076</v>
          </cell>
          <cell r="F649" t="b">
            <v>1</v>
          </cell>
          <cell r="G649">
            <v>14283.490217377501</v>
          </cell>
          <cell r="H649">
            <v>632.37667896942401</v>
          </cell>
          <cell r="I649">
            <v>106</v>
          </cell>
          <cell r="J649">
            <v>1.0530961396095E-4</v>
          </cell>
          <cell r="K649">
            <v>1512</v>
          </cell>
          <cell r="L649">
            <v>793.80664838506095</v>
          </cell>
          <cell r="M649">
            <v>947</v>
          </cell>
          <cell r="N649">
            <v>7.1070933616714696E-2</v>
          </cell>
          <cell r="O649">
            <v>972</v>
          </cell>
          <cell r="Q649">
            <v>2963</v>
          </cell>
        </row>
        <row r="650">
          <cell r="B650" t="str">
            <v>CLEAR LAKE 1101881362</v>
          </cell>
          <cell r="C650">
            <v>42141101</v>
          </cell>
          <cell r="D650" t="str">
            <v>CLEAR LAKE 1101</v>
          </cell>
          <cell r="E650">
            <v>881362</v>
          </cell>
          <cell r="F650" t="b">
            <v>1</v>
          </cell>
          <cell r="G650">
            <v>1747.50892093824</v>
          </cell>
          <cell r="H650">
            <v>480.03214564275999</v>
          </cell>
          <cell r="I650">
            <v>10</v>
          </cell>
          <cell r="J650">
            <v>1.04007005575113E-4</v>
          </cell>
          <cell r="K650">
            <v>1552</v>
          </cell>
          <cell r="L650">
            <v>3804.2183213316598</v>
          </cell>
          <cell r="M650">
            <v>168</v>
          </cell>
          <cell r="N650">
            <v>0.41958685145153501</v>
          </cell>
          <cell r="O650">
            <v>51</v>
          </cell>
          <cell r="Q650">
            <v>3475</v>
          </cell>
        </row>
        <row r="651">
          <cell r="B651" t="str">
            <v>CLEAR LAKE 110192870</v>
          </cell>
          <cell r="C651">
            <v>42141101</v>
          </cell>
          <cell r="D651" t="str">
            <v>CLEAR LAKE 1101</v>
          </cell>
          <cell r="E651">
            <v>92870</v>
          </cell>
          <cell r="F651" t="b">
            <v>1</v>
          </cell>
          <cell r="G651">
            <v>25931.816903831201</v>
          </cell>
          <cell r="H651">
            <v>185.947516829666</v>
          </cell>
          <cell r="I651">
            <v>187</v>
          </cell>
          <cell r="J651">
            <v>6.3919224287243098E-5</v>
          </cell>
          <cell r="K651">
            <v>2649</v>
          </cell>
          <cell r="L651">
            <v>163.11615182363801</v>
          </cell>
          <cell r="M651">
            <v>1739</v>
          </cell>
          <cell r="N651">
            <v>1.7206556641014701E-2</v>
          </cell>
          <cell r="O651">
            <v>1733</v>
          </cell>
          <cell r="P651">
            <v>2.2999999999999998</v>
          </cell>
          <cell r="Q651">
            <v>615</v>
          </cell>
        </row>
        <row r="652">
          <cell r="B652" t="str">
            <v>CLEAR LAKE 1102223792</v>
          </cell>
          <cell r="C652">
            <v>42141102</v>
          </cell>
          <cell r="D652" t="str">
            <v>CLEAR LAKE 1102</v>
          </cell>
          <cell r="E652">
            <v>223792</v>
          </cell>
          <cell r="F652" t="b">
            <v>0</v>
          </cell>
          <cell r="G652">
            <v>1426.5673143024001</v>
          </cell>
          <cell r="H652">
            <v>1262.3470151087099</v>
          </cell>
          <cell r="I652">
            <v>10</v>
          </cell>
          <cell r="J652">
            <v>7.6536999485041498E-5</v>
          </cell>
          <cell r="K652">
            <v>2293</v>
          </cell>
          <cell r="L652">
            <v>237.96030547470301</v>
          </cell>
          <cell r="M652">
            <v>1572</v>
          </cell>
          <cell r="N652">
            <v>1.91055024343414E-2</v>
          </cell>
          <cell r="O652">
            <v>1688</v>
          </cell>
          <cell r="Q652">
            <v>2832</v>
          </cell>
        </row>
        <row r="653">
          <cell r="B653" t="str">
            <v>CLEAR LAKE 1102904</v>
          </cell>
          <cell r="C653">
            <v>42141102</v>
          </cell>
          <cell r="D653" t="str">
            <v>CLEAR LAKE 1102</v>
          </cell>
          <cell r="E653">
            <v>904</v>
          </cell>
          <cell r="F653" t="b">
            <v>0</v>
          </cell>
          <cell r="G653">
            <v>5777.0338743825596</v>
          </cell>
          <cell r="H653">
            <v>5445.64925676857</v>
          </cell>
          <cell r="I653">
            <v>30</v>
          </cell>
          <cell r="J653">
            <v>9.2995403222097394E-5</v>
          </cell>
          <cell r="K653">
            <v>1822</v>
          </cell>
          <cell r="L653">
            <v>2564.6520467569499</v>
          </cell>
          <cell r="M653">
            <v>336</v>
          </cell>
          <cell r="N653">
            <v>0.23862464086620899</v>
          </cell>
          <cell r="O653">
            <v>239</v>
          </cell>
          <cell r="P653">
            <v>1.48</v>
          </cell>
          <cell r="Q653">
            <v>670</v>
          </cell>
        </row>
        <row r="654">
          <cell r="B654" t="str">
            <v>CLEAR LAKE 1102991285</v>
          </cell>
          <cell r="C654">
            <v>42141102</v>
          </cell>
          <cell r="D654" t="str">
            <v>CLEAR LAKE 1102</v>
          </cell>
          <cell r="E654">
            <v>991285</v>
          </cell>
          <cell r="F654" t="b">
            <v>1</v>
          </cell>
          <cell r="G654">
            <v>2786.1304004302401</v>
          </cell>
          <cell r="H654">
            <v>525.90012162109997</v>
          </cell>
          <cell r="I654">
            <v>24</v>
          </cell>
          <cell r="J654">
            <v>8.6607077126087505E-5</v>
          </cell>
          <cell r="K654">
            <v>2019</v>
          </cell>
          <cell r="L654">
            <v>543.93375298826004</v>
          </cell>
          <cell r="M654">
            <v>1154</v>
          </cell>
          <cell r="N654">
            <v>4.7468950239039E-2</v>
          </cell>
          <cell r="O654">
            <v>1204</v>
          </cell>
          <cell r="Q654">
            <v>2968</v>
          </cell>
        </row>
        <row r="655">
          <cell r="B655" t="str">
            <v>CLOVERDALE 1101399855</v>
          </cell>
          <cell r="C655">
            <v>42821101</v>
          </cell>
          <cell r="D655" t="str">
            <v>CLOVERDALE 1101</v>
          </cell>
          <cell r="E655">
            <v>399855</v>
          </cell>
          <cell r="F655" t="b">
            <v>0</v>
          </cell>
          <cell r="G655">
            <v>4438.9669179687698</v>
          </cell>
          <cell r="H655">
            <v>4409.91990112235</v>
          </cell>
          <cell r="I655">
            <v>19</v>
          </cell>
          <cell r="J655">
            <v>1.2845830497099E-4</v>
          </cell>
          <cell r="K655">
            <v>1040</v>
          </cell>
          <cell r="L655">
            <v>1799.1720465383601</v>
          </cell>
          <cell r="M655">
            <v>506</v>
          </cell>
          <cell r="N655">
            <v>0.26330699476666802</v>
          </cell>
          <cell r="O655">
            <v>191</v>
          </cell>
          <cell r="Q655">
            <v>2826</v>
          </cell>
        </row>
        <row r="656">
          <cell r="B656" t="str">
            <v>CLOVERDALE 1101409224</v>
          </cell>
          <cell r="C656">
            <v>42821101</v>
          </cell>
          <cell r="D656" t="str">
            <v>CLOVERDALE 1101</v>
          </cell>
          <cell r="E656">
            <v>409224</v>
          </cell>
          <cell r="F656" t="b">
            <v>1</v>
          </cell>
          <cell r="G656">
            <v>353.34506718198998</v>
          </cell>
          <cell r="H656">
            <v>138.72047454816499</v>
          </cell>
          <cell r="I656">
            <v>4</v>
          </cell>
          <cell r="J656">
            <v>1.5579958380840199E-4</v>
          </cell>
          <cell r="K656">
            <v>685</v>
          </cell>
          <cell r="L656">
            <v>7.1834500765257103E-2</v>
          </cell>
          <cell r="M656">
            <v>2942</v>
          </cell>
          <cell r="N656">
            <v>1.13100905740358E-5</v>
          </cell>
          <cell r="O656">
            <v>3045</v>
          </cell>
          <cell r="Q656">
            <v>3518</v>
          </cell>
        </row>
        <row r="657">
          <cell r="B657" t="str">
            <v>CLOVERDALE 1101474708</v>
          </cell>
          <cell r="C657">
            <v>42821101</v>
          </cell>
          <cell r="D657" t="str">
            <v>CLOVERDALE 1101</v>
          </cell>
          <cell r="E657">
            <v>474708</v>
          </cell>
          <cell r="F657" t="b">
            <v>1</v>
          </cell>
          <cell r="G657">
            <v>1392.1284182403101</v>
          </cell>
          <cell r="H657">
            <v>422.045965651046</v>
          </cell>
          <cell r="I657">
            <v>13</v>
          </cell>
          <cell r="J657">
            <v>1.6435938202145401E-4</v>
          </cell>
          <cell r="K657">
            <v>594</v>
          </cell>
          <cell r="L657">
            <v>18.367352274800201</v>
          </cell>
          <cell r="M657">
            <v>2470</v>
          </cell>
          <cell r="N657">
            <v>6.5355656123649002E-3</v>
          </cell>
          <cell r="O657">
            <v>2118</v>
          </cell>
          <cell r="Q657">
            <v>3063</v>
          </cell>
        </row>
        <row r="658">
          <cell r="B658" t="str">
            <v>CLOVERDALE 1101704542</v>
          </cell>
          <cell r="C658">
            <v>42821101</v>
          </cell>
          <cell r="D658" t="str">
            <v>CLOVERDALE 1101</v>
          </cell>
          <cell r="E658">
            <v>704542</v>
          </cell>
          <cell r="F658" t="b">
            <v>1</v>
          </cell>
          <cell r="G658">
            <v>487.49634098088302</v>
          </cell>
          <cell r="H658">
            <v>345.94168980690802</v>
          </cell>
          <cell r="I658">
            <v>3</v>
          </cell>
          <cell r="J658">
            <v>1.03705770015949E-4</v>
          </cell>
          <cell r="K658">
            <v>1556</v>
          </cell>
          <cell r="L658">
            <v>10.6422641343205</v>
          </cell>
          <cell r="M658">
            <v>2616</v>
          </cell>
          <cell r="N658">
            <v>1.14746168373837E-3</v>
          </cell>
          <cell r="O658">
            <v>2608</v>
          </cell>
          <cell r="Q658">
            <v>3612</v>
          </cell>
        </row>
        <row r="659">
          <cell r="B659" t="str">
            <v>CLOVERDALE 1101807953</v>
          </cell>
          <cell r="C659">
            <v>42821101</v>
          </cell>
          <cell r="D659" t="str">
            <v>CLOVERDALE 1101</v>
          </cell>
          <cell r="E659">
            <v>807953</v>
          </cell>
          <cell r="F659" t="b">
            <v>1</v>
          </cell>
          <cell r="G659">
            <v>1013.15168916261</v>
          </cell>
          <cell r="H659">
            <v>745.82149823206498</v>
          </cell>
          <cell r="I659">
            <v>11</v>
          </cell>
          <cell r="J659">
            <v>1.21286553621757E-4</v>
          </cell>
          <cell r="K659">
            <v>1161</v>
          </cell>
          <cell r="L659">
            <v>149.93352579037099</v>
          </cell>
          <cell r="M659">
            <v>1777</v>
          </cell>
          <cell r="N659">
            <v>1.9175589504577199E-2</v>
          </cell>
          <cell r="O659">
            <v>1687</v>
          </cell>
          <cell r="Q659">
            <v>2915</v>
          </cell>
        </row>
        <row r="660">
          <cell r="B660" t="str">
            <v>CLOVERDALE 110184088</v>
          </cell>
          <cell r="C660">
            <v>42821101</v>
          </cell>
          <cell r="D660" t="str">
            <v>CLOVERDALE 1101</v>
          </cell>
          <cell r="E660">
            <v>84088</v>
          </cell>
          <cell r="F660" t="b">
            <v>0</v>
          </cell>
          <cell r="G660">
            <v>28026.801696840401</v>
          </cell>
          <cell r="H660">
            <v>25963.760285693101</v>
          </cell>
          <cell r="I660">
            <v>127</v>
          </cell>
          <cell r="J660">
            <v>1.2488779787916699E-4</v>
          </cell>
          <cell r="K660">
            <v>1101</v>
          </cell>
          <cell r="L660">
            <v>1457.80178731159</v>
          </cell>
          <cell r="M660">
            <v>614</v>
          </cell>
          <cell r="N660">
            <v>0.158575577659682</v>
          </cell>
          <cell r="O660">
            <v>477</v>
          </cell>
          <cell r="Q660">
            <v>2748</v>
          </cell>
        </row>
        <row r="661">
          <cell r="B661" t="str">
            <v>CLOVERDALE 1101964556</v>
          </cell>
          <cell r="C661">
            <v>42821101</v>
          </cell>
          <cell r="D661" t="str">
            <v>CLOVERDALE 1101</v>
          </cell>
          <cell r="E661">
            <v>964556</v>
          </cell>
          <cell r="F661" t="b">
            <v>0</v>
          </cell>
          <cell r="G661">
            <v>8160.0956239493498</v>
          </cell>
          <cell r="H661">
            <v>8116.5646676995802</v>
          </cell>
          <cell r="I661">
            <v>31</v>
          </cell>
          <cell r="J661">
            <v>1.05032638573363E-4</v>
          </cell>
          <cell r="K661">
            <v>1527</v>
          </cell>
          <cell r="L661">
            <v>1599.6673338077401</v>
          </cell>
          <cell r="M661">
            <v>562</v>
          </cell>
          <cell r="N661">
            <v>0.15802572736520101</v>
          </cell>
          <cell r="O661">
            <v>479</v>
          </cell>
          <cell r="Q661">
            <v>3279</v>
          </cell>
        </row>
        <row r="662">
          <cell r="B662" t="str">
            <v>CLOVERDALE 1102156</v>
          </cell>
          <cell r="C662">
            <v>42821102</v>
          </cell>
          <cell r="D662" t="str">
            <v>CLOVERDALE 1102</v>
          </cell>
          <cell r="E662">
            <v>156</v>
          </cell>
          <cell r="F662" t="b">
            <v>0</v>
          </cell>
          <cell r="G662">
            <v>18958.869918963199</v>
          </cell>
          <cell r="H662">
            <v>9919.8336261518907</v>
          </cell>
          <cell r="I662">
            <v>110</v>
          </cell>
          <cell r="J662">
            <v>1.24533758654169E-4</v>
          </cell>
          <cell r="K662">
            <v>1107</v>
          </cell>
          <cell r="L662">
            <v>875.95958703335805</v>
          </cell>
          <cell r="M662">
            <v>896</v>
          </cell>
          <cell r="N662">
            <v>0.122676329421312</v>
          </cell>
          <cell r="O662">
            <v>633</v>
          </cell>
          <cell r="P662">
            <v>0.21</v>
          </cell>
          <cell r="Q662">
            <v>1144</v>
          </cell>
        </row>
        <row r="663">
          <cell r="B663" t="str">
            <v>CLOVERDALE 1102172096</v>
          </cell>
          <cell r="C663">
            <v>42821102</v>
          </cell>
          <cell r="D663" t="str">
            <v>CLOVERDALE 1102</v>
          </cell>
          <cell r="E663">
            <v>172096</v>
          </cell>
          <cell r="F663" t="b">
            <v>1</v>
          </cell>
          <cell r="G663">
            <v>1240.5827094423901</v>
          </cell>
          <cell r="H663">
            <v>425.50984913024803</v>
          </cell>
          <cell r="I663">
            <v>12</v>
          </cell>
          <cell r="J663">
            <v>1.3435263736027899E-4</v>
          </cell>
          <cell r="K663">
            <v>939</v>
          </cell>
          <cell r="L663">
            <v>425.63235160475398</v>
          </cell>
          <cell r="M663">
            <v>1267</v>
          </cell>
          <cell r="N663">
            <v>6.6569692303153905E-2</v>
          </cell>
          <cell r="O663">
            <v>1007</v>
          </cell>
          <cell r="Q663">
            <v>3077</v>
          </cell>
        </row>
        <row r="664">
          <cell r="B664" t="str">
            <v>CLOVERDALE 1102262</v>
          </cell>
          <cell r="C664">
            <v>42821102</v>
          </cell>
          <cell r="D664" t="str">
            <v>CLOVERDALE 1102</v>
          </cell>
          <cell r="E664">
            <v>262</v>
          </cell>
          <cell r="F664" t="b">
            <v>0</v>
          </cell>
          <cell r="G664">
            <v>9547.2777277554196</v>
          </cell>
          <cell r="H664">
            <v>2067.1656870114998</v>
          </cell>
          <cell r="I664">
            <v>61</v>
          </cell>
          <cell r="J664">
            <v>1.00471845740446E-4</v>
          </cell>
          <cell r="K664">
            <v>1637</v>
          </cell>
          <cell r="L664">
            <v>112.22854412782</v>
          </cell>
          <cell r="M664">
            <v>1905</v>
          </cell>
          <cell r="N664">
            <v>1.15484247896789E-2</v>
          </cell>
          <cell r="O664">
            <v>1900</v>
          </cell>
          <cell r="P664">
            <v>0.05</v>
          </cell>
          <cell r="Q664">
            <v>1983</v>
          </cell>
        </row>
        <row r="665">
          <cell r="B665" t="str">
            <v>CLOVERDALE 1102307342</v>
          </cell>
          <cell r="C665">
            <v>42821102</v>
          </cell>
          <cell r="D665" t="str">
            <v>CLOVERDALE 1102</v>
          </cell>
          <cell r="E665">
            <v>307342</v>
          </cell>
          <cell r="F665" t="b">
            <v>1</v>
          </cell>
          <cell r="G665">
            <v>573.10340646302302</v>
          </cell>
          <cell r="H665">
            <v>354.02375561810697</v>
          </cell>
          <cell r="I665">
            <v>6</v>
          </cell>
          <cell r="J665">
            <v>1.3565373956225799E-4</v>
          </cell>
          <cell r="K665">
            <v>923</v>
          </cell>
          <cell r="L665">
            <v>341.20586680255099</v>
          </cell>
          <cell r="M665">
            <v>1386</v>
          </cell>
          <cell r="N665">
            <v>7.7415777242808903E-2</v>
          </cell>
          <cell r="O665">
            <v>922</v>
          </cell>
          <cell r="Q665">
            <v>3441</v>
          </cell>
        </row>
        <row r="666">
          <cell r="B666" t="str">
            <v>CLOVERDALE 1102383183</v>
          </cell>
          <cell r="C666">
            <v>42821102</v>
          </cell>
          <cell r="D666" t="str">
            <v>CLOVERDALE 1102</v>
          </cell>
          <cell r="E666">
            <v>383183</v>
          </cell>
          <cell r="F666" t="b">
            <v>0</v>
          </cell>
          <cell r="G666">
            <v>23681.105395689799</v>
          </cell>
          <cell r="H666">
            <v>23566.620719538299</v>
          </cell>
          <cell r="I666">
            <v>53</v>
          </cell>
          <cell r="J666">
            <v>1.1530075277491599E-4</v>
          </cell>
          <cell r="K666">
            <v>1293</v>
          </cell>
          <cell r="L666">
            <v>1780.7074141108101</v>
          </cell>
          <cell r="M666">
            <v>509</v>
          </cell>
          <cell r="N666">
            <v>0.156868932869103</v>
          </cell>
          <cell r="O666">
            <v>485</v>
          </cell>
          <cell r="Q666">
            <v>3164</v>
          </cell>
        </row>
        <row r="667">
          <cell r="B667" t="str">
            <v>CLOVERDALE 1102429006</v>
          </cell>
          <cell r="C667">
            <v>42821102</v>
          </cell>
          <cell r="D667" t="str">
            <v>CLOVERDALE 1102</v>
          </cell>
          <cell r="E667">
            <v>429006</v>
          </cell>
          <cell r="F667" t="b">
            <v>0</v>
          </cell>
          <cell r="G667">
            <v>3229.4467150494602</v>
          </cell>
          <cell r="H667">
            <v>3213.4445539277699</v>
          </cell>
          <cell r="I667">
            <v>23</v>
          </cell>
          <cell r="J667">
            <v>1.5434050320713399E-4</v>
          </cell>
          <cell r="K667">
            <v>701</v>
          </cell>
          <cell r="L667">
            <v>805.96019329755597</v>
          </cell>
          <cell r="M667">
            <v>934</v>
          </cell>
          <cell r="N667">
            <v>0.14360386568356001</v>
          </cell>
          <cell r="O667">
            <v>553</v>
          </cell>
          <cell r="P667">
            <v>0.04</v>
          </cell>
          <cell r="Q667">
            <v>2192</v>
          </cell>
        </row>
        <row r="668">
          <cell r="B668" t="str">
            <v>CLOVERDALE 11024646</v>
          </cell>
          <cell r="C668">
            <v>42821102</v>
          </cell>
          <cell r="D668" t="str">
            <v>CLOVERDALE 1102</v>
          </cell>
          <cell r="E668">
            <v>4646</v>
          </cell>
          <cell r="F668" t="b">
            <v>1</v>
          </cell>
          <cell r="G668">
            <v>480.28649333507002</v>
          </cell>
          <cell r="H668">
            <v>242.39899920856701</v>
          </cell>
          <cell r="I668">
            <v>8</v>
          </cell>
          <cell r="J668">
            <v>2.37519422496136E-4</v>
          </cell>
          <cell r="K668">
            <v>255</v>
          </cell>
          <cell r="L668">
            <v>1510.11472663063</v>
          </cell>
          <cell r="M668">
            <v>591</v>
          </cell>
          <cell r="N668">
            <v>0.10162614090508899</v>
          </cell>
          <cell r="O668">
            <v>754</v>
          </cell>
          <cell r="P668">
            <v>0.12</v>
          </cell>
          <cell r="Q668">
            <v>1368</v>
          </cell>
        </row>
        <row r="669">
          <cell r="B669" t="str">
            <v>CLOVERDALE 110247214</v>
          </cell>
          <cell r="C669">
            <v>42821102</v>
          </cell>
          <cell r="D669" t="str">
            <v>CLOVERDALE 1102</v>
          </cell>
          <cell r="E669">
            <v>47214</v>
          </cell>
          <cell r="F669" t="b">
            <v>1</v>
          </cell>
          <cell r="G669">
            <v>43.972016812199101</v>
          </cell>
          <cell r="H669">
            <v>43.972016812199101</v>
          </cell>
          <cell r="I669">
            <v>1</v>
          </cell>
          <cell r="J669">
            <v>5.8357007219456102E-5</v>
          </cell>
          <cell r="K669">
            <v>2823</v>
          </cell>
          <cell r="L669">
            <v>8298.4727688611893</v>
          </cell>
          <cell r="M669">
            <v>4</v>
          </cell>
          <cell r="N669">
            <v>0.48427403528289198</v>
          </cell>
          <cell r="O669">
            <v>34</v>
          </cell>
          <cell r="P669">
            <v>2.46</v>
          </cell>
          <cell r="Q669">
            <v>602</v>
          </cell>
        </row>
        <row r="670">
          <cell r="B670" t="str">
            <v>CLOVERDALE 1102570</v>
          </cell>
          <cell r="C670">
            <v>42821102</v>
          </cell>
          <cell r="D670" t="str">
            <v>CLOVERDALE 1102</v>
          </cell>
          <cell r="E670">
            <v>570</v>
          </cell>
          <cell r="F670" t="b">
            <v>0</v>
          </cell>
          <cell r="G670">
            <v>34272.802068590601</v>
          </cell>
          <cell r="H670">
            <v>28557.038439057</v>
          </cell>
          <cell r="I670">
            <v>199</v>
          </cell>
          <cell r="J670">
            <v>1.0582486975366E-4</v>
          </cell>
          <cell r="K670">
            <v>1500</v>
          </cell>
          <cell r="L670">
            <v>921.35096995528602</v>
          </cell>
          <cell r="M670">
            <v>874</v>
          </cell>
          <cell r="N670">
            <v>8.9292128423398495E-2</v>
          </cell>
          <cell r="O670">
            <v>828</v>
          </cell>
          <cell r="P670">
            <v>0.22</v>
          </cell>
          <cell r="Q670">
            <v>1129</v>
          </cell>
        </row>
        <row r="671">
          <cell r="B671" t="str">
            <v>CLOVERDALE 1102670</v>
          </cell>
          <cell r="C671">
            <v>42821102</v>
          </cell>
          <cell r="D671" t="str">
            <v>CLOVERDALE 1102</v>
          </cell>
          <cell r="E671">
            <v>670</v>
          </cell>
          <cell r="F671" t="b">
            <v>1</v>
          </cell>
          <cell r="G671">
            <v>4937.5443769759304</v>
          </cell>
          <cell r="H671">
            <v>587.14747848611205</v>
          </cell>
          <cell r="I671">
            <v>43</v>
          </cell>
          <cell r="J671">
            <v>1.2732668399748499E-4</v>
          </cell>
          <cell r="K671">
            <v>1058</v>
          </cell>
          <cell r="L671">
            <v>393.81863351470702</v>
          </cell>
          <cell r="M671">
            <v>1302</v>
          </cell>
          <cell r="N671">
            <v>6.0560374070867298E-2</v>
          </cell>
          <cell r="O671">
            <v>1058</v>
          </cell>
          <cell r="P671">
            <v>0.03</v>
          </cell>
          <cell r="Q671">
            <v>2292</v>
          </cell>
        </row>
        <row r="672">
          <cell r="B672" t="str">
            <v>CLOVERDALE 1102672</v>
          </cell>
          <cell r="C672">
            <v>42821102</v>
          </cell>
          <cell r="D672" t="str">
            <v>CLOVERDALE 1102</v>
          </cell>
          <cell r="E672">
            <v>672</v>
          </cell>
          <cell r="F672" t="b">
            <v>0</v>
          </cell>
          <cell r="G672">
            <v>35787.410060231799</v>
          </cell>
          <cell r="H672">
            <v>35088.8854433448</v>
          </cell>
          <cell r="I672">
            <v>140</v>
          </cell>
          <cell r="J672">
            <v>1.05020796483664E-4</v>
          </cell>
          <cell r="K672">
            <v>1528</v>
          </cell>
          <cell r="L672">
            <v>2485.2849759764699</v>
          </cell>
          <cell r="M672">
            <v>343</v>
          </cell>
          <cell r="N672">
            <v>0.225710691831712</v>
          </cell>
          <cell r="O672">
            <v>272</v>
          </cell>
          <cell r="P672">
            <v>0.66</v>
          </cell>
          <cell r="Q672">
            <v>819</v>
          </cell>
        </row>
        <row r="673">
          <cell r="B673" t="str">
            <v>CLOVERDALE 1102674</v>
          </cell>
          <cell r="C673">
            <v>42821102</v>
          </cell>
          <cell r="D673" t="str">
            <v>CLOVERDALE 1102</v>
          </cell>
          <cell r="E673">
            <v>674</v>
          </cell>
          <cell r="F673" t="b">
            <v>0</v>
          </cell>
          <cell r="G673">
            <v>32462.292602662401</v>
          </cell>
          <cell r="H673">
            <v>27296.938185654399</v>
          </cell>
          <cell r="I673">
            <v>122</v>
          </cell>
          <cell r="J673">
            <v>1.1907844492263101E-4</v>
          </cell>
          <cell r="K673">
            <v>1203</v>
          </cell>
          <cell r="L673">
            <v>1499.6889977103399</v>
          </cell>
          <cell r="M673">
            <v>597</v>
          </cell>
          <cell r="N673">
            <v>0.114009532720369</v>
          </cell>
          <cell r="O673">
            <v>680</v>
          </cell>
          <cell r="P673">
            <v>0.15</v>
          </cell>
          <cell r="Q673">
            <v>1285</v>
          </cell>
        </row>
        <row r="674">
          <cell r="B674" t="str">
            <v>CLOVERDALE 1102736078</v>
          </cell>
          <cell r="C674">
            <v>42821102</v>
          </cell>
          <cell r="D674" t="str">
            <v>CLOVERDALE 1102</v>
          </cell>
          <cell r="E674">
            <v>736078</v>
          </cell>
          <cell r="F674" t="b">
            <v>1</v>
          </cell>
          <cell r="G674">
            <v>432.866860515501</v>
          </cell>
          <cell r="H674">
            <v>373.67811447446701</v>
          </cell>
          <cell r="I674">
            <v>3</v>
          </cell>
          <cell r="J674">
            <v>6.8384096569691996E-5</v>
          </cell>
          <cell r="K674">
            <v>2526</v>
          </cell>
          <cell r="L674">
            <v>3199.3848155307301</v>
          </cell>
          <cell r="M674">
            <v>241</v>
          </cell>
          <cell r="N674">
            <v>0.214603110051556</v>
          </cell>
          <cell r="O674">
            <v>295</v>
          </cell>
          <cell r="Q674">
            <v>3522</v>
          </cell>
        </row>
        <row r="675">
          <cell r="B675" t="str">
            <v>CLOVERDALE 1102801904</v>
          </cell>
          <cell r="C675">
            <v>42821102</v>
          </cell>
          <cell r="D675" t="str">
            <v>CLOVERDALE 1102</v>
          </cell>
          <cell r="E675">
            <v>801904</v>
          </cell>
          <cell r="F675" t="b">
            <v>1</v>
          </cell>
          <cell r="G675">
            <v>22.388139339451801</v>
          </cell>
          <cell r="H675">
            <v>22.388139339451801</v>
          </cell>
          <cell r="I675">
            <v>1</v>
          </cell>
          <cell r="J675">
            <v>8.2207930972799605E-5</v>
          </cell>
          <cell r="K675">
            <v>2146</v>
          </cell>
          <cell r="L675">
            <v>7.9147810876268099E-2</v>
          </cell>
          <cell r="M675">
            <v>2934</v>
          </cell>
          <cell r="N675">
            <v>6.50657777316445E-6</v>
          </cell>
          <cell r="O675">
            <v>3190</v>
          </cell>
          <cell r="P675">
            <v>0.06</v>
          </cell>
          <cell r="Q675">
            <v>1865</v>
          </cell>
        </row>
        <row r="676">
          <cell r="B676" t="str">
            <v>CMC 1101CB</v>
          </cell>
          <cell r="C676">
            <v>183111101</v>
          </cell>
          <cell r="D676" t="str">
            <v>CMC 1101</v>
          </cell>
          <cell r="E676" t="str">
            <v>CB</v>
          </cell>
          <cell r="F676" t="b">
            <v>0</v>
          </cell>
          <cell r="G676">
            <v>3286.0632632596898</v>
          </cell>
          <cell r="H676">
            <v>3286.0632632596898</v>
          </cell>
          <cell r="I676">
            <v>16</v>
          </cell>
          <cell r="J676">
            <v>7.4109741399297496E-5</v>
          </cell>
          <cell r="K676">
            <v>2353</v>
          </cell>
          <cell r="L676">
            <v>272.325488427653</v>
          </cell>
          <cell r="M676">
            <v>1488</v>
          </cell>
          <cell r="N676">
            <v>1.4989127042352E-2</v>
          </cell>
          <cell r="O676">
            <v>1781</v>
          </cell>
          <cell r="P676">
            <v>0.06</v>
          </cell>
          <cell r="Q676">
            <v>1879</v>
          </cell>
        </row>
        <row r="677">
          <cell r="B677" t="str">
            <v>CMC 1102CB</v>
          </cell>
          <cell r="C677">
            <v>183111102</v>
          </cell>
          <cell r="D677" t="str">
            <v>CMC 1102</v>
          </cell>
          <cell r="E677" t="str">
            <v>CB</v>
          </cell>
          <cell r="F677" t="b">
            <v>1</v>
          </cell>
          <cell r="G677">
            <v>581.83421734162596</v>
          </cell>
          <cell r="H677">
            <v>581.83421734162596</v>
          </cell>
          <cell r="I677">
            <v>5</v>
          </cell>
          <cell r="J677">
            <v>1.5983414632501E-4</v>
          </cell>
          <cell r="K677">
            <v>644</v>
          </cell>
          <cell r="L677">
            <v>548.93552856445297</v>
          </cell>
          <cell r="M677">
            <v>1146</v>
          </cell>
          <cell r="N677">
            <v>7.9905036814650998E-2</v>
          </cell>
          <cell r="O677">
            <v>901</v>
          </cell>
          <cell r="P677">
            <v>0.03</v>
          </cell>
          <cell r="Q677">
            <v>2328</v>
          </cell>
        </row>
        <row r="678">
          <cell r="B678" t="str">
            <v>COARSEGOLD 210210040</v>
          </cell>
          <cell r="C678">
            <v>254432102</v>
          </cell>
          <cell r="D678" t="str">
            <v>COARSEGOLD 2102</v>
          </cell>
          <cell r="E678">
            <v>10040</v>
          </cell>
          <cell r="F678" t="b">
            <v>0</v>
          </cell>
          <cell r="G678">
            <v>28379.020055137102</v>
          </cell>
          <cell r="H678">
            <v>28379.020055137102</v>
          </cell>
          <cell r="I678">
            <v>213</v>
          </cell>
          <cell r="J678">
            <v>7.3465406405520797E-5</v>
          </cell>
          <cell r="K678">
            <v>2385</v>
          </cell>
          <cell r="L678">
            <v>189.31901738128701</v>
          </cell>
          <cell r="M678">
            <v>1665</v>
          </cell>
          <cell r="N678">
            <v>1.26604648538187E-2</v>
          </cell>
          <cell r="O678">
            <v>1855</v>
          </cell>
          <cell r="P678">
            <v>0.64</v>
          </cell>
          <cell r="Q678">
            <v>829</v>
          </cell>
        </row>
        <row r="679">
          <cell r="B679" t="str">
            <v>COARSEGOLD 210210050</v>
          </cell>
          <cell r="C679">
            <v>254432102</v>
          </cell>
          <cell r="D679" t="str">
            <v>COARSEGOLD 2102</v>
          </cell>
          <cell r="E679">
            <v>10050</v>
          </cell>
          <cell r="F679" t="b">
            <v>0</v>
          </cell>
          <cell r="G679">
            <v>11290.6239038892</v>
          </cell>
          <cell r="H679">
            <v>11290.6239038892</v>
          </cell>
          <cell r="I679">
            <v>81</v>
          </cell>
          <cell r="J679">
            <v>9.8288659762602005E-5</v>
          </cell>
          <cell r="K679">
            <v>1684</v>
          </cell>
          <cell r="L679">
            <v>101.870995454891</v>
          </cell>
          <cell r="M679">
            <v>1946</v>
          </cell>
          <cell r="N679">
            <v>1.1369769716672201E-2</v>
          </cell>
          <cell r="O679">
            <v>1908</v>
          </cell>
          <cell r="P679">
            <v>0.52</v>
          </cell>
          <cell r="Q679">
            <v>888</v>
          </cell>
        </row>
        <row r="680">
          <cell r="B680" t="str">
            <v>COARSEGOLD 210210207</v>
          </cell>
          <cell r="C680">
            <v>254432102</v>
          </cell>
          <cell r="D680" t="str">
            <v>COARSEGOLD 2102</v>
          </cell>
          <cell r="E680">
            <v>10207</v>
          </cell>
          <cell r="F680" t="b">
            <v>0</v>
          </cell>
          <cell r="G680">
            <v>5731.5327734820103</v>
          </cell>
          <cell r="H680">
            <v>5731.5327734820103</v>
          </cell>
          <cell r="I680">
            <v>38</v>
          </cell>
          <cell r="J680">
            <v>5.2726683478747201E-5</v>
          </cell>
          <cell r="K680">
            <v>2978</v>
          </cell>
          <cell r="L680">
            <v>53.2100289934559</v>
          </cell>
          <cell r="M680">
            <v>2193</v>
          </cell>
          <cell r="N680">
            <v>2.64257096878005E-3</v>
          </cell>
          <cell r="O680">
            <v>2392</v>
          </cell>
          <cell r="P680">
            <v>4.55</v>
          </cell>
          <cell r="Q680">
            <v>517</v>
          </cell>
        </row>
        <row r="681">
          <cell r="B681" t="str">
            <v>COARSEGOLD 210210330</v>
          </cell>
          <cell r="C681">
            <v>254432102</v>
          </cell>
          <cell r="D681" t="str">
            <v>COARSEGOLD 2102</v>
          </cell>
          <cell r="E681">
            <v>10330</v>
          </cell>
          <cell r="F681" t="b">
            <v>0</v>
          </cell>
          <cell r="G681">
            <v>15550.3229419982</v>
          </cell>
          <cell r="H681">
            <v>15550.3229419982</v>
          </cell>
          <cell r="I681">
            <v>90</v>
          </cell>
          <cell r="J681">
            <v>7.23207393093616E-5</v>
          </cell>
          <cell r="K681">
            <v>2408</v>
          </cell>
          <cell r="L681">
            <v>118.106427894129</v>
          </cell>
          <cell r="M681">
            <v>1878</v>
          </cell>
          <cell r="N681">
            <v>6.9895721172517997E-3</v>
          </cell>
          <cell r="O681">
            <v>2092</v>
          </cell>
          <cell r="P681">
            <v>0.31</v>
          </cell>
          <cell r="Q681">
            <v>1008</v>
          </cell>
        </row>
        <row r="682">
          <cell r="B682" t="str">
            <v>COARSEGOLD 210210610</v>
          </cell>
          <cell r="C682">
            <v>254432102</v>
          </cell>
          <cell r="D682" t="str">
            <v>COARSEGOLD 2102</v>
          </cell>
          <cell r="E682">
            <v>10610</v>
          </cell>
          <cell r="F682" t="b">
            <v>0</v>
          </cell>
          <cell r="G682">
            <v>2196.7776952946801</v>
          </cell>
          <cell r="H682">
            <v>2196.7776952946801</v>
          </cell>
          <cell r="I682">
            <v>22</v>
          </cell>
          <cell r="J682">
            <v>7.4106349943163299E-5</v>
          </cell>
          <cell r="K682">
            <v>2354</v>
          </cell>
          <cell r="L682">
            <v>439.59574496803401</v>
          </cell>
          <cell r="M682">
            <v>1256</v>
          </cell>
          <cell r="N682">
            <v>3.1595302070831201E-2</v>
          </cell>
          <cell r="O682">
            <v>1435</v>
          </cell>
          <cell r="P682">
            <v>0.3</v>
          </cell>
          <cell r="Q682">
            <v>1012</v>
          </cell>
        </row>
        <row r="683">
          <cell r="B683" t="str">
            <v>COARSEGOLD 2102383092</v>
          </cell>
          <cell r="C683">
            <v>254432102</v>
          </cell>
          <cell r="D683" t="str">
            <v>COARSEGOLD 2102</v>
          </cell>
          <cell r="E683">
            <v>383092</v>
          </cell>
          <cell r="F683" t="b">
            <v>1</v>
          </cell>
          <cell r="G683">
            <v>613.19255069524002</v>
          </cell>
          <cell r="H683">
            <v>613.19255069524002</v>
          </cell>
          <cell r="I683">
            <v>5</v>
          </cell>
          <cell r="J683">
            <v>1.6062149952631401E-4</v>
          </cell>
          <cell r="K683">
            <v>636</v>
          </cell>
          <cell r="L683">
            <v>14.3241238754952</v>
          </cell>
          <cell r="M683">
            <v>2544</v>
          </cell>
          <cell r="N683">
            <v>3.6345095144976998E-3</v>
          </cell>
          <cell r="O683">
            <v>2283</v>
          </cell>
          <cell r="P683">
            <v>0.2</v>
          </cell>
          <cell r="Q683">
            <v>1163</v>
          </cell>
        </row>
        <row r="684">
          <cell r="B684" t="str">
            <v>COARSEGOLD 21025380</v>
          </cell>
          <cell r="C684">
            <v>254432102</v>
          </cell>
          <cell r="D684" t="str">
            <v>COARSEGOLD 2102</v>
          </cell>
          <cell r="E684">
            <v>5380</v>
          </cell>
          <cell r="F684" t="b">
            <v>0</v>
          </cell>
          <cell r="G684">
            <v>22971.0373915456</v>
          </cell>
          <cell r="H684">
            <v>22971.0373915456</v>
          </cell>
          <cell r="I684">
            <v>143</v>
          </cell>
          <cell r="J684">
            <v>7.8303963625369006E-5</v>
          </cell>
          <cell r="K684">
            <v>2250</v>
          </cell>
          <cell r="L684">
            <v>414.59033834254899</v>
          </cell>
          <cell r="M684">
            <v>1278</v>
          </cell>
          <cell r="N684">
            <v>3.0806330010967099E-2</v>
          </cell>
          <cell r="O684">
            <v>1448</v>
          </cell>
          <cell r="P684">
            <v>0.46</v>
          </cell>
          <cell r="Q684">
            <v>911</v>
          </cell>
        </row>
        <row r="685">
          <cell r="B685" t="str">
            <v>COARSEGOLD 21025722</v>
          </cell>
          <cell r="C685">
            <v>254432102</v>
          </cell>
          <cell r="D685" t="str">
            <v>COARSEGOLD 2102</v>
          </cell>
          <cell r="E685">
            <v>5722</v>
          </cell>
          <cell r="F685" t="b">
            <v>0</v>
          </cell>
          <cell r="G685">
            <v>3182.5998852736798</v>
          </cell>
          <cell r="H685">
            <v>3182.5998852736798</v>
          </cell>
          <cell r="I685">
            <v>23</v>
          </cell>
          <cell r="J685">
            <v>7.5357549181005498E-5</v>
          </cell>
          <cell r="K685">
            <v>2325</v>
          </cell>
          <cell r="L685">
            <v>108.595665172381</v>
          </cell>
          <cell r="M685">
            <v>1915</v>
          </cell>
          <cell r="N685">
            <v>7.6053384653583297E-3</v>
          </cell>
          <cell r="O685">
            <v>2067</v>
          </cell>
          <cell r="P685">
            <v>0.28999999999999998</v>
          </cell>
          <cell r="Q685">
            <v>1024</v>
          </cell>
        </row>
        <row r="686">
          <cell r="B686" t="str">
            <v>COARSEGOLD 2102CB</v>
          </cell>
          <cell r="C686">
            <v>254432102</v>
          </cell>
          <cell r="D686" t="str">
            <v>COARSEGOLD 2102</v>
          </cell>
          <cell r="E686" t="str">
            <v>CB</v>
          </cell>
          <cell r="F686" t="b">
            <v>0</v>
          </cell>
          <cell r="G686">
            <v>22596.9807396623</v>
          </cell>
          <cell r="H686">
            <v>22596.9807396623</v>
          </cell>
          <cell r="I686">
            <v>79</v>
          </cell>
          <cell r="J686">
            <v>8.9145891228653405E-5</v>
          </cell>
          <cell r="K686">
            <v>1941</v>
          </cell>
          <cell r="L686">
            <v>3040.7048396638802</v>
          </cell>
          <cell r="M686">
            <v>264</v>
          </cell>
          <cell r="N686">
            <v>0.27659549464213201</v>
          </cell>
          <cell r="O686">
            <v>166</v>
          </cell>
          <cell r="P686">
            <v>0.05</v>
          </cell>
          <cell r="Q686">
            <v>2045</v>
          </cell>
        </row>
        <row r="687">
          <cell r="B687" t="str">
            <v>COARSEGOLD 210310820</v>
          </cell>
          <cell r="C687">
            <v>254432103</v>
          </cell>
          <cell r="D687" t="str">
            <v>COARSEGOLD 2103</v>
          </cell>
          <cell r="E687">
            <v>10820</v>
          </cell>
          <cell r="F687" t="b">
            <v>0</v>
          </cell>
          <cell r="G687">
            <v>46507.922628356297</v>
          </cell>
          <cell r="H687">
            <v>46392.444813111899</v>
          </cell>
          <cell r="I687">
            <v>327</v>
          </cell>
          <cell r="J687">
            <v>6.2604916591650397E-5</v>
          </cell>
          <cell r="K687">
            <v>2698</v>
          </cell>
          <cell r="L687">
            <v>4312.1017925861097</v>
          </cell>
          <cell r="M687">
            <v>124</v>
          </cell>
          <cell r="N687">
            <v>0.22690087717787499</v>
          </cell>
          <cell r="O687">
            <v>266</v>
          </cell>
          <cell r="P687">
            <v>0.19</v>
          </cell>
          <cell r="Q687">
            <v>1188</v>
          </cell>
        </row>
        <row r="688">
          <cell r="B688" t="str">
            <v>COARSEGOLD 21035020</v>
          </cell>
          <cell r="C688">
            <v>254432103</v>
          </cell>
          <cell r="D688" t="str">
            <v>COARSEGOLD 2103</v>
          </cell>
          <cell r="E688">
            <v>5020</v>
          </cell>
          <cell r="F688" t="b">
            <v>0</v>
          </cell>
          <cell r="G688">
            <v>26887.651425932399</v>
          </cell>
          <cell r="H688">
            <v>26064.863402155901</v>
          </cell>
          <cell r="I688">
            <v>159</v>
          </cell>
          <cell r="J688">
            <v>8.5726262160535006E-5</v>
          </cell>
          <cell r="K688">
            <v>2036</v>
          </cell>
          <cell r="L688">
            <v>4882.5800940878898</v>
          </cell>
          <cell r="M688">
            <v>85</v>
          </cell>
          <cell r="N688">
            <v>0.36009022235933502</v>
          </cell>
          <cell r="O688">
            <v>88</v>
          </cell>
          <cell r="P688">
            <v>0.1</v>
          </cell>
          <cell r="Q688">
            <v>1468</v>
          </cell>
        </row>
        <row r="689">
          <cell r="B689" t="str">
            <v>COARSEGOLD 21036110</v>
          </cell>
          <cell r="C689">
            <v>254432103</v>
          </cell>
          <cell r="D689" t="str">
            <v>COARSEGOLD 2103</v>
          </cell>
          <cell r="E689">
            <v>6110</v>
          </cell>
          <cell r="F689" t="b">
            <v>0</v>
          </cell>
          <cell r="G689">
            <v>47929.947970760702</v>
          </cell>
          <cell r="H689">
            <v>17714.3762592393</v>
          </cell>
          <cell r="I689">
            <v>179</v>
          </cell>
          <cell r="J689">
            <v>4.1885164780856098E-5</v>
          </cell>
          <cell r="K689">
            <v>3228</v>
          </cell>
          <cell r="L689">
            <v>2595.4532179769599</v>
          </cell>
          <cell r="M689">
            <v>332</v>
          </cell>
          <cell r="N689">
            <v>0.117372435819701</v>
          </cell>
          <cell r="O689">
            <v>660</v>
          </cell>
          <cell r="P689">
            <v>0.03</v>
          </cell>
          <cell r="Q689">
            <v>2313</v>
          </cell>
        </row>
        <row r="690">
          <cell r="B690" t="str">
            <v>COARSEGOLD 2103CB</v>
          </cell>
          <cell r="C690">
            <v>254432103</v>
          </cell>
          <cell r="D690" t="str">
            <v>COARSEGOLD 2103</v>
          </cell>
          <cell r="E690" t="str">
            <v>CB</v>
          </cell>
          <cell r="F690" t="b">
            <v>0</v>
          </cell>
          <cell r="G690">
            <v>61825.449041383799</v>
          </cell>
          <cell r="H690">
            <v>61825.449041383799</v>
          </cell>
          <cell r="I690">
            <v>420</v>
          </cell>
          <cell r="J690">
            <v>1.0574680017399E-4</v>
          </cell>
          <cell r="K690">
            <v>1502</v>
          </cell>
          <cell r="L690">
            <v>2969.02897004839</v>
          </cell>
          <cell r="M690">
            <v>273</v>
          </cell>
          <cell r="N690">
            <v>0.276794979430805</v>
          </cell>
          <cell r="O690">
            <v>164</v>
          </cell>
          <cell r="P690">
            <v>0.1</v>
          </cell>
          <cell r="Q690">
            <v>1498</v>
          </cell>
        </row>
        <row r="691">
          <cell r="B691" t="str">
            <v>COARSEGOLD 210410030</v>
          </cell>
          <cell r="C691">
            <v>254432104</v>
          </cell>
          <cell r="D691" t="str">
            <v>COARSEGOLD 2104</v>
          </cell>
          <cell r="E691">
            <v>10030</v>
          </cell>
          <cell r="F691" t="b">
            <v>0</v>
          </cell>
          <cell r="G691">
            <v>59186.588492983203</v>
          </cell>
          <cell r="H691">
            <v>54599.186753335598</v>
          </cell>
          <cell r="I691">
            <v>227</v>
          </cell>
          <cell r="J691">
            <v>5.1982338089275398E-5</v>
          </cell>
          <cell r="K691">
            <v>2993</v>
          </cell>
          <cell r="L691">
            <v>5711.1734636660904</v>
          </cell>
          <cell r="M691">
            <v>43</v>
          </cell>
          <cell r="N691">
            <v>0.28655427145388601</v>
          </cell>
          <cell r="O691">
            <v>144</v>
          </cell>
          <cell r="P691">
            <v>0.04</v>
          </cell>
          <cell r="Q691">
            <v>2223</v>
          </cell>
        </row>
        <row r="692">
          <cell r="B692" t="str">
            <v>COARSEGOLD 210410110</v>
          </cell>
          <cell r="C692">
            <v>254432104</v>
          </cell>
          <cell r="D692" t="str">
            <v>COARSEGOLD 2104</v>
          </cell>
          <cell r="E692">
            <v>10110</v>
          </cell>
          <cell r="F692" t="b">
            <v>0</v>
          </cell>
          <cell r="G692">
            <v>79840.178394779796</v>
          </cell>
          <cell r="H692">
            <v>79840.178394779796</v>
          </cell>
          <cell r="I692">
            <v>518</v>
          </cell>
          <cell r="J692">
            <v>7.1891857105090196E-5</v>
          </cell>
          <cell r="K692">
            <v>2423</v>
          </cell>
          <cell r="L692">
            <v>1946.34737485759</v>
          </cell>
          <cell r="M692">
            <v>464</v>
          </cell>
          <cell r="N692">
            <v>0.14710161707907801</v>
          </cell>
          <cell r="O692">
            <v>537</v>
          </cell>
          <cell r="P692">
            <v>0.85</v>
          </cell>
          <cell r="Q692">
            <v>766</v>
          </cell>
        </row>
        <row r="693">
          <cell r="B693" t="str">
            <v>COARSEGOLD 210410335</v>
          </cell>
          <cell r="C693">
            <v>254432104</v>
          </cell>
          <cell r="D693" t="str">
            <v>COARSEGOLD 2104</v>
          </cell>
          <cell r="E693">
            <v>10335</v>
          </cell>
          <cell r="F693" t="b">
            <v>0</v>
          </cell>
          <cell r="G693">
            <v>9369.0410930619801</v>
          </cell>
          <cell r="H693">
            <v>9369.0410930619801</v>
          </cell>
          <cell r="I693">
            <v>69</v>
          </cell>
          <cell r="J693">
            <v>9.5888165758325401E-5</v>
          </cell>
          <cell r="K693">
            <v>1732</v>
          </cell>
          <cell r="L693">
            <v>4247.1440134678996</v>
          </cell>
          <cell r="M693">
            <v>133</v>
          </cell>
          <cell r="N693">
            <v>0.390816507245481</v>
          </cell>
          <cell r="O693">
            <v>66</v>
          </cell>
          <cell r="P693">
            <v>1.53</v>
          </cell>
          <cell r="Q693">
            <v>668</v>
          </cell>
        </row>
        <row r="694">
          <cell r="B694" t="str">
            <v>COARSEGOLD 210410400</v>
          </cell>
          <cell r="C694">
            <v>254432104</v>
          </cell>
          <cell r="D694" t="str">
            <v>COARSEGOLD 2104</v>
          </cell>
          <cell r="E694">
            <v>10400</v>
          </cell>
          <cell r="F694" t="b">
            <v>0</v>
          </cell>
          <cell r="G694">
            <v>72169.161501790397</v>
          </cell>
          <cell r="H694">
            <v>68567.353072295606</v>
          </cell>
          <cell r="I694">
            <v>539</v>
          </cell>
          <cell r="J694">
            <v>6.3171388548943503E-5</v>
          </cell>
          <cell r="K694">
            <v>2673</v>
          </cell>
          <cell r="L694">
            <v>4382.9111465323904</v>
          </cell>
          <cell r="M694">
            <v>117</v>
          </cell>
          <cell r="N694">
            <v>0.22825698700814301</v>
          </cell>
          <cell r="O694">
            <v>263</v>
          </cell>
          <cell r="P694">
            <v>0.67</v>
          </cell>
          <cell r="Q694">
            <v>815</v>
          </cell>
        </row>
        <row r="695">
          <cell r="B695" t="str">
            <v>COARSEGOLD 21045300</v>
          </cell>
          <cell r="C695">
            <v>254432104</v>
          </cell>
          <cell r="D695" t="str">
            <v>COARSEGOLD 2104</v>
          </cell>
          <cell r="E695">
            <v>5300</v>
          </cell>
          <cell r="F695" t="b">
            <v>0</v>
          </cell>
          <cell r="G695">
            <v>89782.936543034899</v>
          </cell>
          <cell r="H695">
            <v>89782.936543034899</v>
          </cell>
          <cell r="I695">
            <v>507</v>
          </cell>
          <cell r="J695">
            <v>6.1291991604319198E-5</v>
          </cell>
          <cell r="K695">
            <v>2742</v>
          </cell>
          <cell r="L695">
            <v>5197.3797304670898</v>
          </cell>
          <cell r="M695">
            <v>62</v>
          </cell>
          <cell r="N695">
            <v>0.28371918990226003</v>
          </cell>
          <cell r="O695">
            <v>151</v>
          </cell>
          <cell r="P695">
            <v>0.2</v>
          </cell>
          <cell r="Q695">
            <v>1159</v>
          </cell>
        </row>
        <row r="696">
          <cell r="B696" t="str">
            <v>COARSEGOLD 21045310</v>
          </cell>
          <cell r="C696">
            <v>254432104</v>
          </cell>
          <cell r="D696" t="str">
            <v>COARSEGOLD 2104</v>
          </cell>
          <cell r="E696">
            <v>5310</v>
          </cell>
          <cell r="F696" t="b">
            <v>0</v>
          </cell>
          <cell r="G696">
            <v>45195.508783565201</v>
          </cell>
          <cell r="H696">
            <v>45195.508783565201</v>
          </cell>
          <cell r="I696">
            <v>299</v>
          </cell>
          <cell r="J696">
            <v>6.7328835732564793E-5</v>
          </cell>
          <cell r="K696">
            <v>2551</v>
          </cell>
          <cell r="L696">
            <v>6694.8526021862099</v>
          </cell>
          <cell r="M696">
            <v>15</v>
          </cell>
          <cell r="N696">
            <v>0.39400531141001299</v>
          </cell>
          <cell r="O696">
            <v>61</v>
          </cell>
          <cell r="P696">
            <v>19.510000000000002</v>
          </cell>
          <cell r="Q696">
            <v>312</v>
          </cell>
        </row>
        <row r="697">
          <cell r="B697" t="str">
            <v>COARSEGOLD 21045525</v>
          </cell>
          <cell r="C697">
            <v>254432104</v>
          </cell>
          <cell r="D697" t="str">
            <v>COARSEGOLD 2104</v>
          </cell>
          <cell r="E697">
            <v>5525</v>
          </cell>
          <cell r="F697" t="b">
            <v>0</v>
          </cell>
          <cell r="G697">
            <v>21152.716483263699</v>
          </cell>
          <cell r="H697">
            <v>21152.716483263699</v>
          </cell>
          <cell r="I697">
            <v>175</v>
          </cell>
          <cell r="J697">
            <v>5.9719232532578203E-5</v>
          </cell>
          <cell r="K697">
            <v>2783</v>
          </cell>
          <cell r="L697">
            <v>5306.8404430234796</v>
          </cell>
          <cell r="M697">
            <v>53</v>
          </cell>
          <cell r="N697">
            <v>0.31171253955519501</v>
          </cell>
          <cell r="O697">
            <v>124</v>
          </cell>
          <cell r="P697">
            <v>0.17</v>
          </cell>
          <cell r="Q697">
            <v>1227</v>
          </cell>
        </row>
        <row r="698">
          <cell r="B698" t="str">
            <v>COARSEGOLD 2104570682</v>
          </cell>
          <cell r="C698">
            <v>254432104</v>
          </cell>
          <cell r="D698" t="str">
            <v>COARSEGOLD 2104</v>
          </cell>
          <cell r="E698">
            <v>570682</v>
          </cell>
          <cell r="F698" t="b">
            <v>0</v>
          </cell>
          <cell r="G698">
            <v>3264.3372351768999</v>
          </cell>
          <cell r="H698">
            <v>3264.3372351768999</v>
          </cell>
          <cell r="I698">
            <v>26</v>
          </cell>
          <cell r="J698">
            <v>9.6835815733916495E-5</v>
          </cell>
          <cell r="K698">
            <v>1718</v>
          </cell>
          <cell r="L698">
            <v>4471.4182671173803</v>
          </cell>
          <cell r="M698">
            <v>111</v>
          </cell>
          <cell r="N698">
            <v>0.37305848977560202</v>
          </cell>
          <cell r="O698">
            <v>78</v>
          </cell>
          <cell r="P698">
            <v>5.65</v>
          </cell>
          <cell r="Q698">
            <v>481</v>
          </cell>
        </row>
        <row r="699">
          <cell r="B699" t="str">
            <v>COARSEGOLD 21046210</v>
          </cell>
          <cell r="C699">
            <v>254432104</v>
          </cell>
          <cell r="D699" t="str">
            <v>COARSEGOLD 2104</v>
          </cell>
          <cell r="E699">
            <v>6210</v>
          </cell>
          <cell r="F699" t="b">
            <v>0</v>
          </cell>
          <cell r="G699">
            <v>17177.2502873827</v>
          </cell>
          <cell r="H699">
            <v>17177.2502873827</v>
          </cell>
          <cell r="I699">
            <v>49</v>
          </cell>
          <cell r="J699">
            <v>4.86093158171421E-5</v>
          </cell>
          <cell r="K699">
            <v>3072</v>
          </cell>
          <cell r="L699">
            <v>5877.8631385695498</v>
          </cell>
          <cell r="M699">
            <v>34</v>
          </cell>
          <cell r="N699">
            <v>0.30464799958532601</v>
          </cell>
          <cell r="O699">
            <v>132</v>
          </cell>
          <cell r="P699">
            <v>0.06</v>
          </cell>
          <cell r="Q699">
            <v>1874</v>
          </cell>
        </row>
        <row r="700">
          <cell r="B700" t="str">
            <v>COARSEGOLD 210490356</v>
          </cell>
          <cell r="C700">
            <v>254432104</v>
          </cell>
          <cell r="D700" t="str">
            <v>COARSEGOLD 2104</v>
          </cell>
          <cell r="E700">
            <v>90356</v>
          </cell>
          <cell r="F700" t="b">
            <v>0</v>
          </cell>
          <cell r="G700">
            <v>27619.143076496999</v>
          </cell>
          <cell r="H700">
            <v>7749.0513302211002</v>
          </cell>
          <cell r="I700">
            <v>148</v>
          </cell>
          <cell r="J700">
            <v>4.5741230803274701E-5</v>
          </cell>
          <cell r="K700">
            <v>3146</v>
          </cell>
          <cell r="L700">
            <v>2250.7696063510898</v>
          </cell>
          <cell r="M700">
            <v>393</v>
          </cell>
          <cell r="N700">
            <v>0.101885401270613</v>
          </cell>
          <cell r="O700">
            <v>752</v>
          </cell>
          <cell r="P700">
            <v>0.02</v>
          </cell>
          <cell r="Q700">
            <v>2540</v>
          </cell>
        </row>
        <row r="701">
          <cell r="B701" t="str">
            <v>COARSEGOLD 2104CB</v>
          </cell>
          <cell r="C701">
            <v>254432104</v>
          </cell>
          <cell r="D701" t="str">
            <v>COARSEGOLD 2104</v>
          </cell>
          <cell r="E701" t="str">
            <v>CB</v>
          </cell>
          <cell r="F701" t="b">
            <v>0</v>
          </cell>
          <cell r="G701">
            <v>3906.1429863930698</v>
          </cell>
          <cell r="H701">
            <v>3906.1429863930698</v>
          </cell>
          <cell r="I701">
            <v>27</v>
          </cell>
          <cell r="J701">
            <v>1.3158950942279501E-4</v>
          </cell>
          <cell r="K701">
            <v>989</v>
          </cell>
          <cell r="L701">
            <v>4767.3932291666597</v>
          </cell>
          <cell r="M701">
            <v>95</v>
          </cell>
          <cell r="N701">
            <v>0.59573443681964799</v>
          </cell>
          <cell r="O701">
            <v>22</v>
          </cell>
          <cell r="P701">
            <v>2.54</v>
          </cell>
          <cell r="Q701">
            <v>600</v>
          </cell>
        </row>
        <row r="702">
          <cell r="B702" t="str">
            <v>COAST RD 04015134</v>
          </cell>
          <cell r="C702">
            <v>88820401</v>
          </cell>
          <cell r="D702" t="str">
            <v>COAST RD 0401</v>
          </cell>
          <cell r="E702">
            <v>5134</v>
          </cell>
          <cell r="F702" t="b">
            <v>0</v>
          </cell>
          <cell r="G702">
            <v>4886.1695063641801</v>
          </cell>
          <cell r="H702">
            <v>1018.61975966355</v>
          </cell>
          <cell r="I702">
            <v>23</v>
          </cell>
          <cell r="J702">
            <v>6.0193945046194097E-5</v>
          </cell>
          <cell r="K702">
            <v>2767</v>
          </cell>
          <cell r="L702">
            <v>173.14789980455501</v>
          </cell>
          <cell r="M702">
            <v>1703</v>
          </cell>
          <cell r="N702">
            <v>2.49222807803199E-2</v>
          </cell>
          <cell r="O702">
            <v>1564</v>
          </cell>
          <cell r="P702">
            <v>0.02</v>
          </cell>
          <cell r="Q702">
            <v>2554</v>
          </cell>
        </row>
        <row r="703">
          <cell r="B703" t="str">
            <v>COLUMBIA HILL 11012212</v>
          </cell>
          <cell r="C703">
            <v>152471101</v>
          </cell>
          <cell r="D703" t="str">
            <v>COLUMBIA HILL 1101</v>
          </cell>
          <cell r="E703">
            <v>2212</v>
          </cell>
          <cell r="F703" t="b">
            <v>0</v>
          </cell>
          <cell r="G703">
            <v>14695.9753642786</v>
          </cell>
          <cell r="H703">
            <v>14695.9753642786</v>
          </cell>
          <cell r="I703">
            <v>76</v>
          </cell>
          <cell r="J703">
            <v>2.2108212071639399E-4</v>
          </cell>
          <cell r="K703">
            <v>315</v>
          </cell>
          <cell r="L703">
            <v>358.48440372144398</v>
          </cell>
          <cell r="M703">
            <v>1358</v>
          </cell>
          <cell r="N703">
            <v>0.129220133563656</v>
          </cell>
          <cell r="O703">
            <v>606</v>
          </cell>
          <cell r="P703">
            <v>41.81</v>
          </cell>
          <cell r="Q703">
            <v>174</v>
          </cell>
        </row>
        <row r="704">
          <cell r="B704" t="str">
            <v>COLUMBIA HILL 110135424</v>
          </cell>
          <cell r="C704">
            <v>152471101</v>
          </cell>
          <cell r="D704" t="str">
            <v>COLUMBIA HILL 1101</v>
          </cell>
          <cell r="E704">
            <v>35424</v>
          </cell>
          <cell r="F704" t="b">
            <v>0</v>
          </cell>
          <cell r="G704">
            <v>22308.071878385399</v>
          </cell>
          <cell r="H704">
            <v>22308.071878385399</v>
          </cell>
          <cell r="I704">
            <v>147</v>
          </cell>
          <cell r="J704">
            <v>2.0735602789054701E-4</v>
          </cell>
          <cell r="K704">
            <v>374</v>
          </cell>
          <cell r="L704">
            <v>171.139190777555</v>
          </cell>
          <cell r="M704">
            <v>1711</v>
          </cell>
          <cell r="N704">
            <v>2.3757024880251498E-2</v>
          </cell>
          <cell r="O704">
            <v>1580</v>
          </cell>
          <cell r="P704">
            <v>74.11</v>
          </cell>
          <cell r="Q704">
            <v>58</v>
          </cell>
        </row>
        <row r="705">
          <cell r="B705" t="str">
            <v>COLUMBIA HILL 1101764</v>
          </cell>
          <cell r="C705">
            <v>152471101</v>
          </cell>
          <cell r="D705" t="str">
            <v>COLUMBIA HILL 1101</v>
          </cell>
          <cell r="E705">
            <v>764</v>
          </cell>
          <cell r="F705" t="b">
            <v>0</v>
          </cell>
          <cell r="G705">
            <v>23643.468018417199</v>
          </cell>
          <cell r="H705">
            <v>23643.468018417199</v>
          </cell>
          <cell r="I705">
            <v>146</v>
          </cell>
          <cell r="J705">
            <v>1.2365795977028199E-4</v>
          </cell>
          <cell r="K705">
            <v>1128</v>
          </cell>
          <cell r="L705">
            <v>171.50320498521</v>
          </cell>
          <cell r="M705">
            <v>1710</v>
          </cell>
          <cell r="N705">
            <v>2.3389227444473099E-2</v>
          </cell>
          <cell r="O705">
            <v>1590</v>
          </cell>
          <cell r="P705">
            <v>57.88</v>
          </cell>
          <cell r="Q705">
            <v>95</v>
          </cell>
        </row>
        <row r="706">
          <cell r="B706" t="str">
            <v>COLUMBIA HILL 11018233</v>
          </cell>
          <cell r="C706">
            <v>152471101</v>
          </cell>
          <cell r="D706" t="str">
            <v>COLUMBIA HILL 1101</v>
          </cell>
          <cell r="E706">
            <v>8233</v>
          </cell>
          <cell r="F706" t="b">
            <v>0</v>
          </cell>
          <cell r="G706">
            <v>7978.7453310697501</v>
          </cell>
          <cell r="H706">
            <v>7978.7453310697501</v>
          </cell>
          <cell r="I706">
            <v>51</v>
          </cell>
          <cell r="J706">
            <v>7.9873241809443196E-5</v>
          </cell>
          <cell r="K706">
            <v>2208</v>
          </cell>
          <cell r="L706">
            <v>109.576342711968</v>
          </cell>
          <cell r="M706">
            <v>1910</v>
          </cell>
          <cell r="N706">
            <v>8.4670298786183196E-3</v>
          </cell>
          <cell r="O706">
            <v>2034</v>
          </cell>
          <cell r="P706">
            <v>41.72</v>
          </cell>
          <cell r="Q706">
            <v>175</v>
          </cell>
        </row>
        <row r="707">
          <cell r="B707" t="str">
            <v>COLUMBIA HILL 110190730</v>
          </cell>
          <cell r="C707">
            <v>152471101</v>
          </cell>
          <cell r="D707" t="str">
            <v>COLUMBIA HILL 1101</v>
          </cell>
          <cell r="E707">
            <v>90730</v>
          </cell>
          <cell r="F707" t="b">
            <v>0</v>
          </cell>
          <cell r="G707">
            <v>13402.9330833554</v>
          </cell>
          <cell r="H707">
            <v>13402.9330833554</v>
          </cell>
          <cell r="I707">
            <v>77</v>
          </cell>
          <cell r="J707">
            <v>2.22405653757605E-4</v>
          </cell>
          <cell r="K707">
            <v>309</v>
          </cell>
          <cell r="L707">
            <v>801.50271125480799</v>
          </cell>
          <cell r="M707">
            <v>942</v>
          </cell>
          <cell r="N707">
            <v>0.17712079773963299</v>
          </cell>
          <cell r="O707">
            <v>408</v>
          </cell>
          <cell r="P707">
            <v>7.0000000000000007E-2</v>
          </cell>
          <cell r="Q707">
            <v>1738</v>
          </cell>
        </row>
        <row r="708">
          <cell r="B708" t="str">
            <v>COLUMBIA HILL 1101CB</v>
          </cell>
          <cell r="C708">
            <v>152471101</v>
          </cell>
          <cell r="D708" t="str">
            <v>COLUMBIA HILL 1101</v>
          </cell>
          <cell r="E708" t="str">
            <v>CB</v>
          </cell>
          <cell r="F708" t="b">
            <v>0</v>
          </cell>
          <cell r="G708">
            <v>63324.334517814998</v>
          </cell>
          <cell r="H708">
            <v>63324.334517814998</v>
          </cell>
          <cell r="I708">
            <v>375</v>
          </cell>
          <cell r="J708">
            <v>1.4192427895830199E-4</v>
          </cell>
          <cell r="K708">
            <v>841</v>
          </cell>
          <cell r="L708">
            <v>477.86271974676202</v>
          </cell>
          <cell r="M708">
            <v>1217</v>
          </cell>
          <cell r="N708">
            <v>5.8366637035951498E-2</v>
          </cell>
          <cell r="O708">
            <v>1077</v>
          </cell>
          <cell r="P708">
            <v>0.76</v>
          </cell>
          <cell r="Q708">
            <v>785</v>
          </cell>
        </row>
        <row r="709">
          <cell r="B709" t="str">
            <v>COPPERMINE 1104556430</v>
          </cell>
          <cell r="C709">
            <v>252411104</v>
          </cell>
          <cell r="D709" t="str">
            <v>COPPERMINE 1104</v>
          </cell>
          <cell r="E709">
            <v>556430</v>
          </cell>
          <cell r="F709" t="b">
            <v>0</v>
          </cell>
          <cell r="G709">
            <v>26122.847008330798</v>
          </cell>
          <cell r="H709">
            <v>7792.84408603271</v>
          </cell>
          <cell r="I709">
            <v>122</v>
          </cell>
          <cell r="J709">
            <v>1.6369173998791899E-5</v>
          </cell>
          <cell r="K709">
            <v>3574</v>
          </cell>
          <cell r="L709">
            <v>2433.0685519327499</v>
          </cell>
          <cell r="M709">
            <v>354</v>
          </cell>
          <cell r="N709">
            <v>4.1062694325661502E-2</v>
          </cell>
          <cell r="O709">
            <v>1286</v>
          </cell>
          <cell r="Q709">
            <v>3028</v>
          </cell>
        </row>
        <row r="710">
          <cell r="B710" t="str">
            <v>COPPERMINE 1104613086</v>
          </cell>
          <cell r="C710">
            <v>252411104</v>
          </cell>
          <cell r="D710" t="str">
            <v>COPPERMINE 1104</v>
          </cell>
          <cell r="E710">
            <v>613086</v>
          </cell>
          <cell r="F710" t="b">
            <v>0</v>
          </cell>
          <cell r="G710">
            <v>14704.7374743769</v>
          </cell>
          <cell r="H710">
            <v>8243.1423659440497</v>
          </cell>
          <cell r="I710">
            <v>63</v>
          </cell>
          <cell r="J710">
            <v>2.9813836106533801E-5</v>
          </cell>
          <cell r="K710">
            <v>3430</v>
          </cell>
          <cell r="L710">
            <v>6359.1487427858801</v>
          </cell>
          <cell r="M710">
            <v>20</v>
          </cell>
          <cell r="N710">
            <v>0.193914212850889</v>
          </cell>
          <cell r="O710">
            <v>354</v>
          </cell>
          <cell r="Q710">
            <v>2913</v>
          </cell>
        </row>
        <row r="711">
          <cell r="B711" t="str">
            <v>CORNING 110135974</v>
          </cell>
          <cell r="C711">
            <v>103331101</v>
          </cell>
          <cell r="D711" t="str">
            <v>CORNING 1101</v>
          </cell>
          <cell r="E711">
            <v>35974</v>
          </cell>
          <cell r="F711" t="b">
            <v>1</v>
          </cell>
          <cell r="G711">
            <v>1338.7863047928499</v>
          </cell>
          <cell r="H711">
            <v>398.87387082201099</v>
          </cell>
          <cell r="I711">
            <v>11</v>
          </cell>
          <cell r="J711">
            <v>7.6844908471684895E-5</v>
          </cell>
          <cell r="K711">
            <v>2289</v>
          </cell>
          <cell r="L711">
            <v>4333.8495392944496</v>
          </cell>
          <cell r="M711">
            <v>119</v>
          </cell>
          <cell r="N711">
            <v>0.34403854476771401</v>
          </cell>
          <cell r="O711">
            <v>101</v>
          </cell>
          <cell r="P711">
            <v>0.03</v>
          </cell>
          <cell r="Q711">
            <v>2393</v>
          </cell>
        </row>
        <row r="712">
          <cell r="B712" t="str">
            <v>CORNING 110164090</v>
          </cell>
          <cell r="C712">
            <v>103331101</v>
          </cell>
          <cell r="D712" t="str">
            <v>CORNING 1101</v>
          </cell>
          <cell r="E712">
            <v>64090</v>
          </cell>
          <cell r="F712" t="b">
            <v>0</v>
          </cell>
          <cell r="G712">
            <v>21993.720013435301</v>
          </cell>
          <cell r="H712">
            <v>21993.720013435301</v>
          </cell>
          <cell r="I712">
            <v>170</v>
          </cell>
          <cell r="J712">
            <v>4.4335668651092897E-5</v>
          </cell>
          <cell r="K712">
            <v>3181</v>
          </cell>
          <cell r="L712">
            <v>3248.9700741367801</v>
          </cell>
          <cell r="M712">
            <v>228</v>
          </cell>
          <cell r="N712">
            <v>0.14440326478722801</v>
          </cell>
          <cell r="O712">
            <v>549</v>
          </cell>
          <cell r="P712">
            <v>4.9400000000000004</v>
          </cell>
          <cell r="Q712">
            <v>501</v>
          </cell>
        </row>
        <row r="713">
          <cell r="B713" t="str">
            <v>CORNING 110182846</v>
          </cell>
          <cell r="C713">
            <v>103331101</v>
          </cell>
          <cell r="D713" t="str">
            <v>CORNING 1101</v>
          </cell>
          <cell r="E713">
            <v>82846</v>
          </cell>
          <cell r="F713" t="b">
            <v>0</v>
          </cell>
          <cell r="G713">
            <v>8140.1206880516802</v>
          </cell>
          <cell r="H713">
            <v>7626.8315543123699</v>
          </cell>
          <cell r="I713">
            <v>61</v>
          </cell>
          <cell r="J713">
            <v>4.6570354064241301E-5</v>
          </cell>
          <cell r="K713">
            <v>3125</v>
          </cell>
          <cell r="L713">
            <v>3781.4967016564801</v>
          </cell>
          <cell r="M713">
            <v>171</v>
          </cell>
          <cell r="N713">
            <v>0.16626327911488101</v>
          </cell>
          <cell r="O713">
            <v>446</v>
          </cell>
          <cell r="P713">
            <v>0.09</v>
          </cell>
          <cell r="Q713">
            <v>1543</v>
          </cell>
        </row>
        <row r="714">
          <cell r="B714" t="str">
            <v>CORNING 110185152</v>
          </cell>
          <cell r="C714">
            <v>103331101</v>
          </cell>
          <cell r="D714" t="str">
            <v>CORNING 1101</v>
          </cell>
          <cell r="E714">
            <v>85152</v>
          </cell>
          <cell r="F714" t="b">
            <v>0</v>
          </cell>
          <cell r="G714">
            <v>37332.138377421797</v>
          </cell>
          <cell r="H714">
            <v>37332.138377421797</v>
          </cell>
          <cell r="I714">
            <v>279</v>
          </cell>
          <cell r="J714">
            <v>4.4130347611751401E-5</v>
          </cell>
          <cell r="K714">
            <v>3188</v>
          </cell>
          <cell r="L714">
            <v>1657.8134405915901</v>
          </cell>
          <cell r="M714">
            <v>539</v>
          </cell>
          <cell r="N714">
            <v>6.8982982030083906E-2</v>
          </cell>
          <cell r="O714">
            <v>986</v>
          </cell>
          <cell r="P714">
            <v>8.1999999999999993</v>
          </cell>
          <cell r="Q714">
            <v>433</v>
          </cell>
        </row>
        <row r="715">
          <cell r="B715" t="str">
            <v>CORNING 110185162</v>
          </cell>
          <cell r="C715">
            <v>103331101</v>
          </cell>
          <cell r="D715" t="str">
            <v>CORNING 1101</v>
          </cell>
          <cell r="E715">
            <v>85162</v>
          </cell>
          <cell r="F715" t="b">
            <v>0</v>
          </cell>
          <cell r="G715">
            <v>9267.4821464422894</v>
          </cell>
          <cell r="H715">
            <v>9267.4821464422894</v>
          </cell>
          <cell r="I715">
            <v>28</v>
          </cell>
          <cell r="J715">
            <v>4.8495293932709101E-5</v>
          </cell>
          <cell r="K715">
            <v>3077</v>
          </cell>
          <cell r="L715">
            <v>5246.1165488265096</v>
          </cell>
          <cell r="M715">
            <v>57</v>
          </cell>
          <cell r="N715">
            <v>0.25890116908788402</v>
          </cell>
          <cell r="O715">
            <v>200</v>
          </cell>
          <cell r="P715">
            <v>0.09</v>
          </cell>
          <cell r="Q715">
            <v>1512</v>
          </cell>
        </row>
        <row r="716">
          <cell r="B716" t="str">
            <v>CORNING 110187304</v>
          </cell>
          <cell r="C716">
            <v>103331101</v>
          </cell>
          <cell r="D716" t="str">
            <v>CORNING 1101</v>
          </cell>
          <cell r="E716">
            <v>87304</v>
          </cell>
          <cell r="F716" t="b">
            <v>0</v>
          </cell>
          <cell r="G716">
            <v>23764.158369123699</v>
          </cell>
          <cell r="H716">
            <v>4634.81194437064</v>
          </cell>
          <cell r="I716">
            <v>100</v>
          </cell>
          <cell r="J716">
            <v>1.0497287097677999E-4</v>
          </cell>
          <cell r="K716">
            <v>1530</v>
          </cell>
          <cell r="L716">
            <v>1066.2761023261301</v>
          </cell>
          <cell r="M716">
            <v>788</v>
          </cell>
          <cell r="N716">
            <v>8.5339023308474399E-2</v>
          </cell>
          <cell r="O716">
            <v>858</v>
          </cell>
          <cell r="P716">
            <v>0.01</v>
          </cell>
          <cell r="Q716">
            <v>2567</v>
          </cell>
        </row>
        <row r="717">
          <cell r="B717" t="str">
            <v>CORNING 11021622</v>
          </cell>
          <cell r="C717">
            <v>103331102</v>
          </cell>
          <cell r="D717" t="str">
            <v>CORNING 1102</v>
          </cell>
          <cell r="E717">
            <v>1622</v>
          </cell>
          <cell r="F717" t="b">
            <v>0</v>
          </cell>
          <cell r="G717">
            <v>54701.964393993097</v>
          </cell>
          <cell r="H717">
            <v>54701.964393993097</v>
          </cell>
          <cell r="I717">
            <v>126</v>
          </cell>
          <cell r="J717">
            <v>4.7553820213726098E-5</v>
          </cell>
          <cell r="K717">
            <v>3098</v>
          </cell>
          <cell r="L717">
            <v>5068.1115997094903</v>
          </cell>
          <cell r="M717">
            <v>70</v>
          </cell>
          <cell r="N717">
            <v>0.22413206939667801</v>
          </cell>
          <cell r="O717">
            <v>276</v>
          </cell>
          <cell r="P717">
            <v>0.15</v>
          </cell>
          <cell r="Q717">
            <v>1289</v>
          </cell>
        </row>
        <row r="718">
          <cell r="B718" t="str">
            <v>CORNING 110253184</v>
          </cell>
          <cell r="C718">
            <v>103331102</v>
          </cell>
          <cell r="D718" t="str">
            <v>CORNING 1102</v>
          </cell>
          <cell r="E718">
            <v>53184</v>
          </cell>
          <cell r="F718" t="b">
            <v>0</v>
          </cell>
          <cell r="G718">
            <v>51204.652673653</v>
          </cell>
          <cell r="H718">
            <v>51204.652673653</v>
          </cell>
          <cell r="I718">
            <v>123</v>
          </cell>
          <cell r="J718">
            <v>4.4635036378383299E-5</v>
          </cell>
          <cell r="K718">
            <v>3174</v>
          </cell>
          <cell r="L718">
            <v>4517.1008467049896</v>
          </cell>
          <cell r="M718">
            <v>106</v>
          </cell>
          <cell r="N718">
            <v>0.17543949260762901</v>
          </cell>
          <cell r="O718">
            <v>413</v>
          </cell>
          <cell r="P718">
            <v>0.06</v>
          </cell>
          <cell r="Q718">
            <v>1844</v>
          </cell>
        </row>
        <row r="719">
          <cell r="B719" t="str">
            <v>CORNING 110290036</v>
          </cell>
          <cell r="C719">
            <v>103331102</v>
          </cell>
          <cell r="D719" t="str">
            <v>CORNING 1102</v>
          </cell>
          <cell r="E719">
            <v>90036</v>
          </cell>
          <cell r="F719" t="b">
            <v>0</v>
          </cell>
          <cell r="G719">
            <v>23187.522111200298</v>
          </cell>
          <cell r="H719">
            <v>21561.176213333601</v>
          </cell>
          <cell r="I719">
            <v>87</v>
          </cell>
          <cell r="J719">
            <v>7.3822263749163798E-5</v>
          </cell>
          <cell r="K719">
            <v>2364</v>
          </cell>
          <cell r="L719">
            <v>4520.2585180078704</v>
          </cell>
          <cell r="M719">
            <v>105</v>
          </cell>
          <cell r="N719">
            <v>0.24724492712705701</v>
          </cell>
          <cell r="O719">
            <v>221</v>
          </cell>
          <cell r="P719">
            <v>0.1</v>
          </cell>
          <cell r="Q719">
            <v>1505</v>
          </cell>
        </row>
        <row r="720">
          <cell r="B720" t="str">
            <v>CORNING 1102915324</v>
          </cell>
          <cell r="C720">
            <v>103331102</v>
          </cell>
          <cell r="D720" t="str">
            <v>CORNING 1102</v>
          </cell>
          <cell r="E720">
            <v>915324</v>
          </cell>
          <cell r="F720" t="b">
            <v>0</v>
          </cell>
          <cell r="G720">
            <v>5487.5306401592698</v>
          </cell>
          <cell r="H720">
            <v>3584.8296130867998</v>
          </cell>
          <cell r="I720">
            <v>27</v>
          </cell>
          <cell r="J720">
            <v>4.7601178502426802E-5</v>
          </cell>
          <cell r="K720">
            <v>3097</v>
          </cell>
          <cell r="L720">
            <v>3729.4821140468998</v>
          </cell>
          <cell r="M720">
            <v>179</v>
          </cell>
          <cell r="N720">
            <v>0.16318500201783101</v>
          </cell>
          <cell r="O720">
            <v>457</v>
          </cell>
          <cell r="Q720">
            <v>3321</v>
          </cell>
        </row>
        <row r="721">
          <cell r="B721" t="str">
            <v>CORONA 1103114284</v>
          </cell>
          <cell r="C721">
            <v>43491103</v>
          </cell>
          <cell r="D721" t="str">
            <v>CORONA 1103</v>
          </cell>
          <cell r="E721">
            <v>114284</v>
          </cell>
          <cell r="F721" t="b">
            <v>1</v>
          </cell>
          <cell r="G721">
            <v>893.78628356568197</v>
          </cell>
          <cell r="H721">
            <v>451.73257590432002</v>
          </cell>
          <cell r="I721">
            <v>11</v>
          </cell>
          <cell r="J721">
            <v>8.3714594893535805E-5</v>
          </cell>
          <cell r="K721">
            <v>2102</v>
          </cell>
          <cell r="L721">
            <v>4.3909334495108299</v>
          </cell>
          <cell r="M721">
            <v>2770</v>
          </cell>
          <cell r="N721">
            <v>2.25474411370669E-4</v>
          </cell>
          <cell r="O721">
            <v>2824</v>
          </cell>
          <cell r="Q721">
            <v>3236</v>
          </cell>
        </row>
        <row r="722">
          <cell r="B722" t="str">
            <v>CORONA 11034446</v>
          </cell>
          <cell r="C722">
            <v>43491103</v>
          </cell>
          <cell r="D722" t="str">
            <v>CORONA 1103</v>
          </cell>
          <cell r="E722">
            <v>4446</v>
          </cell>
          <cell r="F722" t="b">
            <v>1</v>
          </cell>
          <cell r="G722">
            <v>17302.763457771802</v>
          </cell>
          <cell r="H722">
            <v>0</v>
          </cell>
          <cell r="I722">
            <v>124</v>
          </cell>
          <cell r="J722">
            <v>4.9276904027783101E-5</v>
          </cell>
          <cell r="K722">
            <v>3056</v>
          </cell>
          <cell r="L722">
            <v>12.6776056546208</v>
          </cell>
          <cell r="M722">
            <v>2575</v>
          </cell>
          <cell r="N722">
            <v>8.4051530464214095E-4</v>
          </cell>
          <cell r="O722">
            <v>2665</v>
          </cell>
          <cell r="P722">
            <v>0.04</v>
          </cell>
          <cell r="Q722">
            <v>2135</v>
          </cell>
        </row>
        <row r="723">
          <cell r="B723" t="str">
            <v>CORONA 1103776806</v>
          </cell>
          <cell r="C723">
            <v>43491103</v>
          </cell>
          <cell r="D723" t="str">
            <v>CORONA 1103</v>
          </cell>
          <cell r="E723">
            <v>776806</v>
          </cell>
          <cell r="F723" t="b">
            <v>1</v>
          </cell>
          <cell r="G723">
            <v>1634.48759993967</v>
          </cell>
          <cell r="H723">
            <v>412.40968625601198</v>
          </cell>
          <cell r="I723">
            <v>15</v>
          </cell>
          <cell r="J723">
            <v>4.09978127815217E-5</v>
          </cell>
          <cell r="K723">
            <v>3244</v>
          </cell>
          <cell r="L723">
            <v>13.7861356822898</v>
          </cell>
          <cell r="M723">
            <v>2555</v>
          </cell>
          <cell r="N723">
            <v>5.8477088222556905E-4</v>
          </cell>
          <cell r="O723">
            <v>2714</v>
          </cell>
          <cell r="Q723">
            <v>3094</v>
          </cell>
        </row>
        <row r="724">
          <cell r="B724" t="str">
            <v>CORRAL 110112606</v>
          </cell>
          <cell r="C724">
            <v>162991101</v>
          </cell>
          <cell r="D724" t="str">
            <v>CORRAL 1101</v>
          </cell>
          <cell r="E724">
            <v>12606</v>
          </cell>
          <cell r="F724" t="b">
            <v>0</v>
          </cell>
          <cell r="G724">
            <v>36144.365974001499</v>
          </cell>
          <cell r="H724">
            <v>36144.365974001499</v>
          </cell>
          <cell r="I724">
            <v>216</v>
          </cell>
          <cell r="J724">
            <v>6.3081245423026494E-5</v>
          </cell>
          <cell r="K724">
            <v>2677</v>
          </cell>
          <cell r="L724">
            <v>1680.4041711658399</v>
          </cell>
          <cell r="M724">
            <v>528</v>
          </cell>
          <cell r="N724">
            <v>0.103923983682122</v>
          </cell>
          <cell r="O724">
            <v>741</v>
          </cell>
          <cell r="P724">
            <v>3.18</v>
          </cell>
          <cell r="Q724">
            <v>556</v>
          </cell>
        </row>
        <row r="725">
          <cell r="B725" t="str">
            <v>CORRAL 110112608</v>
          </cell>
          <cell r="C725">
            <v>162991101</v>
          </cell>
          <cell r="D725" t="str">
            <v>CORRAL 1101</v>
          </cell>
          <cell r="E725">
            <v>12608</v>
          </cell>
          <cell r="F725" t="b">
            <v>0</v>
          </cell>
          <cell r="G725">
            <v>27131.102658634602</v>
          </cell>
          <cell r="H725">
            <v>27131.102658634602</v>
          </cell>
          <cell r="I725">
            <v>187</v>
          </cell>
          <cell r="J725">
            <v>6.2934815265607998E-5</v>
          </cell>
          <cell r="K725">
            <v>2683</v>
          </cell>
          <cell r="L725">
            <v>3772.46196542593</v>
          </cell>
          <cell r="M725">
            <v>174</v>
          </cell>
          <cell r="N725">
            <v>0.23544923991615599</v>
          </cell>
          <cell r="O725">
            <v>246</v>
          </cell>
          <cell r="P725">
            <v>11.8</v>
          </cell>
          <cell r="Q725">
            <v>381</v>
          </cell>
        </row>
        <row r="726">
          <cell r="B726" t="str">
            <v>CORRAL 110112612</v>
          </cell>
          <cell r="C726">
            <v>162991101</v>
          </cell>
          <cell r="D726" t="str">
            <v>CORRAL 1101</v>
          </cell>
          <cell r="E726">
            <v>12612</v>
          </cell>
          <cell r="F726" t="b">
            <v>0</v>
          </cell>
          <cell r="G726">
            <v>32502.266179572802</v>
          </cell>
          <cell r="H726">
            <v>31091.450973488001</v>
          </cell>
          <cell r="I726">
            <v>195</v>
          </cell>
          <cell r="J726">
            <v>7.8142874552137602E-5</v>
          </cell>
          <cell r="K726">
            <v>2254</v>
          </cell>
          <cell r="L726">
            <v>2667.8797455287399</v>
          </cell>
          <cell r="M726">
            <v>319</v>
          </cell>
          <cell r="N726">
            <v>0.180951227840076</v>
          </cell>
          <cell r="O726">
            <v>397</v>
          </cell>
          <cell r="P726">
            <v>3.37</v>
          </cell>
          <cell r="Q726">
            <v>549</v>
          </cell>
        </row>
        <row r="727">
          <cell r="B727" t="str">
            <v>CORRAL 110136652</v>
          </cell>
          <cell r="C727">
            <v>162991101</v>
          </cell>
          <cell r="D727" t="str">
            <v>CORRAL 1101</v>
          </cell>
          <cell r="E727">
            <v>36652</v>
          </cell>
          <cell r="F727" t="b">
            <v>0</v>
          </cell>
          <cell r="G727">
            <v>58152.917740897698</v>
          </cell>
          <cell r="H727">
            <v>58152.917740897698</v>
          </cell>
          <cell r="I727">
            <v>357</v>
          </cell>
          <cell r="J727">
            <v>6.9107464998033406E-5</v>
          </cell>
          <cell r="K727">
            <v>2503</v>
          </cell>
          <cell r="L727">
            <v>3912.9423103036102</v>
          </cell>
          <cell r="M727">
            <v>155</v>
          </cell>
          <cell r="N727">
            <v>0.25883686685553797</v>
          </cell>
          <cell r="O727">
            <v>201</v>
          </cell>
          <cell r="P727">
            <v>2.74</v>
          </cell>
          <cell r="Q727">
            <v>586</v>
          </cell>
        </row>
        <row r="728">
          <cell r="B728" t="str">
            <v>CORRAL 110175204</v>
          </cell>
          <cell r="C728">
            <v>162991101</v>
          </cell>
          <cell r="D728" t="str">
            <v>CORRAL 1101</v>
          </cell>
          <cell r="E728">
            <v>75204</v>
          </cell>
          <cell r="F728" t="b">
            <v>0</v>
          </cell>
          <cell r="G728">
            <v>29879.1855154199</v>
          </cell>
          <cell r="H728">
            <v>1376.4737900088701</v>
          </cell>
          <cell r="I728">
            <v>130</v>
          </cell>
          <cell r="J728">
            <v>8.0747004282128706E-5</v>
          </cell>
          <cell r="K728">
            <v>2187</v>
          </cell>
          <cell r="L728">
            <v>212.02919459509701</v>
          </cell>
          <cell r="M728">
            <v>1614</v>
          </cell>
          <cell r="N728">
            <v>2.1934664446791201E-2</v>
          </cell>
          <cell r="O728">
            <v>1631</v>
          </cell>
          <cell r="P728">
            <v>0.01</v>
          </cell>
          <cell r="Q728">
            <v>2584</v>
          </cell>
        </row>
        <row r="729">
          <cell r="B729" t="str">
            <v>CORRAL 1101CB</v>
          </cell>
          <cell r="C729">
            <v>162991101</v>
          </cell>
          <cell r="D729" t="str">
            <v>CORRAL 1101</v>
          </cell>
          <cell r="E729" t="str">
            <v>CB</v>
          </cell>
          <cell r="F729" t="b">
            <v>0</v>
          </cell>
          <cell r="G729">
            <v>44193.700050658801</v>
          </cell>
          <cell r="H729">
            <v>42311.350314519499</v>
          </cell>
          <cell r="I729">
            <v>280</v>
          </cell>
          <cell r="J729">
            <v>7.4699448056543294E-5</v>
          </cell>
          <cell r="K729">
            <v>2339</v>
          </cell>
          <cell r="L729">
            <v>3983.59135338447</v>
          </cell>
          <cell r="M729">
            <v>150</v>
          </cell>
          <cell r="N729">
            <v>0.29053802265223999</v>
          </cell>
          <cell r="O729">
            <v>142</v>
          </cell>
          <cell r="P729">
            <v>18.05</v>
          </cell>
          <cell r="Q729">
            <v>326</v>
          </cell>
        </row>
        <row r="730">
          <cell r="B730" t="str">
            <v>CORRAL 110213498</v>
          </cell>
          <cell r="C730">
            <v>162991102</v>
          </cell>
          <cell r="D730" t="str">
            <v>CORRAL 1102</v>
          </cell>
          <cell r="E730">
            <v>13498</v>
          </cell>
          <cell r="F730" t="b">
            <v>0</v>
          </cell>
          <cell r="G730">
            <v>1603.6406229957699</v>
          </cell>
          <cell r="H730">
            <v>1585.9578850247699</v>
          </cell>
          <cell r="I730">
            <v>13</v>
          </cell>
          <cell r="J730">
            <v>1.38117041877614E-4</v>
          </cell>
          <cell r="K730">
            <v>892</v>
          </cell>
          <cell r="L730">
            <v>567.22933072382705</v>
          </cell>
          <cell r="M730">
            <v>1131</v>
          </cell>
          <cell r="N730">
            <v>9.7071076923700705E-2</v>
          </cell>
          <cell r="O730">
            <v>779</v>
          </cell>
          <cell r="P730">
            <v>0.06</v>
          </cell>
          <cell r="Q730">
            <v>1831</v>
          </cell>
        </row>
        <row r="731">
          <cell r="B731" t="str">
            <v>CORRAL 110214026</v>
          </cell>
          <cell r="C731">
            <v>162991102</v>
          </cell>
          <cell r="D731" t="str">
            <v>CORRAL 1102</v>
          </cell>
          <cell r="E731">
            <v>14026</v>
          </cell>
          <cell r="F731" t="b">
            <v>0</v>
          </cell>
          <cell r="G731">
            <v>16308.520551379999</v>
          </cell>
          <cell r="H731">
            <v>16308.520551379999</v>
          </cell>
          <cell r="I731">
            <v>101</v>
          </cell>
          <cell r="J731">
            <v>6.4324085407392993E-5</v>
          </cell>
          <cell r="K731">
            <v>2633</v>
          </cell>
          <cell r="L731">
            <v>2347.8147548033198</v>
          </cell>
          <cell r="M731">
            <v>374</v>
          </cell>
          <cell r="N731">
            <v>0.15083606466024599</v>
          </cell>
          <cell r="O731">
            <v>513</v>
          </cell>
          <cell r="P731">
            <v>3.03</v>
          </cell>
          <cell r="Q731">
            <v>567</v>
          </cell>
        </row>
        <row r="732">
          <cell r="B732" t="str">
            <v>CORRAL 110214028</v>
          </cell>
          <cell r="C732">
            <v>162991102</v>
          </cell>
          <cell r="D732" t="str">
            <v>CORRAL 1102</v>
          </cell>
          <cell r="E732">
            <v>14028</v>
          </cell>
          <cell r="F732" t="b">
            <v>0</v>
          </cell>
          <cell r="G732">
            <v>12751.8037269467</v>
          </cell>
          <cell r="H732">
            <v>6133.5416878384103</v>
          </cell>
          <cell r="I732">
            <v>103</v>
          </cell>
          <cell r="J732">
            <v>1.08220030332393E-4</v>
          </cell>
          <cell r="K732">
            <v>1447</v>
          </cell>
          <cell r="L732">
            <v>214.14057508422999</v>
          </cell>
          <cell r="M732">
            <v>1611</v>
          </cell>
          <cell r="N732">
            <v>3.3074098305673399E-2</v>
          </cell>
          <cell r="O732">
            <v>1405</v>
          </cell>
          <cell r="P732">
            <v>0.04</v>
          </cell>
          <cell r="Q732">
            <v>2224</v>
          </cell>
        </row>
        <row r="733">
          <cell r="B733" t="str">
            <v>CORRAL 110236666</v>
          </cell>
          <cell r="C733">
            <v>162991102</v>
          </cell>
          <cell r="D733" t="str">
            <v>CORRAL 1102</v>
          </cell>
          <cell r="E733">
            <v>36666</v>
          </cell>
          <cell r="F733" t="b">
            <v>0</v>
          </cell>
          <cell r="G733">
            <v>29026.438004936099</v>
          </cell>
          <cell r="H733">
            <v>27295.752614134199</v>
          </cell>
          <cell r="I733">
            <v>207</v>
          </cell>
          <cell r="J733">
            <v>7.0079778359962696E-5</v>
          </cell>
          <cell r="K733">
            <v>2471</v>
          </cell>
          <cell r="L733">
            <v>1591.10881204873</v>
          </cell>
          <cell r="M733">
            <v>563</v>
          </cell>
          <cell r="N733">
            <v>0.10682633660919701</v>
          </cell>
          <cell r="O733">
            <v>726</v>
          </cell>
          <cell r="P733">
            <v>0.11</v>
          </cell>
          <cell r="Q733">
            <v>1436</v>
          </cell>
        </row>
        <row r="734">
          <cell r="B734" t="str">
            <v>CORRAL 110275622</v>
          </cell>
          <cell r="C734">
            <v>162991102</v>
          </cell>
          <cell r="D734" t="str">
            <v>CORRAL 1102</v>
          </cell>
          <cell r="E734">
            <v>75622</v>
          </cell>
          <cell r="F734" t="b">
            <v>0</v>
          </cell>
          <cell r="G734">
            <v>9209.8908426118996</v>
          </cell>
          <cell r="H734">
            <v>1956.9061388130699</v>
          </cell>
          <cell r="I734">
            <v>78</v>
          </cell>
          <cell r="J734">
            <v>8.9334964473098996E-5</v>
          </cell>
          <cell r="K734">
            <v>1938</v>
          </cell>
          <cell r="L734">
            <v>14.118563038842</v>
          </cell>
          <cell r="M734">
            <v>2545</v>
          </cell>
          <cell r="N734">
            <v>1.0988535085158901E-3</v>
          </cell>
          <cell r="O734">
            <v>2618</v>
          </cell>
          <cell r="P734">
            <v>1.24</v>
          </cell>
          <cell r="Q734">
            <v>694</v>
          </cell>
        </row>
        <row r="735">
          <cell r="B735" t="str">
            <v>CORRAL 1102CB</v>
          </cell>
          <cell r="C735">
            <v>162991102</v>
          </cell>
          <cell r="D735" t="str">
            <v>CORRAL 1102</v>
          </cell>
          <cell r="E735" t="str">
            <v>CB</v>
          </cell>
          <cell r="F735" t="b">
            <v>0</v>
          </cell>
          <cell r="G735">
            <v>34280.1417419102</v>
          </cell>
          <cell r="H735">
            <v>27168.798590269402</v>
          </cell>
          <cell r="I735">
            <v>236</v>
          </cell>
          <cell r="J735">
            <v>7.8905993855880898E-5</v>
          </cell>
          <cell r="K735">
            <v>2237</v>
          </cell>
          <cell r="L735">
            <v>2954.5395181060999</v>
          </cell>
          <cell r="M735">
            <v>278</v>
          </cell>
          <cell r="N735">
            <v>0.19500562535228799</v>
          </cell>
          <cell r="O735">
            <v>348</v>
          </cell>
          <cell r="P735">
            <v>0.13</v>
          </cell>
          <cell r="Q735">
            <v>1353</v>
          </cell>
        </row>
        <row r="736">
          <cell r="B736" t="str">
            <v>CORRAL 110313474</v>
          </cell>
          <cell r="C736">
            <v>162991103</v>
          </cell>
          <cell r="D736" t="str">
            <v>CORRAL 1103</v>
          </cell>
          <cell r="E736">
            <v>13474</v>
          </cell>
          <cell r="F736" t="b">
            <v>0</v>
          </cell>
          <cell r="G736">
            <v>11606.5962777679</v>
          </cell>
          <cell r="H736">
            <v>4726.1259153502797</v>
          </cell>
          <cell r="I736">
            <v>99</v>
          </cell>
          <cell r="J736">
            <v>9.8915778222845402E-5</v>
          </cell>
          <cell r="K736">
            <v>1672</v>
          </cell>
          <cell r="L736">
            <v>1472.79621961574</v>
          </cell>
          <cell r="M736">
            <v>605</v>
          </cell>
          <cell r="N736">
            <v>0.13001318956483901</v>
          </cell>
          <cell r="O736">
            <v>604</v>
          </cell>
          <cell r="P736">
            <v>1.54</v>
          </cell>
          <cell r="Q736">
            <v>666</v>
          </cell>
        </row>
        <row r="737">
          <cell r="B737" t="str">
            <v>CORRAL 110336680</v>
          </cell>
          <cell r="C737">
            <v>162991103</v>
          </cell>
          <cell r="D737" t="str">
            <v>CORRAL 1103</v>
          </cell>
          <cell r="E737">
            <v>36680</v>
          </cell>
          <cell r="F737" t="b">
            <v>0</v>
          </cell>
          <cell r="G737">
            <v>32219.824200489798</v>
          </cell>
          <cell r="H737">
            <v>15055.394420464099</v>
          </cell>
          <cell r="I737">
            <v>265</v>
          </cell>
          <cell r="J737">
            <v>8.2362650504845297E-5</v>
          </cell>
          <cell r="K737">
            <v>2143</v>
          </cell>
          <cell r="L737">
            <v>715.90306472224995</v>
          </cell>
          <cell r="M737">
            <v>1008</v>
          </cell>
          <cell r="N737">
            <v>5.9471941461092699E-2</v>
          </cell>
          <cell r="O737">
            <v>1066</v>
          </cell>
          <cell r="P737">
            <v>2.94</v>
          </cell>
          <cell r="Q737">
            <v>572</v>
          </cell>
        </row>
        <row r="738">
          <cell r="B738" t="str">
            <v>CORRAL 1103569005</v>
          </cell>
          <cell r="C738">
            <v>162991103</v>
          </cell>
          <cell r="D738" t="str">
            <v>CORRAL 1103</v>
          </cell>
          <cell r="E738">
            <v>569005</v>
          </cell>
          <cell r="F738" t="b">
            <v>0</v>
          </cell>
          <cell r="G738">
            <v>3858.1768694028401</v>
          </cell>
          <cell r="H738">
            <v>1152.5977600697499</v>
          </cell>
          <cell r="I738">
            <v>38</v>
          </cell>
          <cell r="J738">
            <v>7.7444938486567795E-5</v>
          </cell>
          <cell r="K738">
            <v>2278</v>
          </cell>
          <cell r="L738">
            <v>606.24793607190304</v>
          </cell>
          <cell r="M738">
            <v>1095</v>
          </cell>
          <cell r="N738">
            <v>5.1027099679722097E-2</v>
          </cell>
          <cell r="O738">
            <v>1167</v>
          </cell>
          <cell r="Q738">
            <v>3255</v>
          </cell>
        </row>
        <row r="739">
          <cell r="B739" t="str">
            <v>CORRAL 110359770</v>
          </cell>
          <cell r="C739">
            <v>162991103</v>
          </cell>
          <cell r="D739" t="str">
            <v>CORRAL 1103</v>
          </cell>
          <cell r="E739">
            <v>59770</v>
          </cell>
          <cell r="F739" t="b">
            <v>0</v>
          </cell>
          <cell r="G739">
            <v>11687.750733753601</v>
          </cell>
          <cell r="H739">
            <v>7749.76335669121</v>
          </cell>
          <cell r="I739">
            <v>97</v>
          </cell>
          <cell r="J739">
            <v>8.5709130927949094E-5</v>
          </cell>
          <cell r="K739">
            <v>2037</v>
          </cell>
          <cell r="L739">
            <v>89.718516578960106</v>
          </cell>
          <cell r="M739">
            <v>2001</v>
          </cell>
          <cell r="N739">
            <v>6.7466727814692803E-3</v>
          </cell>
          <cell r="O739">
            <v>2106</v>
          </cell>
          <cell r="P739">
            <v>0.09</v>
          </cell>
          <cell r="Q739">
            <v>1532</v>
          </cell>
        </row>
        <row r="740">
          <cell r="B740" t="str">
            <v>CORRAL 1103681991</v>
          </cell>
          <cell r="C740">
            <v>162991103</v>
          </cell>
          <cell r="D740" t="str">
            <v>CORRAL 1103</v>
          </cell>
          <cell r="E740">
            <v>681991</v>
          </cell>
          <cell r="F740" t="b">
            <v>0</v>
          </cell>
          <cell r="G740">
            <v>6056.3504862885002</v>
          </cell>
          <cell r="H740">
            <v>2212.03444298258</v>
          </cell>
          <cell r="I740">
            <v>50</v>
          </cell>
          <cell r="J740">
            <v>6.8560672443709298E-5</v>
          </cell>
          <cell r="K740">
            <v>2521</v>
          </cell>
          <cell r="L740">
            <v>61.126003030534697</v>
          </cell>
          <cell r="M740">
            <v>2147</v>
          </cell>
          <cell r="N740">
            <v>4.5171318847163997E-3</v>
          </cell>
          <cell r="O740">
            <v>2229</v>
          </cell>
          <cell r="Q740">
            <v>2909</v>
          </cell>
        </row>
        <row r="741">
          <cell r="B741" t="str">
            <v>CORRAL 1103831781</v>
          </cell>
          <cell r="C741">
            <v>162991103</v>
          </cell>
          <cell r="D741" t="str">
            <v>CORRAL 1103</v>
          </cell>
          <cell r="E741">
            <v>831781</v>
          </cell>
          <cell r="F741" t="b">
            <v>0</v>
          </cell>
          <cell r="G741">
            <v>2564.8738137034302</v>
          </cell>
          <cell r="H741">
            <v>1186.13962345451</v>
          </cell>
          <cell r="I741">
            <v>19</v>
          </cell>
          <cell r="J741">
            <v>7.3781900267165697E-5</v>
          </cell>
          <cell r="K741">
            <v>2367</v>
          </cell>
          <cell r="L741">
            <v>806.93690638615499</v>
          </cell>
          <cell r="M741">
            <v>932</v>
          </cell>
          <cell r="N741">
            <v>5.4335544381249698E-2</v>
          </cell>
          <cell r="O741">
            <v>1130</v>
          </cell>
          <cell r="Q741">
            <v>3304</v>
          </cell>
        </row>
        <row r="742">
          <cell r="B742" t="str">
            <v>CORRAL 1103936674</v>
          </cell>
          <cell r="C742">
            <v>162991103</v>
          </cell>
          <cell r="D742" t="str">
            <v>CORRAL 1103</v>
          </cell>
          <cell r="E742">
            <v>936674</v>
          </cell>
          <cell r="F742" t="b">
            <v>0</v>
          </cell>
          <cell r="G742">
            <v>6354.8382405093298</v>
          </cell>
          <cell r="H742">
            <v>1063.5847719526901</v>
          </cell>
          <cell r="I742">
            <v>56</v>
          </cell>
          <cell r="J742">
            <v>8.2564567427263099E-5</v>
          </cell>
          <cell r="K742">
            <v>2141</v>
          </cell>
          <cell r="L742">
            <v>408.40697997018498</v>
          </cell>
          <cell r="M742">
            <v>1288</v>
          </cell>
          <cell r="N742">
            <v>2.97291771257473E-2</v>
          </cell>
          <cell r="O742">
            <v>1467</v>
          </cell>
          <cell r="Q742">
            <v>2866</v>
          </cell>
        </row>
        <row r="743">
          <cell r="B743" t="str">
            <v>CORTINA 1101302192</v>
          </cell>
          <cell r="C743">
            <v>63121101</v>
          </cell>
          <cell r="D743" t="str">
            <v>CORTINA 1101</v>
          </cell>
          <cell r="E743">
            <v>302192</v>
          </cell>
          <cell r="F743" t="b">
            <v>1</v>
          </cell>
          <cell r="G743">
            <v>22573.2132991537</v>
          </cell>
          <cell r="H743">
            <v>0</v>
          </cell>
          <cell r="I743">
            <v>79</v>
          </cell>
          <cell r="J743">
            <v>1.0836096398155499E-4</v>
          </cell>
          <cell r="K743">
            <v>1443</v>
          </cell>
          <cell r="L743">
            <v>6.5151788616229694E-2</v>
          </cell>
          <cell r="M743">
            <v>3561</v>
          </cell>
          <cell r="N743">
            <v>7.0599106195772E-6</v>
          </cell>
          <cell r="O743">
            <v>3164</v>
          </cell>
          <cell r="P743">
            <v>0.74</v>
          </cell>
          <cell r="Q743">
            <v>793</v>
          </cell>
        </row>
        <row r="744">
          <cell r="B744" t="str">
            <v>CORTINA 1101528460</v>
          </cell>
          <cell r="C744">
            <v>63121101</v>
          </cell>
          <cell r="D744" t="str">
            <v>CORTINA 1101</v>
          </cell>
          <cell r="E744">
            <v>528460</v>
          </cell>
          <cell r="F744" t="b">
            <v>0</v>
          </cell>
          <cell r="G744">
            <v>6121.8318659592596</v>
          </cell>
          <cell r="H744">
            <v>3043.5918368119001</v>
          </cell>
          <cell r="I744">
            <v>12</v>
          </cell>
          <cell r="J744">
            <v>3.9908820023507903E-5</v>
          </cell>
          <cell r="K744">
            <v>3271</v>
          </cell>
          <cell r="L744">
            <v>3097.7846782254801</v>
          </cell>
          <cell r="M744">
            <v>255</v>
          </cell>
          <cell r="N744">
            <v>0.117918115608355</v>
          </cell>
          <cell r="O744">
            <v>659</v>
          </cell>
          <cell r="Q744">
            <v>3454</v>
          </cell>
        </row>
        <row r="745">
          <cell r="B745" t="str">
            <v>COTATI 1102167726</v>
          </cell>
          <cell r="C745">
            <v>42271102</v>
          </cell>
          <cell r="D745" t="str">
            <v>COTATI 1102</v>
          </cell>
          <cell r="E745">
            <v>167726</v>
          </cell>
          <cell r="F745" t="b">
            <v>0</v>
          </cell>
          <cell r="G745">
            <v>6114.3743948367301</v>
          </cell>
          <cell r="H745">
            <v>6114.3743948367301</v>
          </cell>
          <cell r="I745">
            <v>50</v>
          </cell>
          <cell r="J745">
            <v>7.7870977838756498E-5</v>
          </cell>
          <cell r="K745">
            <v>2262</v>
          </cell>
          <cell r="L745">
            <v>1006.50749449297</v>
          </cell>
          <cell r="M745">
            <v>830</v>
          </cell>
          <cell r="N745">
            <v>8.5439564161784304E-2</v>
          </cell>
          <cell r="O745">
            <v>856</v>
          </cell>
          <cell r="Q745">
            <v>2859</v>
          </cell>
        </row>
        <row r="746">
          <cell r="B746" t="str">
            <v>COTATI 1102260</v>
          </cell>
          <cell r="C746">
            <v>42271102</v>
          </cell>
          <cell r="D746" t="str">
            <v>COTATI 1102</v>
          </cell>
          <cell r="E746">
            <v>260</v>
          </cell>
          <cell r="F746" t="b">
            <v>0</v>
          </cell>
          <cell r="G746">
            <v>9537.0371859148909</v>
          </cell>
          <cell r="H746">
            <v>4317.1661774798204</v>
          </cell>
          <cell r="I746">
            <v>68</v>
          </cell>
          <cell r="J746">
            <v>6.2862344547658507E-5</v>
          </cell>
          <cell r="K746">
            <v>2687</v>
          </cell>
          <cell r="L746">
            <v>71.584989756641207</v>
          </cell>
          <cell r="M746">
            <v>2084</v>
          </cell>
          <cell r="N746">
            <v>5.34053308984574E-3</v>
          </cell>
          <cell r="O746">
            <v>2193</v>
          </cell>
          <cell r="P746">
            <v>0.78</v>
          </cell>
          <cell r="Q746">
            <v>778</v>
          </cell>
        </row>
        <row r="747">
          <cell r="B747" t="str">
            <v>COTATI 1102282</v>
          </cell>
          <cell r="C747">
            <v>42271102</v>
          </cell>
          <cell r="D747" t="str">
            <v>COTATI 1102</v>
          </cell>
          <cell r="E747">
            <v>282</v>
          </cell>
          <cell r="F747" t="b">
            <v>0</v>
          </cell>
          <cell r="G747">
            <v>8222.1188728715697</v>
          </cell>
          <cell r="H747">
            <v>4475.08997081895</v>
          </cell>
          <cell r="I747">
            <v>62</v>
          </cell>
          <cell r="J747">
            <v>8.3509015102237904E-5</v>
          </cell>
          <cell r="K747">
            <v>2115</v>
          </cell>
          <cell r="L747">
            <v>543.57046863104097</v>
          </cell>
          <cell r="M747">
            <v>1155</v>
          </cell>
          <cell r="N747">
            <v>4.15259627805281E-2</v>
          </cell>
          <cell r="O747">
            <v>1282</v>
          </cell>
          <cell r="P747">
            <v>2.35</v>
          </cell>
          <cell r="Q747">
            <v>612</v>
          </cell>
        </row>
        <row r="748">
          <cell r="B748" t="str">
            <v>COTATI 1102462</v>
          </cell>
          <cell r="C748">
            <v>42271102</v>
          </cell>
          <cell r="D748" t="str">
            <v>COTATI 1102</v>
          </cell>
          <cell r="E748">
            <v>462</v>
          </cell>
          <cell r="F748" t="b">
            <v>0</v>
          </cell>
          <cell r="G748">
            <v>6310.2369327981996</v>
          </cell>
          <cell r="H748">
            <v>4550.7014025272401</v>
          </cell>
          <cell r="I748">
            <v>40</v>
          </cell>
          <cell r="J748">
            <v>9.8300598764557701E-5</v>
          </cell>
          <cell r="K748">
            <v>1683</v>
          </cell>
          <cell r="L748">
            <v>125.299217678524</v>
          </cell>
          <cell r="M748">
            <v>1858</v>
          </cell>
          <cell r="N748">
            <v>1.5132386905944199E-2</v>
          </cell>
          <cell r="O748">
            <v>1778</v>
          </cell>
          <cell r="P748">
            <v>0.04</v>
          </cell>
          <cell r="Q748">
            <v>2104</v>
          </cell>
        </row>
        <row r="749">
          <cell r="B749" t="str">
            <v>COTATI 1102464</v>
          </cell>
          <cell r="C749">
            <v>42271102</v>
          </cell>
          <cell r="D749" t="str">
            <v>COTATI 1102</v>
          </cell>
          <cell r="E749">
            <v>464</v>
          </cell>
          <cell r="F749" t="b">
            <v>0</v>
          </cell>
          <cell r="G749">
            <v>13038.4156035178</v>
          </cell>
          <cell r="H749">
            <v>3443.59106848893</v>
          </cell>
          <cell r="I749">
            <v>103</v>
          </cell>
          <cell r="J749">
            <v>8.8656366910179295E-5</v>
          </cell>
          <cell r="K749">
            <v>1965</v>
          </cell>
          <cell r="L749">
            <v>37.034591629660298</v>
          </cell>
          <cell r="M749">
            <v>2297</v>
          </cell>
          <cell r="N749">
            <v>3.4005457539502998E-3</v>
          </cell>
          <cell r="O749">
            <v>2304</v>
          </cell>
          <cell r="P749">
            <v>0.04</v>
          </cell>
          <cell r="Q749">
            <v>2168</v>
          </cell>
        </row>
        <row r="750">
          <cell r="B750" t="str">
            <v>COTATI 1102825</v>
          </cell>
          <cell r="C750">
            <v>42271102</v>
          </cell>
          <cell r="D750" t="str">
            <v>COTATI 1102</v>
          </cell>
          <cell r="E750">
            <v>825</v>
          </cell>
          <cell r="F750" t="b">
            <v>1</v>
          </cell>
          <cell r="G750">
            <v>3371.6214083877098</v>
          </cell>
          <cell r="H750">
            <v>749.45672175965296</v>
          </cell>
          <cell r="I750">
            <v>26</v>
          </cell>
          <cell r="J750">
            <v>6.9952640002996302E-5</v>
          </cell>
          <cell r="K750">
            <v>2473</v>
          </cell>
          <cell r="L750">
            <v>79.983827410374502</v>
          </cell>
          <cell r="M750">
            <v>2048</v>
          </cell>
          <cell r="N750">
            <v>5.8121823079316697E-3</v>
          </cell>
          <cell r="O750">
            <v>2163</v>
          </cell>
          <cell r="Q750">
            <v>2782</v>
          </cell>
        </row>
        <row r="751">
          <cell r="B751" t="str">
            <v>COTATI 110283200</v>
          </cell>
          <cell r="C751">
            <v>42271102</v>
          </cell>
          <cell r="D751" t="str">
            <v>COTATI 1102</v>
          </cell>
          <cell r="E751">
            <v>83200</v>
          </cell>
          <cell r="F751" t="b">
            <v>1</v>
          </cell>
          <cell r="G751">
            <v>4654.5591256555899</v>
          </cell>
          <cell r="H751">
            <v>0</v>
          </cell>
          <cell r="I751">
            <v>48</v>
          </cell>
          <cell r="J751">
            <v>2.25753353691849E-5</v>
          </cell>
          <cell r="K751">
            <v>3514</v>
          </cell>
          <cell r="L751">
            <v>6.5157786712868704E-2</v>
          </cell>
          <cell r="M751">
            <v>3558</v>
          </cell>
          <cell r="N751">
            <v>1.4709588869568299E-6</v>
          </cell>
          <cell r="O751">
            <v>3549</v>
          </cell>
          <cell r="Q751">
            <v>2716</v>
          </cell>
        </row>
        <row r="752">
          <cell r="B752" t="str">
            <v>COTATI 1102CB</v>
          </cell>
          <cell r="C752">
            <v>42271102</v>
          </cell>
          <cell r="D752" t="str">
            <v>COTATI 1102</v>
          </cell>
          <cell r="E752" t="str">
            <v>CB</v>
          </cell>
          <cell r="F752" t="b">
            <v>0</v>
          </cell>
          <cell r="G752">
            <v>3229.20793908627</v>
          </cell>
          <cell r="H752">
            <v>2904.3183501143099</v>
          </cell>
          <cell r="I752">
            <v>19</v>
          </cell>
          <cell r="J752">
            <v>1.6628901127995399E-4</v>
          </cell>
          <cell r="K752">
            <v>580</v>
          </cell>
          <cell r="L752">
            <v>366.16675036899198</v>
          </cell>
          <cell r="M752">
            <v>1344</v>
          </cell>
          <cell r="N752">
            <v>5.9840286002012001E-2</v>
          </cell>
          <cell r="O752">
            <v>1063</v>
          </cell>
          <cell r="P752">
            <v>0.04</v>
          </cell>
          <cell r="Q752">
            <v>2199</v>
          </cell>
        </row>
        <row r="753">
          <cell r="B753" t="str">
            <v>COTATI 1103132</v>
          </cell>
          <cell r="C753">
            <v>42271103</v>
          </cell>
          <cell r="D753" t="str">
            <v>COTATI 1103</v>
          </cell>
          <cell r="E753">
            <v>132</v>
          </cell>
          <cell r="F753" t="b">
            <v>0</v>
          </cell>
          <cell r="G753">
            <v>40702.077550210801</v>
          </cell>
          <cell r="H753">
            <v>40702.077550210801</v>
          </cell>
          <cell r="I753">
            <v>184</v>
          </cell>
          <cell r="J753">
            <v>7.3727897672696302E-5</v>
          </cell>
          <cell r="K753">
            <v>2369</v>
          </cell>
          <cell r="L753">
            <v>1030.4195698081901</v>
          </cell>
          <cell r="M753">
            <v>808</v>
          </cell>
          <cell r="N753">
            <v>7.1993739951529301E-2</v>
          </cell>
          <cell r="O753">
            <v>965</v>
          </cell>
          <cell r="P753">
            <v>4.0199999999999996</v>
          </cell>
          <cell r="Q753">
            <v>529</v>
          </cell>
        </row>
        <row r="754">
          <cell r="B754" t="str">
            <v>COTATI 1103148</v>
          </cell>
          <cell r="C754">
            <v>42271103</v>
          </cell>
          <cell r="D754" t="str">
            <v>COTATI 1103</v>
          </cell>
          <cell r="E754">
            <v>148</v>
          </cell>
          <cell r="F754" t="b">
            <v>0</v>
          </cell>
          <cell r="G754">
            <v>24974.201835460899</v>
          </cell>
          <cell r="H754">
            <v>24850.347843821499</v>
          </cell>
          <cell r="I754">
            <v>107</v>
          </cell>
          <cell r="J754">
            <v>5.3404966089384902E-5</v>
          </cell>
          <cell r="K754">
            <v>2952</v>
          </cell>
          <cell r="L754">
            <v>932.29324977420197</v>
          </cell>
          <cell r="M754">
            <v>869</v>
          </cell>
          <cell r="N754">
            <v>5.0373904855538901E-2</v>
          </cell>
          <cell r="O754">
            <v>1174</v>
          </cell>
          <cell r="P754">
            <v>0.13</v>
          </cell>
          <cell r="Q754">
            <v>1343</v>
          </cell>
        </row>
        <row r="755">
          <cell r="B755" t="str">
            <v>COTATI 110361736</v>
          </cell>
          <cell r="C755">
            <v>42271103</v>
          </cell>
          <cell r="D755" t="str">
            <v>COTATI 1103</v>
          </cell>
          <cell r="E755">
            <v>61736</v>
          </cell>
          <cell r="F755" t="b">
            <v>0</v>
          </cell>
          <cell r="G755">
            <v>26875.646949956499</v>
          </cell>
          <cell r="H755">
            <v>19558.6497830113</v>
          </cell>
          <cell r="I755">
            <v>129</v>
          </cell>
          <cell r="J755">
            <v>6.0018075735968001E-5</v>
          </cell>
          <cell r="K755">
            <v>2773</v>
          </cell>
          <cell r="L755">
            <v>726.42309532782895</v>
          </cell>
          <cell r="M755">
            <v>994</v>
          </cell>
          <cell r="N755">
            <v>5.4986078752104803E-2</v>
          </cell>
          <cell r="O755">
            <v>1124</v>
          </cell>
          <cell r="P755">
            <v>0.05</v>
          </cell>
          <cell r="Q755">
            <v>1936</v>
          </cell>
        </row>
        <row r="756">
          <cell r="B756" t="str">
            <v>COTATI 110379140</v>
          </cell>
          <cell r="C756">
            <v>42271103</v>
          </cell>
          <cell r="D756" t="str">
            <v>COTATI 1103</v>
          </cell>
          <cell r="E756">
            <v>79140</v>
          </cell>
          <cell r="F756" t="b">
            <v>0</v>
          </cell>
          <cell r="G756">
            <v>19909.204558876299</v>
          </cell>
          <cell r="H756">
            <v>15742.3512081029</v>
          </cell>
          <cell r="I756">
            <v>154</v>
          </cell>
          <cell r="J756">
            <v>9.3819975352909499E-5</v>
          </cell>
          <cell r="K756">
            <v>1797</v>
          </cell>
          <cell r="L756">
            <v>973.10170927414799</v>
          </cell>
          <cell r="M756">
            <v>848</v>
          </cell>
          <cell r="N756">
            <v>8.2366798466256996E-2</v>
          </cell>
          <cell r="O756">
            <v>881</v>
          </cell>
          <cell r="P756">
            <v>7.99</v>
          </cell>
          <cell r="Q756">
            <v>438</v>
          </cell>
        </row>
        <row r="757">
          <cell r="B757" t="str">
            <v>COTATI 110387402</v>
          </cell>
          <cell r="C757">
            <v>42271103</v>
          </cell>
          <cell r="D757" t="str">
            <v>COTATI 1103</v>
          </cell>
          <cell r="E757">
            <v>87402</v>
          </cell>
          <cell r="F757" t="b">
            <v>0</v>
          </cell>
          <cell r="G757">
            <v>18273.7697457418</v>
          </cell>
          <cell r="H757">
            <v>18273.7697457418</v>
          </cell>
          <cell r="I757">
            <v>42</v>
          </cell>
          <cell r="J757">
            <v>9.1927962148474705E-5</v>
          </cell>
          <cell r="K757">
            <v>1846</v>
          </cell>
          <cell r="L757">
            <v>973.39106013297499</v>
          </cell>
          <cell r="M757">
            <v>847</v>
          </cell>
          <cell r="N757">
            <v>7.6640317572595304E-2</v>
          </cell>
          <cell r="O757">
            <v>930</v>
          </cell>
          <cell r="P757">
            <v>1.23</v>
          </cell>
          <cell r="Q757">
            <v>698</v>
          </cell>
        </row>
        <row r="758">
          <cell r="B758" t="str">
            <v>COTATI 1103CB</v>
          </cell>
          <cell r="C758">
            <v>42271103</v>
          </cell>
          <cell r="D758" t="str">
            <v>COTATI 1103</v>
          </cell>
          <cell r="E758" t="str">
            <v>CB</v>
          </cell>
          <cell r="F758" t="b">
            <v>0</v>
          </cell>
          <cell r="G758">
            <v>19422.567038933299</v>
          </cell>
          <cell r="H758">
            <v>19422.567038933299</v>
          </cell>
          <cell r="I758">
            <v>106</v>
          </cell>
          <cell r="J758">
            <v>1.1505992464457E-4</v>
          </cell>
          <cell r="K758">
            <v>1297</v>
          </cell>
          <cell r="L758">
            <v>1154.6789979544999</v>
          </cell>
          <cell r="M758">
            <v>753</v>
          </cell>
          <cell r="N758">
            <v>0.11341315338447901</v>
          </cell>
          <cell r="O758">
            <v>684</v>
          </cell>
          <cell r="P758">
            <v>5.58</v>
          </cell>
          <cell r="Q758">
            <v>484</v>
          </cell>
        </row>
        <row r="759">
          <cell r="B759" t="str">
            <v>COTATI 1104426</v>
          </cell>
          <cell r="C759">
            <v>42271104</v>
          </cell>
          <cell r="D759" t="str">
            <v>COTATI 1104</v>
          </cell>
          <cell r="E759">
            <v>426</v>
          </cell>
          <cell r="F759" t="b">
            <v>0</v>
          </cell>
          <cell r="G759">
            <v>6243.6328981924798</v>
          </cell>
          <cell r="H759">
            <v>3219.5011331181699</v>
          </cell>
          <cell r="I759">
            <v>52</v>
          </cell>
          <cell r="J759">
            <v>5.7366903838556E-5</v>
          </cell>
          <cell r="K759">
            <v>2854</v>
          </cell>
          <cell r="L759">
            <v>1.7424068631971601</v>
          </cell>
          <cell r="M759">
            <v>2852</v>
          </cell>
          <cell r="N759">
            <v>1.1661998417993499E-4</v>
          </cell>
          <cell r="O759">
            <v>2868</v>
          </cell>
          <cell r="P759">
            <v>0.04</v>
          </cell>
          <cell r="Q759">
            <v>2194</v>
          </cell>
        </row>
        <row r="760">
          <cell r="B760" t="str">
            <v>COTATI 110475972</v>
          </cell>
          <cell r="C760">
            <v>42271104</v>
          </cell>
          <cell r="D760" t="str">
            <v>COTATI 1104</v>
          </cell>
          <cell r="E760">
            <v>75972</v>
          </cell>
          <cell r="F760" t="b">
            <v>0</v>
          </cell>
          <cell r="G760">
            <v>7223.3940311042397</v>
          </cell>
          <cell r="H760">
            <v>5386.1402897370599</v>
          </cell>
          <cell r="I760">
            <v>61</v>
          </cell>
          <cell r="J760">
            <v>6.5027955375238596E-5</v>
          </cell>
          <cell r="K760">
            <v>2609</v>
          </cell>
          <cell r="L760">
            <v>22.299952845147399</v>
          </cell>
          <cell r="M760">
            <v>2423</v>
          </cell>
          <cell r="N760">
            <v>1.39379403999491E-3</v>
          </cell>
          <cell r="O760">
            <v>2573</v>
          </cell>
          <cell r="P760">
            <v>0.52</v>
          </cell>
          <cell r="Q760">
            <v>885</v>
          </cell>
        </row>
        <row r="761">
          <cell r="B761" t="str">
            <v>COTATI 1104CB</v>
          </cell>
          <cell r="C761">
            <v>42271104</v>
          </cell>
          <cell r="D761" t="str">
            <v>COTATI 1104</v>
          </cell>
          <cell r="E761" t="str">
            <v>CB</v>
          </cell>
          <cell r="F761" t="b">
            <v>0</v>
          </cell>
          <cell r="G761">
            <v>12268.653898426001</v>
          </cell>
          <cell r="H761">
            <v>7279.3949046190201</v>
          </cell>
          <cell r="I761">
            <v>93</v>
          </cell>
          <cell r="J761">
            <v>7.19403274209765E-5</v>
          </cell>
          <cell r="K761">
            <v>2421</v>
          </cell>
          <cell r="L761">
            <v>13.0318871756763</v>
          </cell>
          <cell r="M761">
            <v>2569</v>
          </cell>
          <cell r="N761">
            <v>1.9106770153163601E-3</v>
          </cell>
          <cell r="O761">
            <v>2487</v>
          </cell>
          <cell r="P761">
            <v>1.2</v>
          </cell>
          <cell r="Q761">
            <v>702</v>
          </cell>
        </row>
        <row r="762">
          <cell r="B762" t="str">
            <v>COTATI 1105213984</v>
          </cell>
          <cell r="C762">
            <v>42271105</v>
          </cell>
          <cell r="D762" t="str">
            <v>COTATI 1105</v>
          </cell>
          <cell r="E762">
            <v>213984</v>
          </cell>
          <cell r="F762" t="b">
            <v>0</v>
          </cell>
          <cell r="G762">
            <v>11162.8449742429</v>
          </cell>
          <cell r="H762">
            <v>11162.8449742429</v>
          </cell>
          <cell r="I762">
            <v>47</v>
          </cell>
          <cell r="J762">
            <v>9.4494411749347705E-5</v>
          </cell>
          <cell r="K762">
            <v>1780</v>
          </cell>
          <cell r="L762">
            <v>1225.63377443697</v>
          </cell>
          <cell r="M762">
            <v>715</v>
          </cell>
          <cell r="N762">
            <v>0.111978247321429</v>
          </cell>
          <cell r="O762">
            <v>701</v>
          </cell>
          <cell r="Q762">
            <v>2957</v>
          </cell>
        </row>
        <row r="763">
          <cell r="B763" t="str">
            <v>COTATI 1105328</v>
          </cell>
          <cell r="C763">
            <v>42271105</v>
          </cell>
          <cell r="D763" t="str">
            <v>COTATI 1105</v>
          </cell>
          <cell r="E763">
            <v>328</v>
          </cell>
          <cell r="F763" t="b">
            <v>0</v>
          </cell>
          <cell r="G763">
            <v>22172.974801676199</v>
          </cell>
          <cell r="H763">
            <v>2414.9475552982799</v>
          </cell>
          <cell r="I763">
            <v>173</v>
          </cell>
          <cell r="J763">
            <v>9.4997009567604804E-5</v>
          </cell>
          <cell r="K763">
            <v>1766</v>
          </cell>
          <cell r="L763">
            <v>59.7612331365861</v>
          </cell>
          <cell r="M763">
            <v>2156</v>
          </cell>
          <cell r="N763">
            <v>5.8817009441489397E-3</v>
          </cell>
          <cell r="O763">
            <v>2161</v>
          </cell>
          <cell r="P763">
            <v>1</v>
          </cell>
          <cell r="Q763">
            <v>732</v>
          </cell>
        </row>
        <row r="764">
          <cell r="B764" t="str">
            <v>COTATI 110536536</v>
          </cell>
          <cell r="C764">
            <v>42271105</v>
          </cell>
          <cell r="D764" t="str">
            <v>COTATI 1105</v>
          </cell>
          <cell r="E764">
            <v>36536</v>
          </cell>
          <cell r="F764" t="b">
            <v>0</v>
          </cell>
          <cell r="G764">
            <v>31849.306140463501</v>
          </cell>
          <cell r="H764">
            <v>27701.0415001607</v>
          </cell>
          <cell r="I764">
            <v>206</v>
          </cell>
          <cell r="J764">
            <v>9.0039097142049202E-5</v>
          </cell>
          <cell r="K764">
            <v>1912</v>
          </cell>
          <cell r="L764">
            <v>1240.33554103795</v>
          </cell>
          <cell r="M764">
            <v>706</v>
          </cell>
          <cell r="N764">
            <v>0.102191710826466</v>
          </cell>
          <cell r="O764">
            <v>750</v>
          </cell>
          <cell r="P764">
            <v>6.79</v>
          </cell>
          <cell r="Q764">
            <v>460</v>
          </cell>
        </row>
        <row r="765">
          <cell r="B765" t="str">
            <v>COTATI 11055156</v>
          </cell>
          <cell r="C765">
            <v>42271105</v>
          </cell>
          <cell r="D765" t="str">
            <v>COTATI 1105</v>
          </cell>
          <cell r="E765">
            <v>5156</v>
          </cell>
          <cell r="F765" t="b">
            <v>0</v>
          </cell>
          <cell r="G765">
            <v>16018.901657075799</v>
          </cell>
          <cell r="H765">
            <v>7784.4976408135599</v>
          </cell>
          <cell r="I765">
            <v>114</v>
          </cell>
          <cell r="J765">
            <v>9.9942098546435104E-5</v>
          </cell>
          <cell r="K765">
            <v>1647</v>
          </cell>
          <cell r="L765">
            <v>85.261307500114995</v>
          </cell>
          <cell r="M765">
            <v>2028</v>
          </cell>
          <cell r="N765">
            <v>7.6261058223307896E-3</v>
          </cell>
          <cell r="O765">
            <v>2063</v>
          </cell>
          <cell r="P765">
            <v>0.53</v>
          </cell>
          <cell r="Q765">
            <v>881</v>
          </cell>
        </row>
        <row r="766">
          <cell r="B766" t="str">
            <v>COTATI 1105616</v>
          </cell>
          <cell r="C766">
            <v>42271105</v>
          </cell>
          <cell r="D766" t="str">
            <v>COTATI 1105</v>
          </cell>
          <cell r="E766">
            <v>616</v>
          </cell>
          <cell r="F766" t="b">
            <v>0</v>
          </cell>
          <cell r="G766">
            <v>49320.744993425098</v>
          </cell>
          <cell r="H766">
            <v>4247.5230005170497</v>
          </cell>
          <cell r="I766">
            <v>198</v>
          </cell>
          <cell r="J766">
            <v>8.1800432505068295E-5</v>
          </cell>
          <cell r="K766">
            <v>2160</v>
          </cell>
          <cell r="L766">
            <v>268.43998087563199</v>
          </cell>
          <cell r="M766">
            <v>1503</v>
          </cell>
          <cell r="N766">
            <v>2.55852761459264E-2</v>
          </cell>
          <cell r="O766">
            <v>1545</v>
          </cell>
          <cell r="P766">
            <v>0.02</v>
          </cell>
          <cell r="Q766">
            <v>2449</v>
          </cell>
        </row>
        <row r="767">
          <cell r="B767" t="str">
            <v>COTATI 1105734248</v>
          </cell>
          <cell r="C767">
            <v>42271105</v>
          </cell>
          <cell r="D767" t="str">
            <v>COTATI 1105</v>
          </cell>
          <cell r="E767">
            <v>734248</v>
          </cell>
          <cell r="F767" t="b">
            <v>1</v>
          </cell>
          <cell r="G767">
            <v>774.65816892611394</v>
          </cell>
          <cell r="H767">
            <v>774.65816892611394</v>
          </cell>
          <cell r="I767">
            <v>9</v>
          </cell>
          <cell r="J767">
            <v>9.73007675687161E-5</v>
          </cell>
          <cell r="K767">
            <v>1706</v>
          </cell>
          <cell r="L767">
            <v>238.399464381592</v>
          </cell>
          <cell r="M767">
            <v>1571</v>
          </cell>
          <cell r="N767">
            <v>2.4166260225464399E-2</v>
          </cell>
          <cell r="O767">
            <v>1576</v>
          </cell>
          <cell r="Q767">
            <v>2824</v>
          </cell>
        </row>
        <row r="768">
          <cell r="B768" t="str">
            <v>COTATI 1105893</v>
          </cell>
          <cell r="C768">
            <v>42271105</v>
          </cell>
          <cell r="D768" t="str">
            <v>COTATI 1105</v>
          </cell>
          <cell r="E768">
            <v>893</v>
          </cell>
          <cell r="F768" t="b">
            <v>1</v>
          </cell>
          <cell r="G768">
            <v>16957.799166206401</v>
          </cell>
          <cell r="H768">
            <v>312.23026385506199</v>
          </cell>
          <cell r="I768">
            <v>91</v>
          </cell>
          <cell r="J768">
            <v>8.7800366317322998E-5</v>
          </cell>
          <cell r="K768">
            <v>1990</v>
          </cell>
          <cell r="L768">
            <v>114.14156200587701</v>
          </cell>
          <cell r="M768">
            <v>1899</v>
          </cell>
          <cell r="N768">
            <v>1.07242224755685E-2</v>
          </cell>
          <cell r="O768">
            <v>1932</v>
          </cell>
          <cell r="P768">
            <v>0.02</v>
          </cell>
          <cell r="Q768">
            <v>2482</v>
          </cell>
        </row>
        <row r="769">
          <cell r="B769" t="str">
            <v>COTATI 110599720</v>
          </cell>
          <cell r="C769">
            <v>42271105</v>
          </cell>
          <cell r="D769" t="str">
            <v>COTATI 1105</v>
          </cell>
          <cell r="E769">
            <v>99720</v>
          </cell>
          <cell r="F769" t="b">
            <v>0</v>
          </cell>
          <cell r="G769">
            <v>19787.811462526999</v>
          </cell>
          <cell r="H769">
            <v>14780.8133191788</v>
          </cell>
          <cell r="I769">
            <v>134</v>
          </cell>
          <cell r="J769">
            <v>8.8187756855609694E-5</v>
          </cell>
          <cell r="K769">
            <v>1977</v>
          </cell>
          <cell r="L769">
            <v>1157.3809511726699</v>
          </cell>
          <cell r="M769">
            <v>751</v>
          </cell>
          <cell r="N769">
            <v>0.111766963666404</v>
          </cell>
          <cell r="O769">
            <v>703</v>
          </cell>
          <cell r="P769">
            <v>7.05</v>
          </cell>
          <cell r="Q769">
            <v>453</v>
          </cell>
        </row>
        <row r="770">
          <cell r="B770" t="str">
            <v>COTATI 1105CB</v>
          </cell>
          <cell r="C770">
            <v>42271105</v>
          </cell>
          <cell r="D770" t="str">
            <v>COTATI 1105</v>
          </cell>
          <cell r="E770" t="str">
            <v>CB</v>
          </cell>
          <cell r="F770" t="b">
            <v>0</v>
          </cell>
          <cell r="G770">
            <v>4309.0759004320598</v>
          </cell>
          <cell r="H770">
            <v>4309.0759004320598</v>
          </cell>
          <cell r="I770">
            <v>35</v>
          </cell>
          <cell r="J770">
            <v>1.1325988296968099E-4</v>
          </cell>
          <cell r="K770">
            <v>1338</v>
          </cell>
          <cell r="L770">
            <v>266.27997252667001</v>
          </cell>
          <cell r="M770">
            <v>1506</v>
          </cell>
          <cell r="N770">
            <v>2.7853638054219101E-2</v>
          </cell>
          <cell r="O770">
            <v>1499</v>
          </cell>
          <cell r="P770">
            <v>11.62</v>
          </cell>
          <cell r="Q770">
            <v>384</v>
          </cell>
        </row>
        <row r="771">
          <cell r="B771" t="str">
            <v>COTTONWOOD 11011510</v>
          </cell>
          <cell r="C771">
            <v>102931101</v>
          </cell>
          <cell r="D771" t="str">
            <v>COTTONWOOD 1101</v>
          </cell>
          <cell r="E771">
            <v>1510</v>
          </cell>
          <cell r="F771" t="b">
            <v>1</v>
          </cell>
          <cell r="G771">
            <v>5333.18066813327</v>
          </cell>
          <cell r="H771">
            <v>613.40182261164</v>
          </cell>
          <cell r="I771">
            <v>35</v>
          </cell>
          <cell r="J771">
            <v>9.6023587788554902E-5</v>
          </cell>
          <cell r="K771">
            <v>1728</v>
          </cell>
          <cell r="L771">
            <v>1460.11712957742</v>
          </cell>
          <cell r="M771">
            <v>611</v>
          </cell>
          <cell r="N771">
            <v>0.18088252039813901</v>
          </cell>
          <cell r="O771">
            <v>398</v>
          </cell>
          <cell r="P771">
            <v>0.5</v>
          </cell>
          <cell r="Q771">
            <v>894</v>
          </cell>
        </row>
        <row r="772">
          <cell r="B772" t="str">
            <v>COTTONWOOD 11011610</v>
          </cell>
          <cell r="C772">
            <v>102931101</v>
          </cell>
          <cell r="D772" t="str">
            <v>COTTONWOOD 1101</v>
          </cell>
          <cell r="E772">
            <v>1610</v>
          </cell>
          <cell r="F772" t="b">
            <v>0</v>
          </cell>
          <cell r="G772">
            <v>61821.935701398499</v>
          </cell>
          <cell r="H772">
            <v>61821.935701398499</v>
          </cell>
          <cell r="I772">
            <v>295</v>
          </cell>
          <cell r="J772">
            <v>4.3412936570161503E-5</v>
          </cell>
          <cell r="K772">
            <v>3203</v>
          </cell>
          <cell r="L772">
            <v>3907.4676951737902</v>
          </cell>
          <cell r="M772">
            <v>156</v>
          </cell>
          <cell r="N772">
            <v>0.15995769802298701</v>
          </cell>
          <cell r="O772">
            <v>470</v>
          </cell>
          <cell r="P772">
            <v>0.13</v>
          </cell>
          <cell r="Q772">
            <v>1340</v>
          </cell>
        </row>
        <row r="773">
          <cell r="B773" t="str">
            <v>COTTONWOOD 110131500</v>
          </cell>
          <cell r="C773">
            <v>102931101</v>
          </cell>
          <cell r="D773" t="str">
            <v>COTTONWOOD 1101</v>
          </cell>
          <cell r="E773">
            <v>31500</v>
          </cell>
          <cell r="F773" t="b">
            <v>0</v>
          </cell>
          <cell r="G773">
            <v>18887.714201453298</v>
          </cell>
          <cell r="H773">
            <v>7501.4293313563703</v>
          </cell>
          <cell r="I773">
            <v>111</v>
          </cell>
          <cell r="J773">
            <v>5.0426579529161599E-5</v>
          </cell>
          <cell r="K773">
            <v>3030</v>
          </cell>
          <cell r="L773">
            <v>3238.0724410677899</v>
          </cell>
          <cell r="M773">
            <v>229</v>
          </cell>
          <cell r="N773">
            <v>0.187594402265678</v>
          </cell>
          <cell r="O773">
            <v>376</v>
          </cell>
          <cell r="P773">
            <v>0.02</v>
          </cell>
          <cell r="Q773">
            <v>2550</v>
          </cell>
        </row>
        <row r="774">
          <cell r="B774" t="str">
            <v>COTTONWOOD 1101384360</v>
          </cell>
          <cell r="C774">
            <v>102931101</v>
          </cell>
          <cell r="D774" t="str">
            <v>COTTONWOOD 1101</v>
          </cell>
          <cell r="E774">
            <v>384360</v>
          </cell>
          <cell r="F774" t="b">
            <v>0</v>
          </cell>
          <cell r="G774">
            <v>10034.779817323901</v>
          </cell>
          <cell r="H774">
            <v>7892.4210658116799</v>
          </cell>
          <cell r="I774">
            <v>70</v>
          </cell>
          <cell r="J774">
            <v>9.2299452587342595E-5</v>
          </cell>
          <cell r="K774">
            <v>1835</v>
          </cell>
          <cell r="L774">
            <v>1163.05185981982</v>
          </cell>
          <cell r="M774">
            <v>748</v>
          </cell>
          <cell r="N774">
            <v>9.0425791155532106E-2</v>
          </cell>
          <cell r="O774">
            <v>819</v>
          </cell>
          <cell r="Q774">
            <v>2667</v>
          </cell>
        </row>
        <row r="775">
          <cell r="B775" t="str">
            <v>COTTONWOOD 110168190</v>
          </cell>
          <cell r="C775">
            <v>102931101</v>
          </cell>
          <cell r="D775" t="str">
            <v>COTTONWOOD 1101</v>
          </cell>
          <cell r="E775">
            <v>68190</v>
          </cell>
          <cell r="F775" t="b">
            <v>0</v>
          </cell>
          <cell r="G775">
            <v>40559.777962243199</v>
          </cell>
          <cell r="H775">
            <v>38588.950290156303</v>
          </cell>
          <cell r="I775">
            <v>238</v>
          </cell>
          <cell r="J775">
            <v>3.6266148673363999E-5</v>
          </cell>
          <cell r="K775">
            <v>3328</v>
          </cell>
          <cell r="L775">
            <v>3033.8847577259999</v>
          </cell>
          <cell r="M775">
            <v>265</v>
          </cell>
          <cell r="N775">
            <v>0.109374574473022</v>
          </cell>
          <cell r="O775">
            <v>716</v>
          </cell>
          <cell r="P775">
            <v>0.06</v>
          </cell>
          <cell r="Q775">
            <v>1813</v>
          </cell>
        </row>
        <row r="776">
          <cell r="B776" t="str">
            <v>COTTONWOOD 1101CB</v>
          </cell>
          <cell r="C776">
            <v>102931101</v>
          </cell>
          <cell r="D776" t="str">
            <v>COTTONWOOD 1101</v>
          </cell>
          <cell r="E776" t="str">
            <v>CB</v>
          </cell>
          <cell r="F776" t="b">
            <v>1</v>
          </cell>
          <cell r="G776">
            <v>26588.590897064601</v>
          </cell>
          <cell r="H776">
            <v>184.019577710297</v>
          </cell>
          <cell r="I776">
            <v>188</v>
          </cell>
          <cell r="J776">
            <v>9.7904504521769295E-5</v>
          </cell>
          <cell r="K776">
            <v>1694</v>
          </cell>
          <cell r="L776">
            <v>539.32206418310398</v>
          </cell>
          <cell r="M776">
            <v>1159</v>
          </cell>
          <cell r="N776">
            <v>7.1499869601060001E-2</v>
          </cell>
          <cell r="O776">
            <v>969</v>
          </cell>
          <cell r="P776">
            <v>0.02</v>
          </cell>
          <cell r="Q776">
            <v>2564</v>
          </cell>
        </row>
        <row r="777">
          <cell r="B777" t="str">
            <v>COTTONWOOD 11021578</v>
          </cell>
          <cell r="C777">
            <v>102931102</v>
          </cell>
          <cell r="D777" t="str">
            <v>COTTONWOOD 1102</v>
          </cell>
          <cell r="E777">
            <v>1578</v>
          </cell>
          <cell r="F777" t="b">
            <v>0</v>
          </cell>
          <cell r="G777">
            <v>56424.688382013301</v>
          </cell>
          <cell r="H777">
            <v>48498.427614821499</v>
          </cell>
          <cell r="I777">
            <v>269</v>
          </cell>
          <cell r="J777">
            <v>5.3137349697338499E-5</v>
          </cell>
          <cell r="K777">
            <v>2963</v>
          </cell>
          <cell r="L777">
            <v>2721.70086248196</v>
          </cell>
          <cell r="M777">
            <v>308</v>
          </cell>
          <cell r="N777">
            <v>0.143549247225013</v>
          </cell>
          <cell r="O777">
            <v>554</v>
          </cell>
          <cell r="P777">
            <v>7.0000000000000007E-2</v>
          </cell>
          <cell r="Q777">
            <v>1761</v>
          </cell>
        </row>
        <row r="778">
          <cell r="B778" t="str">
            <v>COTTONWOOD 1102544790</v>
          </cell>
          <cell r="C778">
            <v>102931102</v>
          </cell>
          <cell r="D778" t="str">
            <v>COTTONWOOD 1102</v>
          </cell>
          <cell r="E778">
            <v>544790</v>
          </cell>
          <cell r="F778" t="b">
            <v>0</v>
          </cell>
          <cell r="G778">
            <v>27462.433495668702</v>
          </cell>
          <cell r="H778">
            <v>26342.404162373001</v>
          </cell>
          <cell r="I778">
            <v>185</v>
          </cell>
          <cell r="J778">
            <v>8.3921237190857597E-5</v>
          </cell>
          <cell r="K778">
            <v>2097</v>
          </cell>
          <cell r="L778">
            <v>3941.9662010483598</v>
          </cell>
          <cell r="M778">
            <v>151</v>
          </cell>
          <cell r="N778">
            <v>0.31272863130893103</v>
          </cell>
          <cell r="O778">
            <v>123</v>
          </cell>
          <cell r="Q778">
            <v>2696</v>
          </cell>
        </row>
        <row r="779">
          <cell r="B779" t="str">
            <v>COTTONWOOD 11029026</v>
          </cell>
          <cell r="C779">
            <v>102931102</v>
          </cell>
          <cell r="D779" t="str">
            <v>COTTONWOOD 1102</v>
          </cell>
          <cell r="E779">
            <v>9026</v>
          </cell>
          <cell r="F779" t="b">
            <v>0</v>
          </cell>
          <cell r="G779">
            <v>39327.074200337804</v>
          </cell>
          <cell r="H779">
            <v>20154.699159190601</v>
          </cell>
          <cell r="I779">
            <v>282</v>
          </cell>
          <cell r="J779">
            <v>7.3532123626916606E-5</v>
          </cell>
          <cell r="K779">
            <v>2382</v>
          </cell>
          <cell r="L779">
            <v>3010.4190935513302</v>
          </cell>
          <cell r="M779">
            <v>268</v>
          </cell>
          <cell r="N779">
            <v>0.22599125642835799</v>
          </cell>
          <cell r="O779">
            <v>271</v>
          </cell>
          <cell r="P779">
            <v>0.04</v>
          </cell>
          <cell r="Q779">
            <v>2131</v>
          </cell>
        </row>
        <row r="780">
          <cell r="B780" t="str">
            <v>COTTONWOOD 11031344</v>
          </cell>
          <cell r="C780">
            <v>102931103</v>
          </cell>
          <cell r="D780" t="str">
            <v>COTTONWOOD 1103</v>
          </cell>
          <cell r="E780">
            <v>1344</v>
          </cell>
          <cell r="F780" t="b">
            <v>0</v>
          </cell>
          <cell r="G780">
            <v>20065.0070963256</v>
          </cell>
          <cell r="H780">
            <v>16285.335365754299</v>
          </cell>
          <cell r="I780">
            <v>152</v>
          </cell>
          <cell r="J780">
            <v>6.9299102853236902E-5</v>
          </cell>
          <cell r="K780">
            <v>2497</v>
          </cell>
          <cell r="L780">
            <v>2362.2490658074098</v>
          </cell>
          <cell r="M780">
            <v>369</v>
          </cell>
          <cell r="N780">
            <v>0.113274835538948</v>
          </cell>
          <cell r="O780">
            <v>686</v>
          </cell>
          <cell r="P780">
            <v>4.34</v>
          </cell>
          <cell r="Q780">
            <v>522</v>
          </cell>
        </row>
        <row r="781">
          <cell r="B781" t="str">
            <v>COTTONWOOD 11031348</v>
          </cell>
          <cell r="C781">
            <v>102931103</v>
          </cell>
          <cell r="D781" t="str">
            <v>COTTONWOOD 1103</v>
          </cell>
          <cell r="E781">
            <v>1348</v>
          </cell>
          <cell r="F781" t="b">
            <v>0</v>
          </cell>
          <cell r="G781">
            <v>51267.8366836805</v>
          </cell>
          <cell r="H781">
            <v>46964.647198593499</v>
          </cell>
          <cell r="I781">
            <v>357</v>
          </cell>
          <cell r="J781">
            <v>6.4485215100408097E-5</v>
          </cell>
          <cell r="K781">
            <v>2628</v>
          </cell>
          <cell r="L781">
            <v>2847.1090489315202</v>
          </cell>
          <cell r="M781">
            <v>293</v>
          </cell>
          <cell r="N781">
            <v>0.146661799833504</v>
          </cell>
          <cell r="O781">
            <v>540</v>
          </cell>
          <cell r="P781">
            <v>0.1</v>
          </cell>
          <cell r="Q781">
            <v>1507</v>
          </cell>
        </row>
        <row r="782">
          <cell r="B782" t="str">
            <v>COTTONWOOD 11031616</v>
          </cell>
          <cell r="C782">
            <v>102931103</v>
          </cell>
          <cell r="D782" t="str">
            <v>COTTONWOOD 1103</v>
          </cell>
          <cell r="E782">
            <v>1616</v>
          </cell>
          <cell r="F782" t="b">
            <v>0</v>
          </cell>
          <cell r="G782">
            <v>79228.819627733305</v>
          </cell>
          <cell r="H782">
            <v>75536.237405252294</v>
          </cell>
          <cell r="I782">
            <v>454</v>
          </cell>
          <cell r="J782">
            <v>5.1838727688416503E-5</v>
          </cell>
          <cell r="K782">
            <v>2998</v>
          </cell>
          <cell r="L782">
            <v>2965.2948779082299</v>
          </cell>
          <cell r="M782">
            <v>276</v>
          </cell>
          <cell r="N782">
            <v>0.13914878787734</v>
          </cell>
          <cell r="O782">
            <v>572</v>
          </cell>
          <cell r="P782">
            <v>3.66</v>
          </cell>
          <cell r="Q782">
            <v>538</v>
          </cell>
        </row>
        <row r="783">
          <cell r="B783" t="str">
            <v>COTTONWOOD 110335470</v>
          </cell>
          <cell r="C783">
            <v>102931103</v>
          </cell>
          <cell r="D783" t="str">
            <v>COTTONWOOD 1103</v>
          </cell>
          <cell r="E783">
            <v>35470</v>
          </cell>
          <cell r="F783" t="b">
            <v>0</v>
          </cell>
          <cell r="G783">
            <v>40109.7772406109</v>
          </cell>
          <cell r="H783">
            <v>33111.191948143503</v>
          </cell>
          <cell r="I783">
            <v>174</v>
          </cell>
          <cell r="J783">
            <v>7.9998265088458199E-5</v>
          </cell>
          <cell r="K783">
            <v>2205</v>
          </cell>
          <cell r="L783">
            <v>2635.2321499292302</v>
          </cell>
          <cell r="M783">
            <v>323</v>
          </cell>
          <cell r="N783">
            <v>0.18214130193563899</v>
          </cell>
          <cell r="O783">
            <v>394</v>
          </cell>
          <cell r="P783">
            <v>1.26</v>
          </cell>
          <cell r="Q783">
            <v>692</v>
          </cell>
        </row>
        <row r="784">
          <cell r="B784" t="str">
            <v>COTTONWOOD 110359128</v>
          </cell>
          <cell r="C784">
            <v>102931103</v>
          </cell>
          <cell r="D784" t="str">
            <v>COTTONWOOD 1103</v>
          </cell>
          <cell r="E784">
            <v>59128</v>
          </cell>
          <cell r="F784" t="b">
            <v>0</v>
          </cell>
          <cell r="G784">
            <v>11301.2737082236</v>
          </cell>
          <cell r="H784">
            <v>1201.9481748017199</v>
          </cell>
          <cell r="I784">
            <v>65</v>
          </cell>
          <cell r="J784">
            <v>1.0016627253669801E-4</v>
          </cell>
          <cell r="K784">
            <v>1639</v>
          </cell>
          <cell r="L784">
            <v>414.13676303016598</v>
          </cell>
          <cell r="M784">
            <v>1279</v>
          </cell>
          <cell r="N784">
            <v>2.23974990916209E-2</v>
          </cell>
          <cell r="O784">
            <v>1621</v>
          </cell>
          <cell r="Q784">
            <v>2980</v>
          </cell>
        </row>
        <row r="785">
          <cell r="B785" t="str">
            <v>COTTONWOOD 11039072</v>
          </cell>
          <cell r="C785">
            <v>102931103</v>
          </cell>
          <cell r="D785" t="str">
            <v>COTTONWOOD 1103</v>
          </cell>
          <cell r="E785">
            <v>9072</v>
          </cell>
          <cell r="F785" t="b">
            <v>0</v>
          </cell>
          <cell r="G785">
            <v>46343.920805837297</v>
          </cell>
          <cell r="H785">
            <v>46343.920805837297</v>
          </cell>
          <cell r="I785">
            <v>279</v>
          </cell>
          <cell r="J785">
            <v>4.9258062135252098E-5</v>
          </cell>
          <cell r="K785">
            <v>3057</v>
          </cell>
          <cell r="L785">
            <v>3602.3142668877099</v>
          </cell>
          <cell r="M785">
            <v>190</v>
          </cell>
          <cell r="N785">
            <v>0.16979802133447799</v>
          </cell>
          <cell r="O785">
            <v>437</v>
          </cell>
          <cell r="P785">
            <v>4.2</v>
          </cell>
          <cell r="Q785">
            <v>524</v>
          </cell>
        </row>
        <row r="786">
          <cell r="B786" t="str">
            <v>COVELO 1101112804</v>
          </cell>
          <cell r="C786">
            <v>43061101</v>
          </cell>
          <cell r="D786" t="str">
            <v>COVELO 1101</v>
          </cell>
          <cell r="E786">
            <v>112804</v>
          </cell>
          <cell r="F786" t="b">
            <v>0</v>
          </cell>
          <cell r="G786">
            <v>30691.366911407498</v>
          </cell>
          <cell r="H786">
            <v>16512.5111405918</v>
          </cell>
          <cell r="I786">
            <v>67</v>
          </cell>
          <cell r="J786">
            <v>9.7484048751539295E-5</v>
          </cell>
          <cell r="K786">
            <v>1701</v>
          </cell>
          <cell r="L786">
            <v>651.03617305995397</v>
          </cell>
          <cell r="M786">
            <v>1064</v>
          </cell>
          <cell r="N786">
            <v>4.34426715414599E-2</v>
          </cell>
          <cell r="O786">
            <v>1250</v>
          </cell>
          <cell r="Q786">
            <v>3111</v>
          </cell>
        </row>
        <row r="787">
          <cell r="B787" t="str">
            <v>COVELO 1101306476</v>
          </cell>
          <cell r="C787">
            <v>43061101</v>
          </cell>
          <cell r="D787" t="str">
            <v>COVELO 1101</v>
          </cell>
          <cell r="E787">
            <v>306476</v>
          </cell>
          <cell r="F787" t="b">
            <v>0</v>
          </cell>
          <cell r="G787">
            <v>16292.4669004354</v>
          </cell>
          <cell r="H787">
            <v>3106.3769590478701</v>
          </cell>
          <cell r="I787">
            <v>49</v>
          </cell>
          <cell r="J787">
            <v>1.0648327232350599E-4</v>
          </cell>
          <cell r="K787">
            <v>1486</v>
          </cell>
          <cell r="L787">
            <v>598.75305377511097</v>
          </cell>
          <cell r="M787">
            <v>1101</v>
          </cell>
          <cell r="N787">
            <v>6.9853156004165404E-2</v>
          </cell>
          <cell r="O787">
            <v>979</v>
          </cell>
          <cell r="Q787">
            <v>3316</v>
          </cell>
        </row>
        <row r="788">
          <cell r="B788" t="str">
            <v>COVELO 1101430286</v>
          </cell>
          <cell r="C788">
            <v>43061101</v>
          </cell>
          <cell r="D788" t="str">
            <v>COVELO 1101</v>
          </cell>
          <cell r="E788">
            <v>430286</v>
          </cell>
          <cell r="F788" t="b">
            <v>0</v>
          </cell>
          <cell r="G788">
            <v>8696.3654847051494</v>
          </cell>
          <cell r="H788">
            <v>5942.5050586570796</v>
          </cell>
          <cell r="I788">
            <v>13</v>
          </cell>
          <cell r="J788">
            <v>7.0158643514635799E-5</v>
          </cell>
          <cell r="K788">
            <v>2468</v>
          </cell>
          <cell r="L788">
            <v>482.81799869057699</v>
          </cell>
          <cell r="M788">
            <v>1213</v>
          </cell>
          <cell r="N788">
            <v>2.5652250715687601E-2</v>
          </cell>
          <cell r="O788">
            <v>1541</v>
          </cell>
          <cell r="Q788">
            <v>3410</v>
          </cell>
        </row>
        <row r="789">
          <cell r="B789" t="str">
            <v>COVELO 1101478952</v>
          </cell>
          <cell r="C789">
            <v>43061101</v>
          </cell>
          <cell r="D789" t="str">
            <v>COVELO 1101</v>
          </cell>
          <cell r="E789">
            <v>478952</v>
          </cell>
          <cell r="F789" t="b">
            <v>0</v>
          </cell>
          <cell r="G789">
            <v>5727.3170581987697</v>
          </cell>
          <cell r="H789">
            <v>1143.66615956284</v>
          </cell>
          <cell r="I789">
            <v>39</v>
          </cell>
          <cell r="J789">
            <v>1.12878373233558E-4</v>
          </cell>
          <cell r="K789">
            <v>1347</v>
          </cell>
          <cell r="L789">
            <v>2674.31033621806</v>
          </cell>
          <cell r="M789">
            <v>318</v>
          </cell>
          <cell r="N789">
            <v>0.32367703446649299</v>
          </cell>
          <cell r="O789">
            <v>111</v>
          </cell>
          <cell r="Q789">
            <v>3082</v>
          </cell>
        </row>
        <row r="790">
          <cell r="B790" t="str">
            <v>COVELO 1101516510</v>
          </cell>
          <cell r="C790">
            <v>43061101</v>
          </cell>
          <cell r="D790" t="str">
            <v>COVELO 1101</v>
          </cell>
          <cell r="E790">
            <v>516510</v>
          </cell>
          <cell r="F790" t="b">
            <v>0</v>
          </cell>
          <cell r="G790">
            <v>13673.072508744899</v>
          </cell>
          <cell r="H790">
            <v>6073.34786684763</v>
          </cell>
          <cell r="I790">
            <v>73</v>
          </cell>
          <cell r="J790">
            <v>9.30605548463473E-5</v>
          </cell>
          <cell r="K790">
            <v>1818</v>
          </cell>
          <cell r="L790">
            <v>270.87096389248501</v>
          </cell>
          <cell r="M790">
            <v>1493</v>
          </cell>
          <cell r="N790">
            <v>2.33703389785203E-2</v>
          </cell>
          <cell r="O790">
            <v>1591</v>
          </cell>
          <cell r="Q790">
            <v>3347</v>
          </cell>
        </row>
        <row r="791">
          <cell r="B791" t="str">
            <v>COVELO 1101627416</v>
          </cell>
          <cell r="C791">
            <v>43061101</v>
          </cell>
          <cell r="D791" t="str">
            <v>COVELO 1101</v>
          </cell>
          <cell r="E791">
            <v>627416</v>
          </cell>
          <cell r="F791" t="b">
            <v>1</v>
          </cell>
          <cell r="G791">
            <v>5034.3821732854003</v>
          </cell>
          <cell r="H791">
            <v>971.51239289734804</v>
          </cell>
          <cell r="I791">
            <v>14</v>
          </cell>
          <cell r="J791">
            <v>9.4497563483085997E-5</v>
          </cell>
          <cell r="K791">
            <v>1779</v>
          </cell>
          <cell r="L791">
            <v>1192.7699043027401</v>
          </cell>
          <cell r="M791">
            <v>735</v>
          </cell>
          <cell r="N791">
            <v>0.13024178787082699</v>
          </cell>
          <cell r="O791">
            <v>603</v>
          </cell>
          <cell r="Q791">
            <v>3590</v>
          </cell>
        </row>
        <row r="792">
          <cell r="B792" t="str">
            <v>CRESCENT MILLS 21012056</v>
          </cell>
          <cell r="C792">
            <v>103132101</v>
          </cell>
          <cell r="D792" t="str">
            <v>CRESCENT MILLS 2101</v>
          </cell>
          <cell r="E792">
            <v>2056</v>
          </cell>
          <cell r="F792" t="b">
            <v>0</v>
          </cell>
          <cell r="G792">
            <v>10443.0867692027</v>
          </cell>
          <cell r="H792">
            <v>8069.9513186005497</v>
          </cell>
          <cell r="I792">
            <v>70</v>
          </cell>
          <cell r="J792">
            <v>1.1545578737630899E-4</v>
          </cell>
          <cell r="K792">
            <v>1289</v>
          </cell>
          <cell r="L792">
            <v>677.93168100586001</v>
          </cell>
          <cell r="M792">
            <v>1037</v>
          </cell>
          <cell r="N792">
            <v>8.0307722433482706E-2</v>
          </cell>
          <cell r="O792">
            <v>895</v>
          </cell>
          <cell r="P792">
            <v>3.29</v>
          </cell>
          <cell r="Q792">
            <v>551</v>
          </cell>
        </row>
        <row r="793">
          <cell r="B793" t="str">
            <v>CRESCENT MILLS 21012230</v>
          </cell>
          <cell r="C793">
            <v>103132101</v>
          </cell>
          <cell r="D793" t="str">
            <v>CRESCENT MILLS 2101</v>
          </cell>
          <cell r="E793">
            <v>2230</v>
          </cell>
          <cell r="F793" t="b">
            <v>0</v>
          </cell>
          <cell r="G793">
            <v>17863.158908401601</v>
          </cell>
          <cell r="H793">
            <v>10972.6709174835</v>
          </cell>
          <cell r="I793">
            <v>112</v>
          </cell>
          <cell r="J793">
            <v>5.68495667746016E-5</v>
          </cell>
          <cell r="K793">
            <v>2866</v>
          </cell>
          <cell r="L793">
            <v>738.50328922593701</v>
          </cell>
          <cell r="M793">
            <v>984</v>
          </cell>
          <cell r="N793">
            <v>3.6587131002719597E-2</v>
          </cell>
          <cell r="O793">
            <v>1343</v>
          </cell>
          <cell r="P793">
            <v>1.1399999999999999</v>
          </cell>
          <cell r="Q793">
            <v>710</v>
          </cell>
        </row>
        <row r="794">
          <cell r="B794" t="str">
            <v>CRESCENT MILLS 21012232</v>
          </cell>
          <cell r="C794">
            <v>103132101</v>
          </cell>
          <cell r="D794" t="str">
            <v>CRESCENT MILLS 2101</v>
          </cell>
          <cell r="E794">
            <v>2232</v>
          </cell>
          <cell r="F794" t="b">
            <v>0</v>
          </cell>
          <cell r="G794">
            <v>32508.1294245512</v>
          </cell>
          <cell r="H794">
            <v>25513.6467533785</v>
          </cell>
          <cell r="I794">
            <v>128</v>
          </cell>
          <cell r="J794">
            <v>4.4844275466821797E-5</v>
          </cell>
          <cell r="K794">
            <v>3165</v>
          </cell>
          <cell r="L794">
            <v>539.03616517979299</v>
          </cell>
          <cell r="M794">
            <v>1160</v>
          </cell>
          <cell r="N794">
            <v>1.7666922349340201E-2</v>
          </cell>
          <cell r="O794">
            <v>1717</v>
          </cell>
          <cell r="P794">
            <v>4.6900000000000004</v>
          </cell>
          <cell r="Q794">
            <v>510</v>
          </cell>
        </row>
        <row r="795">
          <cell r="B795" t="str">
            <v>CRESCENT MILLS 21012562</v>
          </cell>
          <cell r="C795">
            <v>103132101</v>
          </cell>
          <cell r="D795" t="str">
            <v>CRESCENT MILLS 2101</v>
          </cell>
          <cell r="E795">
            <v>2562</v>
          </cell>
          <cell r="F795" t="b">
            <v>0</v>
          </cell>
          <cell r="G795">
            <v>55111.704363304598</v>
          </cell>
          <cell r="H795">
            <v>31122.732211959399</v>
          </cell>
          <cell r="I795">
            <v>222</v>
          </cell>
          <cell r="J795">
            <v>5.8349658900948397E-5</v>
          </cell>
          <cell r="K795">
            <v>2824</v>
          </cell>
          <cell r="L795">
            <v>1193.0263450017001</v>
          </cell>
          <cell r="M795">
            <v>734</v>
          </cell>
          <cell r="N795">
            <v>5.7915359965429403E-2</v>
          </cell>
          <cell r="O795">
            <v>1078</v>
          </cell>
          <cell r="P795">
            <v>0.05</v>
          </cell>
          <cell r="Q795">
            <v>1950</v>
          </cell>
        </row>
        <row r="796">
          <cell r="B796" t="str">
            <v>CRESCENT MILLS 21013113</v>
          </cell>
          <cell r="C796">
            <v>103132101</v>
          </cell>
          <cell r="D796" t="str">
            <v>CRESCENT MILLS 2101</v>
          </cell>
          <cell r="E796">
            <v>3113</v>
          </cell>
          <cell r="F796" t="b">
            <v>0</v>
          </cell>
          <cell r="G796">
            <v>1919.7006533072399</v>
          </cell>
          <cell r="H796">
            <v>1919.7006533072399</v>
          </cell>
          <cell r="I796">
            <v>9</v>
          </cell>
          <cell r="J796">
            <v>5.17536069916483E-5</v>
          </cell>
          <cell r="K796">
            <v>2999</v>
          </cell>
          <cell r="L796">
            <v>970.93064691778795</v>
          </cell>
          <cell r="M796">
            <v>849</v>
          </cell>
          <cell r="N796">
            <v>4.2388725929470399E-2</v>
          </cell>
          <cell r="O796">
            <v>1263</v>
          </cell>
          <cell r="P796">
            <v>12.05</v>
          </cell>
          <cell r="Q796">
            <v>376</v>
          </cell>
        </row>
        <row r="797">
          <cell r="B797" t="str">
            <v>CRESCENT MILLS 2101CB</v>
          </cell>
          <cell r="C797">
            <v>103132101</v>
          </cell>
          <cell r="D797" t="str">
            <v>CRESCENT MILLS 2101</v>
          </cell>
          <cell r="E797" t="str">
            <v>CB</v>
          </cell>
          <cell r="F797" t="b">
            <v>0</v>
          </cell>
          <cell r="G797">
            <v>9227.3447465889694</v>
          </cell>
          <cell r="H797">
            <v>4545.92640716592</v>
          </cell>
          <cell r="I797">
            <v>60</v>
          </cell>
          <cell r="J797">
            <v>7.4811760441662005E-5</v>
          </cell>
          <cell r="K797">
            <v>2336</v>
          </cell>
          <cell r="L797">
            <v>409.63871036148703</v>
          </cell>
          <cell r="M797">
            <v>1286</v>
          </cell>
          <cell r="N797">
            <v>2.9932499752625401E-2</v>
          </cell>
          <cell r="O797">
            <v>1461</v>
          </cell>
          <cell r="P797">
            <v>5.21</v>
          </cell>
          <cell r="Q797">
            <v>494</v>
          </cell>
        </row>
        <row r="798">
          <cell r="B798" t="str">
            <v>CRESTA 1101103126</v>
          </cell>
          <cell r="C798">
            <v>102251101</v>
          </cell>
          <cell r="D798" t="str">
            <v>CRESTA 1101</v>
          </cell>
          <cell r="E798">
            <v>103126</v>
          </cell>
          <cell r="F798" t="b">
            <v>1</v>
          </cell>
          <cell r="G798">
            <v>487.03346468191398</v>
          </cell>
          <cell r="H798">
            <v>487.03346468191398</v>
          </cell>
          <cell r="I798">
            <v>5</v>
          </cell>
          <cell r="J798">
            <v>1.0399041813798199E-3</v>
          </cell>
          <cell r="K798">
            <v>1</v>
          </cell>
          <cell r="L798">
            <v>6.6431758675379496E-2</v>
          </cell>
          <cell r="M798">
            <v>2993</v>
          </cell>
          <cell r="N798">
            <v>6.9082663622942596E-5</v>
          </cell>
          <cell r="O798">
            <v>2890</v>
          </cell>
          <cell r="Q798">
            <v>3462</v>
          </cell>
        </row>
        <row r="799">
          <cell r="B799" t="str">
            <v>CRESTA 1101546650</v>
          </cell>
          <cell r="C799">
            <v>102251101</v>
          </cell>
          <cell r="D799" t="str">
            <v>CRESTA 1101</v>
          </cell>
          <cell r="E799">
            <v>546650</v>
          </cell>
          <cell r="F799" t="b">
            <v>0</v>
          </cell>
          <cell r="G799">
            <v>1443.1770204080899</v>
          </cell>
          <cell r="H799">
            <v>1443.1770204080899</v>
          </cell>
          <cell r="I799">
            <v>6</v>
          </cell>
          <cell r="J799">
            <v>5.2978839812567403E-4</v>
          </cell>
          <cell r="K799">
            <v>27</v>
          </cell>
          <cell r="L799">
            <v>978.32560798352995</v>
          </cell>
          <cell r="M799">
            <v>845</v>
          </cell>
          <cell r="N799">
            <v>0.50290707501140297</v>
          </cell>
          <cell r="O799">
            <v>33</v>
          </cell>
          <cell r="Q799">
            <v>2920</v>
          </cell>
        </row>
        <row r="800">
          <cell r="B800" t="str">
            <v>CURTIS 170190120</v>
          </cell>
          <cell r="C800">
            <v>163351701</v>
          </cell>
          <cell r="D800" t="str">
            <v>CURTIS 1701</v>
          </cell>
          <cell r="E800">
            <v>90120</v>
          </cell>
          <cell r="F800" t="b">
            <v>0</v>
          </cell>
          <cell r="G800">
            <v>8309.12917849109</v>
          </cell>
          <cell r="H800">
            <v>5041.5999011333197</v>
          </cell>
          <cell r="I800">
            <v>64</v>
          </cell>
          <cell r="J800">
            <v>1.04389692097583E-4</v>
          </cell>
          <cell r="K800">
            <v>1542</v>
          </cell>
          <cell r="L800">
            <v>5.6342098218155998</v>
          </cell>
          <cell r="M800">
            <v>2725</v>
          </cell>
          <cell r="N800">
            <v>8.2386635228586002E-4</v>
          </cell>
          <cell r="O800">
            <v>2667</v>
          </cell>
          <cell r="P800">
            <v>0.04</v>
          </cell>
          <cell r="Q800">
            <v>2200</v>
          </cell>
        </row>
        <row r="801">
          <cell r="B801" t="str">
            <v>CURTIS 17019230</v>
          </cell>
          <cell r="C801">
            <v>163351701</v>
          </cell>
          <cell r="D801" t="str">
            <v>CURTIS 1701</v>
          </cell>
          <cell r="E801">
            <v>9230</v>
          </cell>
          <cell r="F801" t="b">
            <v>0</v>
          </cell>
          <cell r="G801">
            <v>5065.9523593262102</v>
          </cell>
          <cell r="H801">
            <v>4064.6381066290201</v>
          </cell>
          <cell r="I801">
            <v>41</v>
          </cell>
          <cell r="J801">
            <v>1.21735516142685E-4</v>
          </cell>
          <cell r="K801">
            <v>1152</v>
          </cell>
          <cell r="L801">
            <v>32.128752338086599</v>
          </cell>
          <cell r="M801">
            <v>2327</v>
          </cell>
          <cell r="N801">
            <v>3.3424980113830102E-3</v>
          </cell>
          <cell r="O801">
            <v>2310</v>
          </cell>
          <cell r="P801">
            <v>0.04</v>
          </cell>
          <cell r="Q801">
            <v>2191</v>
          </cell>
        </row>
        <row r="802">
          <cell r="B802" t="str">
            <v>CURTIS 1701CB</v>
          </cell>
          <cell r="C802">
            <v>163351701</v>
          </cell>
          <cell r="D802" t="str">
            <v>CURTIS 1701</v>
          </cell>
          <cell r="E802" t="str">
            <v>CB</v>
          </cell>
          <cell r="F802" t="b">
            <v>0</v>
          </cell>
          <cell r="G802">
            <v>20034.287114252998</v>
          </cell>
          <cell r="H802">
            <v>12973.536314331301</v>
          </cell>
          <cell r="I802">
            <v>159</v>
          </cell>
          <cell r="J802">
            <v>1.2464156859477301E-4</v>
          </cell>
          <cell r="K802">
            <v>1103</v>
          </cell>
          <cell r="L802">
            <v>555.18237541742405</v>
          </cell>
          <cell r="M802">
            <v>1140</v>
          </cell>
          <cell r="N802">
            <v>5.1116452679953898E-2</v>
          </cell>
          <cell r="O802">
            <v>1166</v>
          </cell>
          <cell r="P802">
            <v>0.08</v>
          </cell>
          <cell r="Q802">
            <v>1582</v>
          </cell>
        </row>
        <row r="803">
          <cell r="B803" t="str">
            <v>CURTIS 170210940</v>
          </cell>
          <cell r="C803">
            <v>163351702</v>
          </cell>
          <cell r="D803" t="str">
            <v>CURTIS 1702</v>
          </cell>
          <cell r="E803">
            <v>10940</v>
          </cell>
          <cell r="F803" t="b">
            <v>0</v>
          </cell>
          <cell r="G803">
            <v>17097.711030778701</v>
          </cell>
          <cell r="H803">
            <v>13824.959177086501</v>
          </cell>
          <cell r="I803">
            <v>138</v>
          </cell>
          <cell r="J803">
            <v>1.2880443885649899E-4</v>
          </cell>
          <cell r="K803">
            <v>1032</v>
          </cell>
          <cell r="L803">
            <v>78.915757207388793</v>
          </cell>
          <cell r="M803">
            <v>2055</v>
          </cell>
          <cell r="N803">
            <v>7.3787521627644596E-3</v>
          </cell>
          <cell r="O803">
            <v>2078</v>
          </cell>
          <cell r="P803">
            <v>0.13</v>
          </cell>
          <cell r="Q803">
            <v>1356</v>
          </cell>
        </row>
        <row r="804">
          <cell r="B804" t="str">
            <v>CURTIS 170234426</v>
          </cell>
          <cell r="C804">
            <v>163351702</v>
          </cell>
          <cell r="D804" t="str">
            <v>CURTIS 1702</v>
          </cell>
          <cell r="E804">
            <v>34426</v>
          </cell>
          <cell r="F804" t="b">
            <v>0</v>
          </cell>
          <cell r="G804">
            <v>11062.8210111514</v>
          </cell>
          <cell r="H804">
            <v>7591.2944178801799</v>
          </cell>
          <cell r="I804">
            <v>81</v>
          </cell>
          <cell r="J804">
            <v>1.04097187588958E-4</v>
          </cell>
          <cell r="K804">
            <v>1549</v>
          </cell>
          <cell r="L804">
            <v>18.641988939525099</v>
          </cell>
          <cell r="M804">
            <v>2465</v>
          </cell>
          <cell r="N804">
            <v>2.9696857317996501E-3</v>
          </cell>
          <cell r="O804">
            <v>2355</v>
          </cell>
          <cell r="P804">
            <v>0.2</v>
          </cell>
          <cell r="Q804">
            <v>1161</v>
          </cell>
        </row>
        <row r="805">
          <cell r="B805" t="str">
            <v>CURTIS 170247488</v>
          </cell>
          <cell r="C805">
            <v>163351702</v>
          </cell>
          <cell r="D805" t="str">
            <v>CURTIS 1702</v>
          </cell>
          <cell r="E805">
            <v>47488</v>
          </cell>
          <cell r="F805" t="b">
            <v>0</v>
          </cell>
          <cell r="G805">
            <v>33425.217894436202</v>
          </cell>
          <cell r="H805">
            <v>30588.7641245919</v>
          </cell>
          <cell r="I805">
            <v>207</v>
          </cell>
          <cell r="J805">
            <v>1.14021780151795E-4</v>
          </cell>
          <cell r="K805">
            <v>1320</v>
          </cell>
          <cell r="L805">
            <v>706.18513840109301</v>
          </cell>
          <cell r="M805">
            <v>1015</v>
          </cell>
          <cell r="N805">
            <v>7.3380072740529503E-2</v>
          </cell>
          <cell r="O805">
            <v>953</v>
          </cell>
          <cell r="P805">
            <v>0.19</v>
          </cell>
          <cell r="Q805">
            <v>1176</v>
          </cell>
        </row>
        <row r="806">
          <cell r="B806" t="str">
            <v>CURTIS 17026008</v>
          </cell>
          <cell r="C806">
            <v>163351702</v>
          </cell>
          <cell r="D806" t="str">
            <v>CURTIS 1702</v>
          </cell>
          <cell r="E806">
            <v>6008</v>
          </cell>
          <cell r="F806" t="b">
            <v>0</v>
          </cell>
          <cell r="G806">
            <v>37504.318118356299</v>
          </cell>
          <cell r="H806">
            <v>37504.318118356299</v>
          </cell>
          <cell r="I806">
            <v>236</v>
          </cell>
          <cell r="J806">
            <v>8.3382282784751096E-5</v>
          </cell>
          <cell r="K806">
            <v>2122</v>
          </cell>
          <cell r="L806">
            <v>1032.74993408667</v>
          </cell>
          <cell r="M806">
            <v>806</v>
          </cell>
          <cell r="N806">
            <v>9.4797013405899799E-2</v>
          </cell>
          <cell r="O806">
            <v>794</v>
          </cell>
          <cell r="P806">
            <v>0.31</v>
          </cell>
          <cell r="Q806">
            <v>1010</v>
          </cell>
        </row>
        <row r="807">
          <cell r="B807" t="str">
            <v>CURTIS 170268380</v>
          </cell>
          <cell r="C807">
            <v>163351702</v>
          </cell>
          <cell r="D807" t="str">
            <v>CURTIS 1702</v>
          </cell>
          <cell r="E807">
            <v>68380</v>
          </cell>
          <cell r="F807" t="b">
            <v>0</v>
          </cell>
          <cell r="G807">
            <v>10711.9675291393</v>
          </cell>
          <cell r="H807">
            <v>10711.9675291393</v>
          </cell>
          <cell r="I807">
            <v>88</v>
          </cell>
          <cell r="J807">
            <v>1.2792501508391199E-4</v>
          </cell>
          <cell r="K807">
            <v>1048</v>
          </cell>
          <cell r="L807">
            <v>2.22626517171209</v>
          </cell>
          <cell r="M807">
            <v>2832</v>
          </cell>
          <cell r="N807">
            <v>1.2865377705133E-4</v>
          </cell>
          <cell r="O807">
            <v>2862</v>
          </cell>
          <cell r="P807">
            <v>0.74</v>
          </cell>
          <cell r="Q807">
            <v>791</v>
          </cell>
        </row>
        <row r="808">
          <cell r="B808" t="str">
            <v>CURTIS 17028000</v>
          </cell>
          <cell r="C808">
            <v>163351702</v>
          </cell>
          <cell r="D808" t="str">
            <v>CURTIS 1702</v>
          </cell>
          <cell r="E808">
            <v>8000</v>
          </cell>
          <cell r="F808" t="b">
            <v>0</v>
          </cell>
          <cell r="G808">
            <v>23055.460205528099</v>
          </cell>
          <cell r="H808">
            <v>23055.460205528099</v>
          </cell>
          <cell r="I808">
            <v>174</v>
          </cell>
          <cell r="J808">
            <v>1.11593063081074E-4</v>
          </cell>
          <cell r="K808">
            <v>1377</v>
          </cell>
          <cell r="L808">
            <v>95.781789912574595</v>
          </cell>
          <cell r="M808">
            <v>1979</v>
          </cell>
          <cell r="N808">
            <v>5.6032490691555704E-3</v>
          </cell>
          <cell r="O808">
            <v>2175</v>
          </cell>
          <cell r="P808">
            <v>0.55000000000000004</v>
          </cell>
          <cell r="Q808">
            <v>871</v>
          </cell>
        </row>
        <row r="809">
          <cell r="B809" t="str">
            <v>CURTIS 17029220</v>
          </cell>
          <cell r="C809">
            <v>163351702</v>
          </cell>
          <cell r="D809" t="str">
            <v>CURTIS 1702</v>
          </cell>
          <cell r="E809">
            <v>9220</v>
          </cell>
          <cell r="F809" t="b">
            <v>0</v>
          </cell>
          <cell r="G809">
            <v>18356.540332817702</v>
          </cell>
          <cell r="H809">
            <v>17704.0280666211</v>
          </cell>
          <cell r="I809">
            <v>123</v>
          </cell>
          <cell r="J809">
            <v>1.2860873835236999E-4</v>
          </cell>
          <cell r="K809">
            <v>1036</v>
          </cell>
          <cell r="L809">
            <v>658.70551811946098</v>
          </cell>
          <cell r="M809">
            <v>1055</v>
          </cell>
          <cell r="N809">
            <v>6.5660611652216497E-2</v>
          </cell>
          <cell r="O809">
            <v>1015</v>
          </cell>
          <cell r="P809">
            <v>0.19</v>
          </cell>
          <cell r="Q809">
            <v>1191</v>
          </cell>
        </row>
        <row r="810">
          <cell r="B810" t="str">
            <v>CURTIS 1702CB</v>
          </cell>
          <cell r="C810">
            <v>163351702</v>
          </cell>
          <cell r="D810" t="str">
            <v>CURTIS 1702</v>
          </cell>
          <cell r="E810" t="str">
            <v>CB</v>
          </cell>
          <cell r="F810" t="b">
            <v>0</v>
          </cell>
          <cell r="G810">
            <v>36887.026547249901</v>
          </cell>
          <cell r="H810">
            <v>35506.515177699002</v>
          </cell>
          <cell r="I810">
            <v>293</v>
          </cell>
          <cell r="J810">
            <v>1.32839607418919E-4</v>
          </cell>
          <cell r="K810">
            <v>960</v>
          </cell>
          <cell r="L810">
            <v>388.03466662995902</v>
          </cell>
          <cell r="M810">
            <v>1309</v>
          </cell>
          <cell r="N810">
            <v>3.6175040834033403E-2</v>
          </cell>
          <cell r="O810">
            <v>1351</v>
          </cell>
          <cell r="P810">
            <v>0.18</v>
          </cell>
          <cell r="Q810">
            <v>1199</v>
          </cell>
        </row>
        <row r="811">
          <cell r="B811" t="str">
            <v>CURTIS 1702S2123</v>
          </cell>
          <cell r="C811">
            <v>163351702</v>
          </cell>
          <cell r="D811" t="str">
            <v>CURTIS 1702</v>
          </cell>
          <cell r="E811" t="str">
            <v>S2123</v>
          </cell>
          <cell r="F811" t="b">
            <v>0</v>
          </cell>
          <cell r="G811">
            <v>2988.98548688964</v>
          </cell>
          <cell r="H811">
            <v>2988.98548688964</v>
          </cell>
          <cell r="I811">
            <v>25</v>
          </cell>
          <cell r="J811">
            <v>1.29861132008954E-4</v>
          </cell>
          <cell r="K811">
            <v>1010</v>
          </cell>
          <cell r="L811">
            <v>1.9670851802825899</v>
          </cell>
          <cell r="M811">
            <v>2845</v>
          </cell>
          <cell r="N811">
            <v>1.7176511859292399E-4</v>
          </cell>
          <cell r="O811">
            <v>2847</v>
          </cell>
          <cell r="Q811">
            <v>3018</v>
          </cell>
        </row>
        <row r="812">
          <cell r="B812" t="str">
            <v>CURTIS 170349746</v>
          </cell>
          <cell r="C812">
            <v>163351703</v>
          </cell>
          <cell r="D812" t="str">
            <v>CURTIS 1703</v>
          </cell>
          <cell r="E812">
            <v>49746</v>
          </cell>
          <cell r="F812" t="b">
            <v>1</v>
          </cell>
          <cell r="G812">
            <v>601.90074408059297</v>
          </cell>
          <cell r="H812">
            <v>601.90074408059297</v>
          </cell>
          <cell r="I812">
            <v>3</v>
          </cell>
          <cell r="J812">
            <v>3.4013874634789899E-4</v>
          </cell>
          <cell r="K812">
            <v>97</v>
          </cell>
          <cell r="L812">
            <v>221.86864563822701</v>
          </cell>
          <cell r="M812">
            <v>1601</v>
          </cell>
          <cell r="N812">
            <v>7.7171955439927997E-2</v>
          </cell>
          <cell r="O812">
            <v>925</v>
          </cell>
          <cell r="P812">
            <v>0.04</v>
          </cell>
          <cell r="Q812">
            <v>2076</v>
          </cell>
        </row>
        <row r="813">
          <cell r="B813" t="str">
            <v>CURTIS 170356972</v>
          </cell>
          <cell r="C813">
            <v>163351703</v>
          </cell>
          <cell r="D813" t="str">
            <v>CURTIS 1703</v>
          </cell>
          <cell r="E813">
            <v>56972</v>
          </cell>
          <cell r="F813" t="b">
            <v>0</v>
          </cell>
          <cell r="G813">
            <v>13791.0470695731</v>
          </cell>
          <cell r="H813">
            <v>13791.0470695731</v>
          </cell>
          <cell r="I813">
            <v>57</v>
          </cell>
          <cell r="J813">
            <v>1.17527841731706E-4</v>
          </cell>
          <cell r="K813">
            <v>1234</v>
          </cell>
          <cell r="L813">
            <v>612.45451863188498</v>
          </cell>
          <cell r="M813">
            <v>1090</v>
          </cell>
          <cell r="N813">
            <v>6.0186112067615399E-2</v>
          </cell>
          <cell r="O813">
            <v>1062</v>
          </cell>
          <cell r="P813">
            <v>0.04</v>
          </cell>
          <cell r="Q813">
            <v>2114</v>
          </cell>
        </row>
        <row r="814">
          <cell r="B814" t="str">
            <v>CURTIS 17036064</v>
          </cell>
          <cell r="C814">
            <v>163351703</v>
          </cell>
          <cell r="D814" t="str">
            <v>CURTIS 1703</v>
          </cell>
          <cell r="E814">
            <v>6064</v>
          </cell>
          <cell r="F814" t="b">
            <v>0</v>
          </cell>
          <cell r="G814">
            <v>31643.7207388979</v>
          </cell>
          <cell r="H814">
            <v>30550.9365525393</v>
          </cell>
          <cell r="I814">
            <v>199</v>
          </cell>
          <cell r="J814">
            <v>7.5695883278236494E-5</v>
          </cell>
          <cell r="K814">
            <v>2315</v>
          </cell>
          <cell r="L814">
            <v>471.66611570037401</v>
          </cell>
          <cell r="M814">
            <v>1222</v>
          </cell>
          <cell r="N814">
            <v>2.9563941561665301E-2</v>
          </cell>
          <cell r="O814">
            <v>1471</v>
          </cell>
          <cell r="P814">
            <v>0.2</v>
          </cell>
          <cell r="Q814">
            <v>1167</v>
          </cell>
        </row>
        <row r="815">
          <cell r="B815" t="str">
            <v>CURTIS 170384944</v>
          </cell>
          <cell r="C815">
            <v>163351703</v>
          </cell>
          <cell r="D815" t="str">
            <v>CURTIS 1703</v>
          </cell>
          <cell r="E815">
            <v>84944</v>
          </cell>
          <cell r="F815" t="b">
            <v>0</v>
          </cell>
          <cell r="G815">
            <v>93674.307752977402</v>
          </cell>
          <cell r="H815">
            <v>93674.307752977402</v>
          </cell>
          <cell r="I815">
            <v>439</v>
          </cell>
          <cell r="J815">
            <v>7.7782182840400503E-5</v>
          </cell>
          <cell r="K815">
            <v>2268</v>
          </cell>
          <cell r="L815">
            <v>921.91646426057298</v>
          </cell>
          <cell r="M815">
            <v>873</v>
          </cell>
          <cell r="N815">
            <v>7.27248002137416E-2</v>
          </cell>
          <cell r="O815">
            <v>958</v>
          </cell>
          <cell r="Q815">
            <v>2719</v>
          </cell>
        </row>
        <row r="816">
          <cell r="B816" t="str">
            <v>CURTIS 170390320</v>
          </cell>
          <cell r="C816">
            <v>163351703</v>
          </cell>
          <cell r="D816" t="str">
            <v>CURTIS 1703</v>
          </cell>
          <cell r="E816">
            <v>90320</v>
          </cell>
          <cell r="F816" t="b">
            <v>0</v>
          </cell>
          <cell r="G816">
            <v>44849.663970165297</v>
          </cell>
          <cell r="H816">
            <v>44849.663970165297</v>
          </cell>
          <cell r="I816">
            <v>282</v>
          </cell>
          <cell r="J816">
            <v>7.4078876002537495E-5</v>
          </cell>
          <cell r="K816">
            <v>2356</v>
          </cell>
          <cell r="L816">
            <v>382.57493156342599</v>
          </cell>
          <cell r="M816">
            <v>1315</v>
          </cell>
          <cell r="N816">
            <v>1.7700946728232501E-2</v>
          </cell>
          <cell r="O816">
            <v>1716</v>
          </cell>
          <cell r="P816">
            <v>0.1</v>
          </cell>
          <cell r="Q816">
            <v>1463</v>
          </cell>
        </row>
        <row r="817">
          <cell r="B817" t="str">
            <v>CURTIS 17039210</v>
          </cell>
          <cell r="C817">
            <v>163351703</v>
          </cell>
          <cell r="D817" t="str">
            <v>CURTIS 1703</v>
          </cell>
          <cell r="E817">
            <v>9210</v>
          </cell>
          <cell r="F817" t="b">
            <v>0</v>
          </cell>
          <cell r="G817">
            <v>36192.6145649721</v>
          </cell>
          <cell r="H817">
            <v>36192.6145649721</v>
          </cell>
          <cell r="I817">
            <v>124</v>
          </cell>
          <cell r="J817">
            <v>4.5003038364920598E-5</v>
          </cell>
          <cell r="K817">
            <v>3160</v>
          </cell>
          <cell r="L817">
            <v>67.037559701661095</v>
          </cell>
          <cell r="M817">
            <v>2108</v>
          </cell>
          <cell r="N817">
            <v>3.0208764246730199E-3</v>
          </cell>
          <cell r="O817">
            <v>2348</v>
          </cell>
          <cell r="P817">
            <v>0.31</v>
          </cell>
          <cell r="Q817">
            <v>1004</v>
          </cell>
        </row>
        <row r="818">
          <cell r="B818" t="str">
            <v>CURTIS 17039240</v>
          </cell>
          <cell r="C818">
            <v>163351703</v>
          </cell>
          <cell r="D818" t="str">
            <v>CURTIS 1703</v>
          </cell>
          <cell r="E818">
            <v>9240</v>
          </cell>
          <cell r="F818" t="b">
            <v>0</v>
          </cell>
          <cell r="G818">
            <v>17656.496004991601</v>
          </cell>
          <cell r="H818">
            <v>17656.496004991601</v>
          </cell>
          <cell r="I818">
            <v>151</v>
          </cell>
          <cell r="J818">
            <v>8.9366517362132001E-5</v>
          </cell>
          <cell r="K818">
            <v>1936</v>
          </cell>
          <cell r="L818">
            <v>23.824595465367899</v>
          </cell>
          <cell r="M818">
            <v>2406</v>
          </cell>
          <cell r="N818">
            <v>1.53944732467969E-3</v>
          </cell>
          <cell r="O818">
            <v>2550</v>
          </cell>
          <cell r="P818">
            <v>0.09</v>
          </cell>
          <cell r="Q818">
            <v>1524</v>
          </cell>
        </row>
        <row r="819">
          <cell r="B819" t="str">
            <v>CURTIS 17039330</v>
          </cell>
          <cell r="C819">
            <v>163351703</v>
          </cell>
          <cell r="D819" t="str">
            <v>CURTIS 1703</v>
          </cell>
          <cell r="E819">
            <v>9330</v>
          </cell>
          <cell r="F819" t="b">
            <v>0</v>
          </cell>
          <cell r="G819">
            <v>66516.276596601601</v>
          </cell>
          <cell r="H819">
            <v>66516.276596601601</v>
          </cell>
          <cell r="I819">
            <v>345</v>
          </cell>
          <cell r="J819">
            <v>4.8088526167052302E-5</v>
          </cell>
          <cell r="K819">
            <v>3091</v>
          </cell>
          <cell r="L819">
            <v>936.72260675412997</v>
          </cell>
          <cell r="M819">
            <v>867</v>
          </cell>
          <cell r="N819">
            <v>4.4648465817148597E-2</v>
          </cell>
          <cell r="O819">
            <v>1234</v>
          </cell>
          <cell r="P819">
            <v>0.27</v>
          </cell>
          <cell r="Q819">
            <v>1056</v>
          </cell>
        </row>
        <row r="820">
          <cell r="B820" t="str">
            <v>CURTIS 1703CB</v>
          </cell>
          <cell r="C820">
            <v>163351703</v>
          </cell>
          <cell r="D820" t="str">
            <v>CURTIS 1703</v>
          </cell>
          <cell r="E820" t="str">
            <v>CB</v>
          </cell>
          <cell r="F820" t="b">
            <v>0</v>
          </cell>
          <cell r="G820">
            <v>17669.241172665199</v>
          </cell>
          <cell r="H820">
            <v>14555.921290608199</v>
          </cell>
          <cell r="I820">
            <v>119</v>
          </cell>
          <cell r="J820">
            <v>1.3142726815419599E-4</v>
          </cell>
          <cell r="K820">
            <v>990</v>
          </cell>
          <cell r="L820">
            <v>316.50502218694203</v>
          </cell>
          <cell r="M820">
            <v>1422</v>
          </cell>
          <cell r="N820">
            <v>3.1137109153696298E-2</v>
          </cell>
          <cell r="O820">
            <v>1440</v>
          </cell>
          <cell r="P820">
            <v>0.06</v>
          </cell>
          <cell r="Q820">
            <v>1894</v>
          </cell>
        </row>
        <row r="821">
          <cell r="B821" t="str">
            <v>CURTIS 170411290</v>
          </cell>
          <cell r="C821">
            <v>163351704</v>
          </cell>
          <cell r="D821" t="str">
            <v>CURTIS 1704</v>
          </cell>
          <cell r="E821">
            <v>11290</v>
          </cell>
          <cell r="F821" t="b">
            <v>0</v>
          </cell>
          <cell r="G821">
            <v>12662.0410814644</v>
          </cell>
          <cell r="H821">
            <v>12662.0410814644</v>
          </cell>
          <cell r="I821">
            <v>75</v>
          </cell>
          <cell r="J821">
            <v>8.7992693055032994E-5</v>
          </cell>
          <cell r="K821">
            <v>1982</v>
          </cell>
          <cell r="L821">
            <v>2545.3938519926801</v>
          </cell>
          <cell r="M821">
            <v>339</v>
          </cell>
          <cell r="N821">
            <v>0.212237365844822</v>
          </cell>
          <cell r="O821">
            <v>304</v>
          </cell>
          <cell r="P821">
            <v>0.1</v>
          </cell>
          <cell r="Q821">
            <v>1455</v>
          </cell>
        </row>
        <row r="822">
          <cell r="B822" t="str">
            <v>CURTIS 170411300</v>
          </cell>
          <cell r="C822">
            <v>163351704</v>
          </cell>
          <cell r="D822" t="str">
            <v>CURTIS 1704</v>
          </cell>
          <cell r="E822">
            <v>11300</v>
          </cell>
          <cell r="F822" t="b">
            <v>0</v>
          </cell>
          <cell r="G822">
            <v>5912.6947336451503</v>
          </cell>
          <cell r="H822">
            <v>5912.6947336451503</v>
          </cell>
          <cell r="I822">
            <v>41</v>
          </cell>
          <cell r="J822">
            <v>1.3924130095203E-4</v>
          </cell>
          <cell r="K822">
            <v>881</v>
          </cell>
          <cell r="L822">
            <v>1480.64060198315</v>
          </cell>
          <cell r="M822">
            <v>604</v>
          </cell>
          <cell r="N822">
            <v>0.13610386277594799</v>
          </cell>
          <cell r="O822">
            <v>581</v>
          </cell>
          <cell r="P822">
            <v>0.19</v>
          </cell>
          <cell r="Q822">
            <v>1177</v>
          </cell>
        </row>
        <row r="823">
          <cell r="B823" t="str">
            <v>CURTIS 17046060</v>
          </cell>
          <cell r="C823">
            <v>163351704</v>
          </cell>
          <cell r="D823" t="str">
            <v>CURTIS 1704</v>
          </cell>
          <cell r="E823">
            <v>6060</v>
          </cell>
          <cell r="F823" t="b">
            <v>0</v>
          </cell>
          <cell r="G823">
            <v>6540.8970606407702</v>
          </cell>
          <cell r="H823">
            <v>6540.8970606407702</v>
          </cell>
          <cell r="I823">
            <v>50</v>
          </cell>
          <cell r="J823">
            <v>1.4093855126702599E-4</v>
          </cell>
          <cell r="K823">
            <v>855</v>
          </cell>
          <cell r="L823">
            <v>178.767488976717</v>
          </cell>
          <cell r="M823">
            <v>1687</v>
          </cell>
          <cell r="N823">
            <v>1.7460086956753801E-2</v>
          </cell>
          <cell r="O823">
            <v>1725</v>
          </cell>
          <cell r="P823">
            <v>0.1</v>
          </cell>
          <cell r="Q823">
            <v>1461</v>
          </cell>
        </row>
        <row r="824">
          <cell r="B824" t="str">
            <v>CURTIS 170463502</v>
          </cell>
          <cell r="C824">
            <v>163351704</v>
          </cell>
          <cell r="D824" t="str">
            <v>CURTIS 1704</v>
          </cell>
          <cell r="E824">
            <v>63502</v>
          </cell>
          <cell r="F824" t="b">
            <v>0</v>
          </cell>
          <cell r="G824">
            <v>16836.9835371511</v>
          </cell>
          <cell r="H824">
            <v>16836.9835371511</v>
          </cell>
          <cell r="I824">
            <v>107</v>
          </cell>
          <cell r="J824">
            <v>1.2514083434078999E-4</v>
          </cell>
          <cell r="K824">
            <v>1095</v>
          </cell>
          <cell r="L824">
            <v>60.238977240346301</v>
          </cell>
          <cell r="M824">
            <v>2153</v>
          </cell>
          <cell r="N824">
            <v>8.4951773640367205E-3</v>
          </cell>
          <cell r="O824">
            <v>2031</v>
          </cell>
          <cell r="P824">
            <v>0.16</v>
          </cell>
          <cell r="Q824">
            <v>1256</v>
          </cell>
        </row>
        <row r="825">
          <cell r="B825" t="str">
            <v>CURTIS 1704803</v>
          </cell>
          <cell r="C825">
            <v>163351704</v>
          </cell>
          <cell r="D825" t="str">
            <v>CURTIS 1704</v>
          </cell>
          <cell r="E825">
            <v>803</v>
          </cell>
          <cell r="F825" t="b">
            <v>0</v>
          </cell>
          <cell r="G825">
            <v>15630.8478598571</v>
          </cell>
          <cell r="H825">
            <v>15630.8478598571</v>
          </cell>
          <cell r="I825">
            <v>93</v>
          </cell>
          <cell r="J825">
            <v>8.7370289694136002E-5</v>
          </cell>
          <cell r="K825">
            <v>2002</v>
          </cell>
          <cell r="L825">
            <v>89.478877355655001</v>
          </cell>
          <cell r="M825">
            <v>2003</v>
          </cell>
          <cell r="N825">
            <v>6.8943950981039696E-3</v>
          </cell>
          <cell r="O825">
            <v>2099</v>
          </cell>
          <cell r="P825">
            <v>0.14000000000000001</v>
          </cell>
          <cell r="Q825">
            <v>1319</v>
          </cell>
        </row>
        <row r="826">
          <cell r="B826" t="str">
            <v>CURTIS 17048140</v>
          </cell>
          <cell r="C826">
            <v>163351704</v>
          </cell>
          <cell r="D826" t="str">
            <v>CURTIS 1704</v>
          </cell>
          <cell r="E826">
            <v>8140</v>
          </cell>
          <cell r="F826" t="b">
            <v>0</v>
          </cell>
          <cell r="G826">
            <v>42456.903948786698</v>
          </cell>
          <cell r="H826">
            <v>42456.903948786698</v>
          </cell>
          <cell r="I826">
            <v>260</v>
          </cell>
          <cell r="J826">
            <v>8.2014476898747399E-5</v>
          </cell>
          <cell r="K826">
            <v>2153</v>
          </cell>
          <cell r="L826">
            <v>273.28858756388598</v>
          </cell>
          <cell r="M826">
            <v>1487</v>
          </cell>
          <cell r="N826">
            <v>2.2915378457869499E-2</v>
          </cell>
          <cell r="O826">
            <v>1604</v>
          </cell>
          <cell r="P826">
            <v>41.27</v>
          </cell>
          <cell r="Q826">
            <v>178</v>
          </cell>
        </row>
        <row r="827">
          <cell r="B827" t="str">
            <v>CURTIS 1704CB</v>
          </cell>
          <cell r="C827">
            <v>163351704</v>
          </cell>
          <cell r="D827" t="str">
            <v>CURTIS 1704</v>
          </cell>
          <cell r="E827" t="str">
            <v>CB</v>
          </cell>
          <cell r="F827" t="b">
            <v>0</v>
          </cell>
          <cell r="G827">
            <v>22863.3141665568</v>
          </cell>
          <cell r="H827">
            <v>22355.130445355298</v>
          </cell>
          <cell r="I827">
            <v>170</v>
          </cell>
          <cell r="J827">
            <v>1.0750236768045E-4</v>
          </cell>
          <cell r="K827">
            <v>1464</v>
          </cell>
          <cell r="L827">
            <v>527.786713641662</v>
          </cell>
          <cell r="M827">
            <v>1176</v>
          </cell>
          <cell r="N827">
            <v>5.3282107864112201E-2</v>
          </cell>
          <cell r="O827">
            <v>1144</v>
          </cell>
          <cell r="P827">
            <v>0.12</v>
          </cell>
          <cell r="Q827">
            <v>1366</v>
          </cell>
        </row>
        <row r="828">
          <cell r="B828" t="str">
            <v>CURTIS 170510590</v>
          </cell>
          <cell r="C828">
            <v>163351705</v>
          </cell>
          <cell r="D828" t="str">
            <v>CURTIS 1705</v>
          </cell>
          <cell r="E828">
            <v>10590</v>
          </cell>
          <cell r="F828" t="b">
            <v>0</v>
          </cell>
          <cell r="G828">
            <v>26358.337588280701</v>
          </cell>
          <cell r="H828">
            <v>26358.337588280701</v>
          </cell>
          <cell r="I828">
            <v>199</v>
          </cell>
          <cell r="J828">
            <v>7.2916281594495203E-5</v>
          </cell>
          <cell r="K828">
            <v>2395</v>
          </cell>
          <cell r="L828">
            <v>56.657341861195498</v>
          </cell>
          <cell r="M828">
            <v>2172</v>
          </cell>
          <cell r="N828">
            <v>2.8225815651619001E-3</v>
          </cell>
          <cell r="O828">
            <v>2368</v>
          </cell>
          <cell r="P828">
            <v>0.28000000000000003</v>
          </cell>
          <cell r="Q828">
            <v>1046</v>
          </cell>
        </row>
        <row r="829">
          <cell r="B829" t="str">
            <v>CURTIS 170511790</v>
          </cell>
          <cell r="C829">
            <v>163351705</v>
          </cell>
          <cell r="D829" t="str">
            <v>CURTIS 1705</v>
          </cell>
          <cell r="E829">
            <v>11790</v>
          </cell>
          <cell r="F829" t="b">
            <v>1</v>
          </cell>
          <cell r="G829">
            <v>22.898750428107402</v>
          </cell>
          <cell r="H829">
            <v>22.898750428107402</v>
          </cell>
          <cell r="I829">
            <v>1</v>
          </cell>
          <cell r="J829">
            <v>7.0891773793846304E-4</v>
          </cell>
          <cell r="K829">
            <v>7</v>
          </cell>
          <cell r="L829">
            <v>47.582763671875</v>
          </cell>
          <cell r="M829">
            <v>2227</v>
          </cell>
          <cell r="N829">
            <v>3.3732265187126097E-2</v>
          </cell>
          <cell r="O829">
            <v>1395</v>
          </cell>
          <cell r="P829">
            <v>0.2</v>
          </cell>
          <cell r="Q829">
            <v>1164</v>
          </cell>
        </row>
        <row r="830">
          <cell r="B830" t="str">
            <v>CURTIS 170539256</v>
          </cell>
          <cell r="C830">
            <v>163351705</v>
          </cell>
          <cell r="D830" t="str">
            <v>CURTIS 1705</v>
          </cell>
          <cell r="E830">
            <v>39256</v>
          </cell>
          <cell r="F830" t="b">
            <v>0</v>
          </cell>
          <cell r="G830">
            <v>42581.061188951899</v>
          </cell>
          <cell r="H830">
            <v>42581.061188951899</v>
          </cell>
          <cell r="I830">
            <v>287</v>
          </cell>
          <cell r="J830">
            <v>1.26383267875431E-4</v>
          </cell>
          <cell r="K830">
            <v>1077</v>
          </cell>
          <cell r="L830">
            <v>694.12086936717196</v>
          </cell>
          <cell r="M830">
            <v>1026</v>
          </cell>
          <cell r="N830">
            <v>6.6296422629637697E-2</v>
          </cell>
          <cell r="O830">
            <v>1009</v>
          </cell>
          <cell r="P830">
            <v>0.26</v>
          </cell>
          <cell r="Q830">
            <v>1068</v>
          </cell>
        </row>
        <row r="831">
          <cell r="B831" t="str">
            <v>CURTIS 170565908</v>
          </cell>
          <cell r="C831">
            <v>163351705</v>
          </cell>
          <cell r="D831" t="str">
            <v>CURTIS 1705</v>
          </cell>
          <cell r="E831">
            <v>65908</v>
          </cell>
          <cell r="F831" t="b">
            <v>0</v>
          </cell>
          <cell r="G831">
            <v>26966.302674181701</v>
          </cell>
          <cell r="H831">
            <v>22380.0868874019</v>
          </cell>
          <cell r="I831">
            <v>205</v>
          </cell>
          <cell r="J831">
            <v>1.0013223831398399E-4</v>
          </cell>
          <cell r="K831">
            <v>1641</v>
          </cell>
          <cell r="L831">
            <v>1026.21208330985</v>
          </cell>
          <cell r="M831">
            <v>810</v>
          </cell>
          <cell r="N831">
            <v>0.10392793394236199</v>
          </cell>
          <cell r="O831">
            <v>740</v>
          </cell>
          <cell r="P831">
            <v>0.11</v>
          </cell>
          <cell r="Q831">
            <v>1441</v>
          </cell>
        </row>
        <row r="832">
          <cell r="B832" t="str">
            <v>CURTIS 17058110</v>
          </cell>
          <cell r="C832">
            <v>163351705</v>
          </cell>
          <cell r="D832" t="str">
            <v>CURTIS 1705</v>
          </cell>
          <cell r="E832">
            <v>8110</v>
          </cell>
          <cell r="F832" t="b">
            <v>0</v>
          </cell>
          <cell r="G832">
            <v>13110.330606404499</v>
          </cell>
          <cell r="H832">
            <v>13110.330606404499</v>
          </cell>
          <cell r="I832">
            <v>99</v>
          </cell>
          <cell r="J832">
            <v>1.16898599144681E-4</v>
          </cell>
          <cell r="K832">
            <v>1252</v>
          </cell>
          <cell r="L832">
            <v>657.39658371697703</v>
          </cell>
          <cell r="M832">
            <v>1057</v>
          </cell>
          <cell r="N832">
            <v>5.5185404429156801E-2</v>
          </cell>
          <cell r="O832">
            <v>1119</v>
          </cell>
          <cell r="P832">
            <v>0.15</v>
          </cell>
          <cell r="Q832">
            <v>1283</v>
          </cell>
        </row>
        <row r="833">
          <cell r="B833" t="str">
            <v>CURTIS 17058170</v>
          </cell>
          <cell r="C833">
            <v>163351705</v>
          </cell>
          <cell r="D833" t="str">
            <v>CURTIS 1705</v>
          </cell>
          <cell r="E833">
            <v>8170</v>
          </cell>
          <cell r="F833" t="b">
            <v>0</v>
          </cell>
          <cell r="G833">
            <v>12697.6373431266</v>
          </cell>
          <cell r="H833">
            <v>12388.5528244749</v>
          </cell>
          <cell r="I833">
            <v>109</v>
          </cell>
          <cell r="J833">
            <v>1.2036071641828799E-4</v>
          </cell>
          <cell r="K833">
            <v>1178</v>
          </cell>
          <cell r="L833">
            <v>138.039509899845</v>
          </cell>
          <cell r="M833">
            <v>1818</v>
          </cell>
          <cell r="N833">
            <v>1.55085458287207E-2</v>
          </cell>
          <cell r="O833">
            <v>1770</v>
          </cell>
          <cell r="P833">
            <v>0.24</v>
          </cell>
          <cell r="Q833">
            <v>1094</v>
          </cell>
        </row>
        <row r="834">
          <cell r="B834" t="str">
            <v>CURTIS 1705CB</v>
          </cell>
          <cell r="C834">
            <v>163351705</v>
          </cell>
          <cell r="D834" t="str">
            <v>CURTIS 1705</v>
          </cell>
          <cell r="E834" t="str">
            <v>CB</v>
          </cell>
          <cell r="F834" t="b">
            <v>0</v>
          </cell>
          <cell r="G834">
            <v>22023.402628433301</v>
          </cell>
          <cell r="H834">
            <v>21461.2320128098</v>
          </cell>
          <cell r="I834">
            <v>163</v>
          </cell>
          <cell r="J834">
            <v>1.3265450591315499E-4</v>
          </cell>
          <cell r="K834">
            <v>967</v>
          </cell>
          <cell r="L834">
            <v>170.23626487281601</v>
          </cell>
          <cell r="M834">
            <v>1715</v>
          </cell>
          <cell r="N834">
            <v>2.1383004758589699E-2</v>
          </cell>
          <cell r="O834">
            <v>1642</v>
          </cell>
          <cell r="P834">
            <v>0.14000000000000001</v>
          </cell>
          <cell r="Q834">
            <v>1316</v>
          </cell>
        </row>
        <row r="835">
          <cell r="B835" t="str">
            <v>CUYAMA 1103684566</v>
          </cell>
          <cell r="C835">
            <v>253141103</v>
          </cell>
          <cell r="D835" t="str">
            <v>CUYAMA 1103</v>
          </cell>
          <cell r="E835">
            <v>684566</v>
          </cell>
          <cell r="F835" t="b">
            <v>0</v>
          </cell>
          <cell r="G835">
            <v>4872.6951382156803</v>
          </cell>
          <cell r="H835">
            <v>4856.6929848447098</v>
          </cell>
          <cell r="I835">
            <v>4</v>
          </cell>
          <cell r="J835">
            <v>3.3491880458313897E-5</v>
          </cell>
          <cell r="K835">
            <v>3376</v>
          </cell>
          <cell r="L835">
            <v>2480.1079494710398</v>
          </cell>
          <cell r="M835">
            <v>347</v>
          </cell>
          <cell r="N835">
            <v>5.0626388222668198E-2</v>
          </cell>
          <cell r="O835">
            <v>1171</v>
          </cell>
          <cell r="Q835">
            <v>3437</v>
          </cell>
        </row>
        <row r="836">
          <cell r="B836" t="str">
            <v>DEL MAR 2109306972</v>
          </cell>
          <cell r="C836">
            <v>152582109</v>
          </cell>
          <cell r="D836" t="str">
            <v>DEL MAR 2109</v>
          </cell>
          <cell r="E836">
            <v>306972</v>
          </cell>
          <cell r="F836" t="b">
            <v>1</v>
          </cell>
          <cell r="G836">
            <v>120.323365068079</v>
          </cell>
          <cell r="H836">
            <v>83.440727700395399</v>
          </cell>
          <cell r="I836">
            <v>2</v>
          </cell>
          <cell r="J836">
            <v>1.5818023894098501E-4</v>
          </cell>
          <cell r="K836">
            <v>661</v>
          </cell>
          <cell r="L836">
            <v>1356.35243494672</v>
          </cell>
          <cell r="M836">
            <v>660</v>
          </cell>
          <cell r="N836">
            <v>0.21454815224806001</v>
          </cell>
          <cell r="O836">
            <v>296</v>
          </cell>
          <cell r="Q836">
            <v>3576</v>
          </cell>
        </row>
        <row r="837">
          <cell r="B837" t="str">
            <v>DEL MAR 2109378446</v>
          </cell>
          <cell r="C837">
            <v>152582109</v>
          </cell>
          <cell r="D837" t="str">
            <v>DEL MAR 2109</v>
          </cell>
          <cell r="E837">
            <v>378446</v>
          </cell>
          <cell r="F837" t="b">
            <v>1</v>
          </cell>
          <cell r="G837">
            <v>173.219632740989</v>
          </cell>
          <cell r="H837">
            <v>157.94878880232099</v>
          </cell>
          <cell r="I837">
            <v>3</v>
          </cell>
          <cell r="J837">
            <v>1.5628621137390501E-4</v>
          </cell>
          <cell r="K837">
            <v>683</v>
          </cell>
          <cell r="L837">
            <v>4122.2296363547703</v>
          </cell>
          <cell r="M837">
            <v>142</v>
          </cell>
          <cell r="N837">
            <v>0.73150515373203895</v>
          </cell>
          <cell r="O837">
            <v>12</v>
          </cell>
          <cell r="Q837">
            <v>3619</v>
          </cell>
        </row>
        <row r="838">
          <cell r="B838" t="str">
            <v>DEL MAR 210938684</v>
          </cell>
          <cell r="C838">
            <v>152582109</v>
          </cell>
          <cell r="D838" t="str">
            <v>DEL MAR 2109</v>
          </cell>
          <cell r="E838">
            <v>38684</v>
          </cell>
          <cell r="F838" t="b">
            <v>1</v>
          </cell>
          <cell r="G838">
            <v>100.115666678276</v>
          </cell>
          <cell r="H838">
            <v>38.397418475757398</v>
          </cell>
          <cell r="I838">
            <v>1</v>
          </cell>
          <cell r="J838">
            <v>1.7305123037658599E-4</v>
          </cell>
          <cell r="K838">
            <v>542</v>
          </cell>
          <cell r="L838">
            <v>6.5149389368320307E-2</v>
          </cell>
          <cell r="M838">
            <v>3581</v>
          </cell>
          <cell r="N838">
            <v>1.1274181988471099E-5</v>
          </cell>
          <cell r="O838">
            <v>3046</v>
          </cell>
          <cell r="P838">
            <v>0.02</v>
          </cell>
          <cell r="Q838">
            <v>2437</v>
          </cell>
        </row>
        <row r="839">
          <cell r="B839" t="str">
            <v>DEL MAR 210975802</v>
          </cell>
          <cell r="C839">
            <v>152582109</v>
          </cell>
          <cell r="D839" t="str">
            <v>DEL MAR 2109</v>
          </cell>
          <cell r="E839">
            <v>75802</v>
          </cell>
          <cell r="F839" t="b">
            <v>1</v>
          </cell>
          <cell r="G839">
            <v>680.02264899090301</v>
          </cell>
          <cell r="H839">
            <v>576.15532681652905</v>
          </cell>
          <cell r="I839">
            <v>6</v>
          </cell>
          <cell r="J839">
            <v>2.0609552060098699E-4</v>
          </cell>
          <cell r="K839">
            <v>377</v>
          </cell>
          <cell r="L839">
            <v>1316.51549733766</v>
          </cell>
          <cell r="M839">
            <v>676</v>
          </cell>
          <cell r="N839">
            <v>0.37901487180746102</v>
          </cell>
          <cell r="O839">
            <v>72</v>
          </cell>
          <cell r="P839">
            <v>3.09</v>
          </cell>
          <cell r="Q839">
            <v>563</v>
          </cell>
        </row>
        <row r="840">
          <cell r="B840" t="str">
            <v>DEL MAR 2109805882</v>
          </cell>
          <cell r="C840">
            <v>152582109</v>
          </cell>
          <cell r="D840" t="str">
            <v>DEL MAR 2109</v>
          </cell>
          <cell r="E840">
            <v>805882</v>
          </cell>
          <cell r="F840" t="b">
            <v>1</v>
          </cell>
          <cell r="G840">
            <v>497.93690191051201</v>
          </cell>
          <cell r="H840">
            <v>477.30244462965697</v>
          </cell>
          <cell r="I840">
            <v>6</v>
          </cell>
          <cell r="J840">
            <v>1.60118062922265E-4</v>
          </cell>
          <cell r="K840">
            <v>642</v>
          </cell>
          <cell r="L840">
            <v>1125.88107083873</v>
          </cell>
          <cell r="M840">
            <v>766</v>
          </cell>
          <cell r="N840">
            <v>0.18904341575063699</v>
          </cell>
          <cell r="O840">
            <v>373</v>
          </cell>
          <cell r="Q840">
            <v>3553</v>
          </cell>
        </row>
        <row r="841">
          <cell r="B841" t="str">
            <v>DEL MAR 2109CB</v>
          </cell>
          <cell r="C841">
            <v>152582109</v>
          </cell>
          <cell r="D841" t="str">
            <v>DEL MAR 2109</v>
          </cell>
          <cell r="E841" t="str">
            <v>CB</v>
          </cell>
          <cell r="F841" t="b">
            <v>0</v>
          </cell>
          <cell r="G841">
            <v>9780.4489325205304</v>
          </cell>
          <cell r="H841">
            <v>2376.91263834954</v>
          </cell>
          <cell r="I841">
            <v>72</v>
          </cell>
          <cell r="J841">
            <v>1.8500651220585001E-4</v>
          </cell>
          <cell r="K841">
            <v>472</v>
          </cell>
          <cell r="L841">
            <v>1136.28902758</v>
          </cell>
          <cell r="M841">
            <v>760</v>
          </cell>
          <cell r="N841">
            <v>0.22955723422000099</v>
          </cell>
          <cell r="O841">
            <v>261</v>
          </cell>
          <cell r="P841">
            <v>0.02</v>
          </cell>
          <cell r="Q841">
            <v>2474</v>
          </cell>
        </row>
        <row r="842">
          <cell r="B842" t="str">
            <v>DEL MONTE 110138582</v>
          </cell>
          <cell r="C842">
            <v>182221101</v>
          </cell>
          <cell r="D842" t="str">
            <v>DEL MONTE 1101</v>
          </cell>
          <cell r="E842">
            <v>38582</v>
          </cell>
          <cell r="F842" t="b">
            <v>1</v>
          </cell>
          <cell r="G842">
            <v>8624.1276371010808</v>
          </cell>
          <cell r="H842">
            <v>853.87779818515003</v>
          </cell>
          <cell r="I842">
            <v>53</v>
          </cell>
          <cell r="J842">
            <v>1.7201274502238201E-5</v>
          </cell>
          <cell r="K842">
            <v>3569</v>
          </cell>
          <cell r="L842">
            <v>6.5244514030885603E-2</v>
          </cell>
          <cell r="M842">
            <v>3483</v>
          </cell>
          <cell r="N842">
            <v>1.12449874537412E-6</v>
          </cell>
          <cell r="O842">
            <v>3582</v>
          </cell>
          <cell r="Q842">
            <v>2701</v>
          </cell>
        </row>
        <row r="843">
          <cell r="B843" t="str">
            <v>DEL MONTE 21029060</v>
          </cell>
          <cell r="C843">
            <v>182222102</v>
          </cell>
          <cell r="D843" t="str">
            <v>DEL MONTE 2102</v>
          </cell>
          <cell r="E843">
            <v>9060</v>
          </cell>
          <cell r="F843" t="b">
            <v>0</v>
          </cell>
          <cell r="G843">
            <v>14415.2581973738</v>
          </cell>
          <cell r="H843">
            <v>1524.9133902323999</v>
          </cell>
          <cell r="I843">
            <v>98</v>
          </cell>
          <cell r="J843">
            <v>8.4532580137358108E-6</v>
          </cell>
          <cell r="K843">
            <v>3617</v>
          </cell>
          <cell r="L843">
            <v>6.5226217134740597E-2</v>
          </cell>
          <cell r="M843">
            <v>3496</v>
          </cell>
          <cell r="N843">
            <v>5.53614060481589E-7</v>
          </cell>
          <cell r="O843">
            <v>3618</v>
          </cell>
          <cell r="P843">
            <v>0.57999999999999996</v>
          </cell>
          <cell r="Q843">
            <v>857</v>
          </cell>
        </row>
        <row r="844">
          <cell r="B844" t="str">
            <v>DEL MONTE 21032000</v>
          </cell>
          <cell r="C844">
            <v>182222103</v>
          </cell>
          <cell r="D844" t="str">
            <v>DEL MONTE 2103</v>
          </cell>
          <cell r="E844">
            <v>2000</v>
          </cell>
          <cell r="F844" t="b">
            <v>0</v>
          </cell>
          <cell r="G844">
            <v>14495.330138855101</v>
          </cell>
          <cell r="H844">
            <v>14495.330138855101</v>
          </cell>
          <cell r="I844">
            <v>101</v>
          </cell>
          <cell r="J844">
            <v>7.8422044716717202E-5</v>
          </cell>
          <cell r="K844">
            <v>2249</v>
          </cell>
          <cell r="L844">
            <v>6.6431834237477796E-2</v>
          </cell>
          <cell r="M844">
            <v>2979</v>
          </cell>
          <cell r="N844">
            <v>5.2097202751850202E-6</v>
          </cell>
          <cell r="O844">
            <v>3256</v>
          </cell>
          <cell r="P844">
            <v>0.12</v>
          </cell>
          <cell r="Q844">
            <v>1391</v>
          </cell>
        </row>
        <row r="845">
          <cell r="B845" t="str">
            <v>DEL MONTE 21032204</v>
          </cell>
          <cell r="C845">
            <v>182222103</v>
          </cell>
          <cell r="D845" t="str">
            <v>DEL MONTE 2103</v>
          </cell>
          <cell r="E845">
            <v>2204</v>
          </cell>
          <cell r="F845" t="b">
            <v>1</v>
          </cell>
          <cell r="G845">
            <v>592.64129784471095</v>
          </cell>
          <cell r="H845">
            <v>592.64129784471095</v>
          </cell>
          <cell r="I845">
            <v>8</v>
          </cell>
          <cell r="J845">
            <v>1.05042482118733E-4</v>
          </cell>
          <cell r="K845">
            <v>1526</v>
          </cell>
          <cell r="L845">
            <v>6.6431834237477602E-2</v>
          </cell>
          <cell r="M845">
            <v>2980</v>
          </cell>
          <cell r="N845">
            <v>6.9781647600049098E-6</v>
          </cell>
          <cell r="O845">
            <v>3166</v>
          </cell>
          <cell r="P845">
            <v>0.04</v>
          </cell>
          <cell r="Q845">
            <v>2073</v>
          </cell>
        </row>
        <row r="846">
          <cell r="B846" t="str">
            <v>DEL MONTE 21032654</v>
          </cell>
          <cell r="C846">
            <v>182222103</v>
          </cell>
          <cell r="D846" t="str">
            <v>DEL MONTE 2103</v>
          </cell>
          <cell r="E846">
            <v>2654</v>
          </cell>
          <cell r="F846" t="b">
            <v>0</v>
          </cell>
          <cell r="G846">
            <v>2963.59986274015</v>
          </cell>
          <cell r="H846">
            <v>2963.59986274015</v>
          </cell>
          <cell r="I846">
            <v>23</v>
          </cell>
          <cell r="J846">
            <v>6.4898419623204905E-5</v>
          </cell>
          <cell r="K846">
            <v>2612</v>
          </cell>
          <cell r="L846">
            <v>6.6431834237477602E-2</v>
          </cell>
          <cell r="M846">
            <v>2988</v>
          </cell>
          <cell r="N846">
            <v>4.3113210546830203E-6</v>
          </cell>
          <cell r="O846">
            <v>3311</v>
          </cell>
          <cell r="P846">
            <v>0.09</v>
          </cell>
          <cell r="Q846">
            <v>1555</v>
          </cell>
        </row>
        <row r="847">
          <cell r="B847" t="str">
            <v>DEL MONTE 210342226</v>
          </cell>
          <cell r="C847">
            <v>182222103</v>
          </cell>
          <cell r="D847" t="str">
            <v>DEL MONTE 2103</v>
          </cell>
          <cell r="E847">
            <v>42226</v>
          </cell>
          <cell r="F847" t="b">
            <v>1</v>
          </cell>
          <cell r="G847">
            <v>4032.3201043511599</v>
          </cell>
          <cell r="H847">
            <v>940.18064956648004</v>
          </cell>
          <cell r="I847">
            <v>32</v>
          </cell>
          <cell r="J847">
            <v>5.4773701703520402E-5</v>
          </cell>
          <cell r="K847">
            <v>2922</v>
          </cell>
          <cell r="L847">
            <v>6.5308120470524395E-2</v>
          </cell>
          <cell r="M847">
            <v>3457</v>
          </cell>
          <cell r="N847">
            <v>3.5879943249217598E-6</v>
          </cell>
          <cell r="O847">
            <v>3362</v>
          </cell>
          <cell r="Q847">
            <v>3126</v>
          </cell>
        </row>
        <row r="848">
          <cell r="B848" t="str">
            <v>DEL MONTE 2103468158</v>
          </cell>
          <cell r="C848">
            <v>182222103</v>
          </cell>
          <cell r="D848" t="str">
            <v>DEL MONTE 2103</v>
          </cell>
          <cell r="E848">
            <v>468158</v>
          </cell>
          <cell r="F848" t="b">
            <v>1</v>
          </cell>
          <cell r="G848">
            <v>1565.7595628899701</v>
          </cell>
          <cell r="H848">
            <v>826.61325696114204</v>
          </cell>
          <cell r="I848">
            <v>12</v>
          </cell>
          <cell r="J848">
            <v>5.6982794982710999E-5</v>
          </cell>
          <cell r="K848">
            <v>2862</v>
          </cell>
          <cell r="L848">
            <v>6.5468651008660603E-2</v>
          </cell>
          <cell r="M848">
            <v>3384</v>
          </cell>
          <cell r="N848">
            <v>3.7407439198667E-6</v>
          </cell>
          <cell r="O848">
            <v>3352</v>
          </cell>
          <cell r="Q848">
            <v>2897</v>
          </cell>
        </row>
        <row r="849">
          <cell r="B849" t="str">
            <v>DEL MONTE 2103617344</v>
          </cell>
          <cell r="C849">
            <v>182222103</v>
          </cell>
          <cell r="D849" t="str">
            <v>DEL MONTE 2103</v>
          </cell>
          <cell r="E849">
            <v>617344</v>
          </cell>
          <cell r="F849" t="b">
            <v>0</v>
          </cell>
          <cell r="G849">
            <v>3993.4045640151799</v>
          </cell>
          <cell r="H849">
            <v>2952.18930266087</v>
          </cell>
          <cell r="I849">
            <v>34</v>
          </cell>
          <cell r="J849">
            <v>6.6753930406610496E-5</v>
          </cell>
          <cell r="K849">
            <v>2562</v>
          </cell>
          <cell r="L849">
            <v>6.5865255867585307E-2</v>
          </cell>
          <cell r="M849">
            <v>3252</v>
          </cell>
          <cell r="N849">
            <v>4.4075830777891004E-6</v>
          </cell>
          <cell r="O849">
            <v>3301</v>
          </cell>
          <cell r="Q849">
            <v>3099</v>
          </cell>
        </row>
        <row r="850">
          <cell r="B850" t="str">
            <v>DEL MONTE 210386496</v>
          </cell>
          <cell r="C850">
            <v>182222103</v>
          </cell>
          <cell r="D850" t="str">
            <v>DEL MONTE 2103</v>
          </cell>
          <cell r="E850">
            <v>86496</v>
          </cell>
          <cell r="F850" t="b">
            <v>0</v>
          </cell>
          <cell r="G850">
            <v>10364.084483561301</v>
          </cell>
          <cell r="H850">
            <v>1600.5400308991</v>
          </cell>
          <cell r="I850">
            <v>94</v>
          </cell>
          <cell r="J850">
            <v>2.17144204723182E-5</v>
          </cell>
          <cell r="K850">
            <v>3525</v>
          </cell>
          <cell r="L850">
            <v>6.5366184707722499E-2</v>
          </cell>
          <cell r="M850">
            <v>3430</v>
          </cell>
          <cell r="N850">
            <v>1.4269138176258799E-6</v>
          </cell>
          <cell r="O850">
            <v>3553</v>
          </cell>
          <cell r="P850">
            <v>0.02</v>
          </cell>
          <cell r="Q850">
            <v>2498</v>
          </cell>
        </row>
        <row r="851">
          <cell r="B851" t="str">
            <v>DEL MONTE 21042624</v>
          </cell>
          <cell r="C851">
            <v>182222104</v>
          </cell>
          <cell r="D851" t="str">
            <v>DEL MONTE 2104</v>
          </cell>
          <cell r="E851">
            <v>2624</v>
          </cell>
          <cell r="F851" t="b">
            <v>0</v>
          </cell>
          <cell r="G851">
            <v>30794.7642452582</v>
          </cell>
          <cell r="H851">
            <v>29790.863756434301</v>
          </cell>
          <cell r="I851">
            <v>148</v>
          </cell>
          <cell r="J851">
            <v>5.8580262297638699E-5</v>
          </cell>
          <cell r="K851">
            <v>2819</v>
          </cell>
          <cell r="L851">
            <v>45.010867349608503</v>
          </cell>
          <cell r="M851">
            <v>2246</v>
          </cell>
          <cell r="N851">
            <v>2.8272809982517601E-3</v>
          </cell>
          <cell r="O851">
            <v>2367</v>
          </cell>
          <cell r="P851">
            <v>0.19</v>
          </cell>
          <cell r="Q851">
            <v>1182</v>
          </cell>
        </row>
        <row r="852">
          <cell r="B852" t="str">
            <v>DEL MONTE 21042760</v>
          </cell>
          <cell r="C852">
            <v>182222104</v>
          </cell>
          <cell r="D852" t="str">
            <v>DEL MONTE 2104</v>
          </cell>
          <cell r="E852">
            <v>2760</v>
          </cell>
          <cell r="F852" t="b">
            <v>0</v>
          </cell>
          <cell r="G852">
            <v>4358.99558185358</v>
          </cell>
          <cell r="H852">
            <v>4358.99558185358</v>
          </cell>
          <cell r="I852">
            <v>28</v>
          </cell>
          <cell r="J852">
            <v>8.7660605978661399E-5</v>
          </cell>
          <cell r="K852">
            <v>1995</v>
          </cell>
          <cell r="L852">
            <v>28.0772651024003</v>
          </cell>
          <cell r="M852">
            <v>2360</v>
          </cell>
          <cell r="N852">
            <v>2.2393246732916399E-3</v>
          </cell>
          <cell r="O852">
            <v>2444</v>
          </cell>
          <cell r="P852">
            <v>0.65</v>
          </cell>
          <cell r="Q852">
            <v>826</v>
          </cell>
        </row>
        <row r="853">
          <cell r="B853" t="str">
            <v>DEL MONTE 21042762</v>
          </cell>
          <cell r="C853">
            <v>182222104</v>
          </cell>
          <cell r="D853" t="str">
            <v>DEL MONTE 2104</v>
          </cell>
          <cell r="E853">
            <v>2762</v>
          </cell>
          <cell r="F853" t="b">
            <v>0</v>
          </cell>
          <cell r="G853">
            <v>17774.307421455102</v>
          </cell>
          <cell r="H853">
            <v>15060.127676422</v>
          </cell>
          <cell r="I853">
            <v>138</v>
          </cell>
          <cell r="J853">
            <v>9.1062990478625797E-5</v>
          </cell>
          <cell r="K853">
            <v>1879</v>
          </cell>
          <cell r="L853">
            <v>28.325245541392501</v>
          </cell>
          <cell r="M853">
            <v>2356</v>
          </cell>
          <cell r="N853">
            <v>3.2245235855502502E-3</v>
          </cell>
          <cell r="O853">
            <v>2324</v>
          </cell>
          <cell r="P853">
            <v>0.08</v>
          </cell>
          <cell r="Q853">
            <v>1622</v>
          </cell>
        </row>
        <row r="854">
          <cell r="B854" t="str">
            <v>DEL MONTE 21043066</v>
          </cell>
          <cell r="C854">
            <v>182222104</v>
          </cell>
          <cell r="D854" t="str">
            <v>DEL MONTE 2104</v>
          </cell>
          <cell r="E854">
            <v>3066</v>
          </cell>
          <cell r="F854" t="b">
            <v>1</v>
          </cell>
          <cell r="G854">
            <v>26.034529474522198</v>
          </cell>
          <cell r="H854">
            <v>26.034529474522198</v>
          </cell>
          <cell r="I854">
            <v>2</v>
          </cell>
          <cell r="J854">
            <v>5.3309138820623E-5</v>
          </cell>
          <cell r="K854">
            <v>2953</v>
          </cell>
          <cell r="L854">
            <v>11.9582304507493</v>
          </cell>
          <cell r="M854">
            <v>2586</v>
          </cell>
          <cell r="N854">
            <v>2.03587895430466E-4</v>
          </cell>
          <cell r="O854">
            <v>2835</v>
          </cell>
          <cell r="P854">
            <v>0.44</v>
          </cell>
          <cell r="Q854">
            <v>922</v>
          </cell>
        </row>
        <row r="855">
          <cell r="B855" t="str">
            <v>DEL MONTE 21043088</v>
          </cell>
          <cell r="C855">
            <v>182222104</v>
          </cell>
          <cell r="D855" t="str">
            <v>DEL MONTE 2104</v>
          </cell>
          <cell r="E855">
            <v>3088</v>
          </cell>
          <cell r="F855" t="b">
            <v>0</v>
          </cell>
          <cell r="G855">
            <v>24808.0862399994</v>
          </cell>
          <cell r="H855">
            <v>24808.0862399994</v>
          </cell>
          <cell r="I855">
            <v>175</v>
          </cell>
          <cell r="J855">
            <v>7.2041423851000396E-5</v>
          </cell>
          <cell r="K855">
            <v>2415</v>
          </cell>
          <cell r="L855">
            <v>135.11277273562899</v>
          </cell>
          <cell r="M855">
            <v>1831</v>
          </cell>
          <cell r="N855">
            <v>1.0503441044381201E-2</v>
          </cell>
          <cell r="O855">
            <v>1938</v>
          </cell>
          <cell r="P855">
            <v>0.12</v>
          </cell>
          <cell r="Q855">
            <v>1369</v>
          </cell>
        </row>
        <row r="856">
          <cell r="B856" t="str">
            <v>DEL MONTE 210436720</v>
          </cell>
          <cell r="C856">
            <v>182222104</v>
          </cell>
          <cell r="D856" t="str">
            <v>DEL MONTE 2104</v>
          </cell>
          <cell r="E856">
            <v>36720</v>
          </cell>
          <cell r="F856" t="b">
            <v>0</v>
          </cell>
          <cell r="G856">
            <v>12840.8618686183</v>
          </cell>
          <cell r="H856">
            <v>9577.7665212668398</v>
          </cell>
          <cell r="I856">
            <v>87</v>
          </cell>
          <cell r="J856">
            <v>5.2880170503211798E-5</v>
          </cell>
          <cell r="K856">
            <v>2972</v>
          </cell>
          <cell r="L856">
            <v>18.095799475558699</v>
          </cell>
          <cell r="M856">
            <v>2475</v>
          </cell>
          <cell r="N856">
            <v>8.9534923951724299E-4</v>
          </cell>
          <cell r="O856">
            <v>2656</v>
          </cell>
          <cell r="P856">
            <v>0.12</v>
          </cell>
          <cell r="Q856">
            <v>1394</v>
          </cell>
        </row>
        <row r="857">
          <cell r="B857" t="str">
            <v>DEL MONTE 21049096</v>
          </cell>
          <cell r="C857">
            <v>182222104</v>
          </cell>
          <cell r="D857" t="str">
            <v>DEL MONTE 2104</v>
          </cell>
          <cell r="E857">
            <v>9096</v>
          </cell>
          <cell r="F857" t="b">
            <v>0</v>
          </cell>
          <cell r="G857">
            <v>10649.938589236701</v>
          </cell>
          <cell r="H857">
            <v>5304.2381286927202</v>
          </cell>
          <cell r="I857">
            <v>78</v>
          </cell>
          <cell r="J857">
            <v>3.3536475732696298E-5</v>
          </cell>
          <cell r="K857">
            <v>3375</v>
          </cell>
          <cell r="L857">
            <v>6.4595716590295504</v>
          </cell>
          <cell r="M857">
            <v>2697</v>
          </cell>
          <cell r="N857">
            <v>3.0601427735132698E-4</v>
          </cell>
          <cell r="O857">
            <v>2795</v>
          </cell>
          <cell r="P857">
            <v>0.04</v>
          </cell>
          <cell r="Q857">
            <v>2102</v>
          </cell>
        </row>
        <row r="858">
          <cell r="B858" t="str">
            <v>DEL MONTE 21049500</v>
          </cell>
          <cell r="C858">
            <v>182222104</v>
          </cell>
          <cell r="D858" t="str">
            <v>DEL MONTE 2104</v>
          </cell>
          <cell r="E858">
            <v>9500</v>
          </cell>
          <cell r="F858" t="b">
            <v>0</v>
          </cell>
          <cell r="G858">
            <v>10910.900169369101</v>
          </cell>
          <cell r="H858">
            <v>9168.0737580213899</v>
          </cell>
          <cell r="I858">
            <v>71</v>
          </cell>
          <cell r="J858">
            <v>6.6681511244886195E-5</v>
          </cell>
          <cell r="K858">
            <v>2565</v>
          </cell>
          <cell r="L858">
            <v>18.834162670579101</v>
          </cell>
          <cell r="M858">
            <v>2462</v>
          </cell>
          <cell r="N858">
            <v>1.1663013710478899E-3</v>
          </cell>
          <cell r="O858">
            <v>2604</v>
          </cell>
          <cell r="P858">
            <v>1.62</v>
          </cell>
          <cell r="Q858">
            <v>662</v>
          </cell>
        </row>
        <row r="859">
          <cell r="B859" t="str">
            <v>DESCHUTES 11011380</v>
          </cell>
          <cell r="C859">
            <v>103351101</v>
          </cell>
          <cell r="D859" t="str">
            <v>DESCHUTES 1101</v>
          </cell>
          <cell r="E859">
            <v>1380</v>
          </cell>
          <cell r="F859" t="b">
            <v>0</v>
          </cell>
          <cell r="G859">
            <v>37070.895927335601</v>
          </cell>
          <cell r="H859">
            <v>28672.6173180806</v>
          </cell>
          <cell r="I859">
            <v>204</v>
          </cell>
          <cell r="J859">
            <v>1.0397774976809099E-4</v>
          </cell>
          <cell r="K859">
            <v>1553</v>
          </cell>
          <cell r="L859">
            <v>2782.7866300974702</v>
          </cell>
          <cell r="M859">
            <v>301</v>
          </cell>
          <cell r="N859">
            <v>0.26206848992347598</v>
          </cell>
          <cell r="O859">
            <v>194</v>
          </cell>
          <cell r="P859">
            <v>7.0000000000000007E-2</v>
          </cell>
          <cell r="Q859">
            <v>1696</v>
          </cell>
        </row>
        <row r="860">
          <cell r="B860" t="str">
            <v>DESCHUTES 11011580</v>
          </cell>
          <cell r="C860">
            <v>103351101</v>
          </cell>
          <cell r="D860" t="str">
            <v>DESCHUTES 1101</v>
          </cell>
          <cell r="E860">
            <v>1580</v>
          </cell>
          <cell r="F860" t="b">
            <v>0</v>
          </cell>
          <cell r="G860">
            <v>80785.153047290005</v>
          </cell>
          <cell r="H860">
            <v>76365.897563589504</v>
          </cell>
          <cell r="I860">
            <v>383</v>
          </cell>
          <cell r="J860">
            <v>1.2061930442781099E-4</v>
          </cell>
          <cell r="K860">
            <v>1174</v>
          </cell>
          <cell r="L860">
            <v>1821.2182560271001</v>
          </cell>
          <cell r="M860">
            <v>501</v>
          </cell>
          <cell r="N860">
            <v>0.18779353461412901</v>
          </cell>
          <cell r="O860">
            <v>375</v>
          </cell>
          <cell r="P860">
            <v>0.11</v>
          </cell>
          <cell r="Q860">
            <v>1451</v>
          </cell>
        </row>
        <row r="861">
          <cell r="B861" t="str">
            <v>DESCHUTES 11011652</v>
          </cell>
          <cell r="C861">
            <v>103351101</v>
          </cell>
          <cell r="D861" t="str">
            <v>DESCHUTES 1101</v>
          </cell>
          <cell r="E861">
            <v>1652</v>
          </cell>
          <cell r="F861" t="b">
            <v>0</v>
          </cell>
          <cell r="G861">
            <v>39344.513681994598</v>
          </cell>
          <cell r="H861">
            <v>33895.264187498702</v>
          </cell>
          <cell r="I861">
            <v>170</v>
          </cell>
          <cell r="J861">
            <v>8.6736965633635299E-5</v>
          </cell>
          <cell r="K861">
            <v>2017</v>
          </cell>
          <cell r="L861">
            <v>1367.2683079557601</v>
          </cell>
          <cell r="M861">
            <v>654</v>
          </cell>
          <cell r="N861">
            <v>0.103518545621489</v>
          </cell>
          <cell r="O861">
            <v>742</v>
          </cell>
          <cell r="P861">
            <v>0.06</v>
          </cell>
          <cell r="Q861">
            <v>1779</v>
          </cell>
        </row>
        <row r="862">
          <cell r="B862" t="str">
            <v>DESCHUTES 11011654</v>
          </cell>
          <cell r="C862">
            <v>103351101</v>
          </cell>
          <cell r="D862" t="str">
            <v>DESCHUTES 1101</v>
          </cell>
          <cell r="E862">
            <v>1654</v>
          </cell>
          <cell r="F862" t="b">
            <v>0</v>
          </cell>
          <cell r="G862">
            <v>28221.256379546099</v>
          </cell>
          <cell r="H862">
            <v>28221.256379546099</v>
          </cell>
          <cell r="I862">
            <v>168</v>
          </cell>
          <cell r="J862">
            <v>8.9080364525588799E-5</v>
          </cell>
          <cell r="K862">
            <v>1943</v>
          </cell>
          <cell r="L862">
            <v>662.26131259588203</v>
          </cell>
          <cell r="M862">
            <v>1051</v>
          </cell>
          <cell r="N862">
            <v>5.7485735387207401E-2</v>
          </cell>
          <cell r="O862">
            <v>1086</v>
          </cell>
          <cell r="P862">
            <v>0.1</v>
          </cell>
          <cell r="Q862">
            <v>1492</v>
          </cell>
        </row>
        <row r="863">
          <cell r="B863" t="str">
            <v>DESCHUTES 11019722</v>
          </cell>
          <cell r="C863">
            <v>103351101</v>
          </cell>
          <cell r="D863" t="str">
            <v>DESCHUTES 1101</v>
          </cell>
          <cell r="E863">
            <v>9722</v>
          </cell>
          <cell r="F863" t="b">
            <v>0</v>
          </cell>
          <cell r="G863">
            <v>7647.73877279095</v>
          </cell>
          <cell r="H863">
            <v>5139.2871615937302</v>
          </cell>
          <cell r="I863">
            <v>55</v>
          </cell>
          <cell r="J863">
            <v>9.2715457834525604E-5</v>
          </cell>
          <cell r="K863">
            <v>1828</v>
          </cell>
          <cell r="L863">
            <v>2011.17957673567</v>
          </cell>
          <cell r="M863">
            <v>454</v>
          </cell>
          <cell r="N863">
            <v>0.17083508563525099</v>
          </cell>
          <cell r="O863">
            <v>432</v>
          </cell>
          <cell r="P863">
            <v>2.06</v>
          </cell>
          <cell r="Q863">
            <v>625</v>
          </cell>
        </row>
        <row r="864">
          <cell r="B864" t="str">
            <v>DESCHUTES 1101CB</v>
          </cell>
          <cell r="C864">
            <v>103351101</v>
          </cell>
          <cell r="D864" t="str">
            <v>DESCHUTES 1101</v>
          </cell>
          <cell r="E864" t="str">
            <v>CB</v>
          </cell>
          <cell r="F864" t="b">
            <v>0</v>
          </cell>
          <cell r="G864">
            <v>17940.987347800899</v>
          </cell>
          <cell r="H864">
            <v>8017.5323195317596</v>
          </cell>
          <cell r="I864">
            <v>118</v>
          </cell>
          <cell r="J864">
            <v>1.1905374778243E-4</v>
          </cell>
          <cell r="K864">
            <v>1205</v>
          </cell>
          <cell r="L864">
            <v>2481.2226472572902</v>
          </cell>
          <cell r="M864">
            <v>344</v>
          </cell>
          <cell r="N864">
            <v>0.28403138784700699</v>
          </cell>
          <cell r="O864">
            <v>150</v>
          </cell>
          <cell r="P864">
            <v>0.04</v>
          </cell>
          <cell r="Q864">
            <v>2142</v>
          </cell>
        </row>
        <row r="865">
          <cell r="B865" t="str">
            <v>DESCHUTES 11041370</v>
          </cell>
          <cell r="C865">
            <v>103351104</v>
          </cell>
          <cell r="D865" t="str">
            <v>DESCHUTES 1104</v>
          </cell>
          <cell r="E865">
            <v>1370</v>
          </cell>
          <cell r="F865" t="b">
            <v>0</v>
          </cell>
          <cell r="G865">
            <v>35764.199967935499</v>
          </cell>
          <cell r="H865">
            <v>21861.395828923101</v>
          </cell>
          <cell r="I865">
            <v>272</v>
          </cell>
          <cell r="J865">
            <v>1.0359059831444E-4</v>
          </cell>
          <cell r="K865">
            <v>1559</v>
          </cell>
          <cell r="L865">
            <v>3756.8300998763698</v>
          </cell>
          <cell r="M865">
            <v>175</v>
          </cell>
          <cell r="N865">
            <v>0.345613326954267</v>
          </cell>
          <cell r="O865">
            <v>100</v>
          </cell>
          <cell r="P865">
            <v>0.05</v>
          </cell>
          <cell r="Q865">
            <v>1954</v>
          </cell>
        </row>
        <row r="866">
          <cell r="B866" t="str">
            <v>DESCHUTES 11041582</v>
          </cell>
          <cell r="C866">
            <v>103351104</v>
          </cell>
          <cell r="D866" t="str">
            <v>DESCHUTES 1104</v>
          </cell>
          <cell r="E866">
            <v>1582</v>
          </cell>
          <cell r="F866" t="b">
            <v>0</v>
          </cell>
          <cell r="G866">
            <v>24298.624503763102</v>
          </cell>
          <cell r="H866">
            <v>10265.139538629801</v>
          </cell>
          <cell r="I866">
            <v>173</v>
          </cell>
          <cell r="J866">
            <v>8.3929779425806193E-5</v>
          </cell>
          <cell r="K866">
            <v>2096</v>
          </cell>
          <cell r="L866">
            <v>2774.3490877006002</v>
          </cell>
          <cell r="M866">
            <v>305</v>
          </cell>
          <cell r="N866">
            <v>0.213268750183325</v>
          </cell>
          <cell r="O866">
            <v>301</v>
          </cell>
          <cell r="P866">
            <v>0.05</v>
          </cell>
          <cell r="Q866">
            <v>1927</v>
          </cell>
        </row>
        <row r="867">
          <cell r="B867" t="str">
            <v>DESCHUTES 110449024</v>
          </cell>
          <cell r="C867">
            <v>103351104</v>
          </cell>
          <cell r="D867" t="str">
            <v>DESCHUTES 1104</v>
          </cell>
          <cell r="E867">
            <v>49024</v>
          </cell>
          <cell r="F867" t="b">
            <v>0</v>
          </cell>
          <cell r="G867">
            <v>26972.4504451824</v>
          </cell>
          <cell r="H867">
            <v>26707.9675430608</v>
          </cell>
          <cell r="I867">
            <v>209</v>
          </cell>
          <cell r="J867">
            <v>8.4768381778023704E-5</v>
          </cell>
          <cell r="K867">
            <v>2071</v>
          </cell>
          <cell r="L867">
            <v>4699.5814994080401</v>
          </cell>
          <cell r="M867">
            <v>98</v>
          </cell>
          <cell r="N867">
            <v>0.34786496778933401</v>
          </cell>
          <cell r="O867">
            <v>99</v>
          </cell>
          <cell r="P867">
            <v>9.0299999999999994</v>
          </cell>
          <cell r="Q867">
            <v>415</v>
          </cell>
        </row>
        <row r="868">
          <cell r="B868" t="str">
            <v>DESCHUTES 11049718</v>
          </cell>
          <cell r="C868">
            <v>103351104</v>
          </cell>
          <cell r="D868" t="str">
            <v>DESCHUTES 1104</v>
          </cell>
          <cell r="E868">
            <v>9718</v>
          </cell>
          <cell r="F868" t="b">
            <v>0</v>
          </cell>
          <cell r="G868">
            <v>56853.116458047902</v>
          </cell>
          <cell r="H868">
            <v>29935.285752687199</v>
          </cell>
          <cell r="I868">
            <v>357</v>
          </cell>
          <cell r="J868">
            <v>8.8629103517406E-5</v>
          </cell>
          <cell r="K868">
            <v>1967</v>
          </cell>
          <cell r="L868">
            <v>4802.0590048434196</v>
          </cell>
          <cell r="M868">
            <v>94</v>
          </cell>
          <cell r="N868">
            <v>0.42525580561623999</v>
          </cell>
          <cell r="O868">
            <v>48</v>
          </cell>
          <cell r="P868">
            <v>7.0000000000000007E-2</v>
          </cell>
          <cell r="Q868">
            <v>1758</v>
          </cell>
        </row>
        <row r="869">
          <cell r="B869" t="str">
            <v>DESCHUTES 11049726</v>
          </cell>
          <cell r="C869">
            <v>103351104</v>
          </cell>
          <cell r="D869" t="str">
            <v>DESCHUTES 1104</v>
          </cell>
          <cell r="E869">
            <v>9726</v>
          </cell>
          <cell r="F869" t="b">
            <v>0</v>
          </cell>
          <cell r="G869">
            <v>27359.749352648701</v>
          </cell>
          <cell r="H869">
            <v>25257.468115962602</v>
          </cell>
          <cell r="I869">
            <v>197</v>
          </cell>
          <cell r="J869">
            <v>8.9511052395990003E-5</v>
          </cell>
          <cell r="K869">
            <v>1931</v>
          </cell>
          <cell r="L869">
            <v>4058.75561700772</v>
          </cell>
          <cell r="M869">
            <v>145</v>
          </cell>
          <cell r="N869">
            <v>0.32130830787939202</v>
          </cell>
          <cell r="O869">
            <v>116</v>
          </cell>
          <cell r="P869">
            <v>3.58</v>
          </cell>
          <cell r="Q869">
            <v>541</v>
          </cell>
        </row>
        <row r="870">
          <cell r="B870" t="str">
            <v>DESCHUTES 1104CB</v>
          </cell>
          <cell r="C870">
            <v>103351104</v>
          </cell>
          <cell r="D870" t="str">
            <v>DESCHUTES 1104</v>
          </cell>
          <cell r="E870" t="str">
            <v>CB</v>
          </cell>
          <cell r="F870" t="b">
            <v>0</v>
          </cell>
          <cell r="G870">
            <v>39932.777513008703</v>
          </cell>
          <cell r="H870">
            <v>21735.414447577899</v>
          </cell>
          <cell r="I870">
            <v>273</v>
          </cell>
          <cell r="J870">
            <v>1.04685784731456E-4</v>
          </cell>
          <cell r="K870">
            <v>1537</v>
          </cell>
          <cell r="L870">
            <v>2355.7076979977801</v>
          </cell>
          <cell r="M870">
            <v>371</v>
          </cell>
          <cell r="N870">
            <v>0.20316083865571799</v>
          </cell>
          <cell r="O870">
            <v>318</v>
          </cell>
          <cell r="P870">
            <v>0.09</v>
          </cell>
          <cell r="Q870">
            <v>1519</v>
          </cell>
        </row>
        <row r="871">
          <cell r="B871" t="str">
            <v>DIABLO CANYON 1101CB</v>
          </cell>
          <cell r="C871">
            <v>189001101</v>
          </cell>
          <cell r="D871" t="str">
            <v>DIABLO CANYON 1101</v>
          </cell>
          <cell r="E871" t="str">
            <v>CB</v>
          </cell>
          <cell r="F871" t="b">
            <v>1</v>
          </cell>
          <cell r="G871">
            <v>0</v>
          </cell>
          <cell r="H871">
            <v>0</v>
          </cell>
          <cell r="K871">
            <v>3635</v>
          </cell>
          <cell r="M871">
            <v>3635</v>
          </cell>
          <cell r="O871">
            <v>3635</v>
          </cell>
          <cell r="Q871">
            <v>3635</v>
          </cell>
        </row>
        <row r="872">
          <cell r="B872" t="str">
            <v>DIAMOND SPRINGS 1103394169</v>
          </cell>
          <cell r="C872">
            <v>152261103</v>
          </cell>
          <cell r="D872" t="str">
            <v>DIAMOND SPRINGS 1103</v>
          </cell>
          <cell r="E872">
            <v>394169</v>
          </cell>
          <cell r="F872" t="b">
            <v>1</v>
          </cell>
          <cell r="G872">
            <v>962.99582840477001</v>
          </cell>
          <cell r="H872">
            <v>642.08043543509996</v>
          </cell>
          <cell r="I872">
            <v>7</v>
          </cell>
          <cell r="J872">
            <v>1.08938702656554E-4</v>
          </cell>
          <cell r="K872">
            <v>1428</v>
          </cell>
          <cell r="L872">
            <v>6.5699221816492195E-2</v>
          </cell>
          <cell r="M872">
            <v>3310</v>
          </cell>
          <cell r="N872">
            <v>7.1480881053521503E-6</v>
          </cell>
          <cell r="O872">
            <v>3158</v>
          </cell>
          <cell r="Q872">
            <v>3287</v>
          </cell>
        </row>
        <row r="873">
          <cell r="B873" t="str">
            <v>DIAMOND SPRINGS 1103467046</v>
          </cell>
          <cell r="C873">
            <v>152261103</v>
          </cell>
          <cell r="D873" t="str">
            <v>DIAMOND SPRINGS 1103</v>
          </cell>
          <cell r="E873">
            <v>467046</v>
          </cell>
          <cell r="F873" t="b">
            <v>0</v>
          </cell>
          <cell r="G873">
            <v>34550.746683238198</v>
          </cell>
          <cell r="H873">
            <v>24654.327974527401</v>
          </cell>
          <cell r="I873">
            <v>266</v>
          </cell>
          <cell r="J873">
            <v>1.8345185818824901E-4</v>
          </cell>
          <cell r="K873">
            <v>482</v>
          </cell>
          <cell r="L873">
            <v>166.800467650992</v>
          </cell>
          <cell r="M873">
            <v>1729</v>
          </cell>
          <cell r="N873">
            <v>3.0581256289753202E-2</v>
          </cell>
          <cell r="O873">
            <v>1452</v>
          </cell>
          <cell r="Q873">
            <v>2816</v>
          </cell>
        </row>
        <row r="874">
          <cell r="B874" t="str">
            <v>DIAMOND SPRINGS 1103635040</v>
          </cell>
          <cell r="C874">
            <v>152261103</v>
          </cell>
          <cell r="D874" t="str">
            <v>DIAMOND SPRINGS 1103</v>
          </cell>
          <cell r="E874">
            <v>635040</v>
          </cell>
          <cell r="F874" t="b">
            <v>1</v>
          </cell>
          <cell r="G874">
            <v>340.95593107185698</v>
          </cell>
          <cell r="H874">
            <v>324.180963325189</v>
          </cell>
          <cell r="I874">
            <v>2</v>
          </cell>
          <cell r="J874">
            <v>9.5316394435940297E-5</v>
          </cell>
          <cell r="K874">
            <v>1752</v>
          </cell>
          <cell r="L874">
            <v>11.948754499170301</v>
          </cell>
          <cell r="M874">
            <v>2590</v>
          </cell>
          <cell r="N874">
            <v>5.88804810134295E-4</v>
          </cell>
          <cell r="O874">
            <v>2713</v>
          </cell>
          <cell r="Q874">
            <v>3585</v>
          </cell>
        </row>
        <row r="875">
          <cell r="B875" t="str">
            <v>DIAMOND SPRINGS 11039432</v>
          </cell>
          <cell r="C875">
            <v>152261103</v>
          </cell>
          <cell r="D875" t="str">
            <v>DIAMOND SPRINGS 1103</v>
          </cell>
          <cell r="E875">
            <v>9432</v>
          </cell>
          <cell r="F875" t="b">
            <v>0</v>
          </cell>
          <cell r="G875">
            <v>32768.2312398957</v>
          </cell>
          <cell r="H875">
            <v>28100.434887024901</v>
          </cell>
          <cell r="I875">
            <v>251</v>
          </cell>
          <cell r="J875">
            <v>1.4729685944006899E-4</v>
          </cell>
          <cell r="K875">
            <v>771</v>
          </cell>
          <cell r="L875">
            <v>86.134943084471502</v>
          </cell>
          <cell r="M875">
            <v>2022</v>
          </cell>
          <cell r="N875">
            <v>1.8232989273116701E-2</v>
          </cell>
          <cell r="O875">
            <v>1699</v>
          </cell>
          <cell r="P875">
            <v>0.25</v>
          </cell>
          <cell r="Q875">
            <v>1080</v>
          </cell>
        </row>
        <row r="876">
          <cell r="B876" t="str">
            <v>DIAMOND SPRINGS 1103CB</v>
          </cell>
          <cell r="C876">
            <v>152261103</v>
          </cell>
          <cell r="D876" t="str">
            <v>DIAMOND SPRINGS 1103</v>
          </cell>
          <cell r="E876" t="str">
            <v>CB</v>
          </cell>
          <cell r="F876" t="b">
            <v>1</v>
          </cell>
          <cell r="G876">
            <v>13992.270104237899</v>
          </cell>
          <cell r="H876">
            <v>885.56123037185</v>
          </cell>
          <cell r="I876">
            <v>109</v>
          </cell>
          <cell r="J876">
            <v>2.1179459709113401E-4</v>
          </cell>
          <cell r="K876">
            <v>353</v>
          </cell>
          <cell r="L876">
            <v>2.0247084949548602</v>
          </cell>
          <cell r="M876">
            <v>2841</v>
          </cell>
          <cell r="N876">
            <v>2.4231192022032899E-4</v>
          </cell>
          <cell r="O876">
            <v>2815</v>
          </cell>
          <cell r="P876">
            <v>0.21</v>
          </cell>
          <cell r="Q876">
            <v>1152</v>
          </cell>
        </row>
        <row r="877">
          <cell r="B877" t="str">
            <v>DIAMOND SPRINGS 1104705100</v>
          </cell>
          <cell r="C877">
            <v>152261104</v>
          </cell>
          <cell r="D877" t="str">
            <v>DIAMOND SPRINGS 1104</v>
          </cell>
          <cell r="E877">
            <v>705100</v>
          </cell>
          <cell r="F877" t="b">
            <v>0</v>
          </cell>
          <cell r="G877">
            <v>13322.8035677802</v>
          </cell>
          <cell r="H877">
            <v>11885.1942262421</v>
          </cell>
          <cell r="I877">
            <v>78</v>
          </cell>
          <cell r="J877">
            <v>1.36384500225316E-4</v>
          </cell>
          <cell r="K877">
            <v>915</v>
          </cell>
          <cell r="L877">
            <v>900.05478483920797</v>
          </cell>
          <cell r="M877">
            <v>884</v>
          </cell>
          <cell r="N877">
            <v>0.122232445972774</v>
          </cell>
          <cell r="O877">
            <v>635</v>
          </cell>
          <cell r="Q877">
            <v>3106</v>
          </cell>
        </row>
        <row r="878">
          <cell r="B878" t="str">
            <v>DIAMOND SPRINGS 1104CB</v>
          </cell>
          <cell r="C878">
            <v>152261104</v>
          </cell>
          <cell r="D878" t="str">
            <v>DIAMOND SPRINGS 1104</v>
          </cell>
          <cell r="E878" t="str">
            <v>CB</v>
          </cell>
          <cell r="F878" t="b">
            <v>0</v>
          </cell>
          <cell r="G878">
            <v>15842.0084719937</v>
          </cell>
          <cell r="H878">
            <v>9046.8091137214506</v>
          </cell>
          <cell r="I878">
            <v>127</v>
          </cell>
          <cell r="J878">
            <v>2.0779941359802499E-4</v>
          </cell>
          <cell r="K878">
            <v>373</v>
          </cell>
          <cell r="L878">
            <v>65.670255965715697</v>
          </cell>
          <cell r="M878">
            <v>2119</v>
          </cell>
          <cell r="N878">
            <v>8.3930366382790299E-3</v>
          </cell>
          <cell r="O878">
            <v>2036</v>
          </cell>
          <cell r="P878">
            <v>0.19</v>
          </cell>
          <cell r="Q878">
            <v>1172</v>
          </cell>
        </row>
        <row r="879">
          <cell r="B879" t="str">
            <v>DIAMOND SPRINGS 110518935</v>
          </cell>
          <cell r="C879">
            <v>152261105</v>
          </cell>
          <cell r="D879" t="str">
            <v>DIAMOND SPRINGS 1105</v>
          </cell>
          <cell r="E879">
            <v>18935</v>
          </cell>
          <cell r="F879" t="b">
            <v>0</v>
          </cell>
          <cell r="G879">
            <v>10773.8274412431</v>
          </cell>
          <cell r="H879">
            <v>10773.8274412431</v>
          </cell>
          <cell r="I879">
            <v>76</v>
          </cell>
          <cell r="J879">
            <v>1.1326677258087601E-4</v>
          </cell>
          <cell r="K879">
            <v>1337</v>
          </cell>
          <cell r="L879">
            <v>910.092652735044</v>
          </cell>
          <cell r="M879">
            <v>882</v>
          </cell>
          <cell r="N879">
            <v>6.3223727888693307E-2</v>
          </cell>
          <cell r="O879">
            <v>1031</v>
          </cell>
          <cell r="P879">
            <v>8.2899999999999991</v>
          </cell>
          <cell r="Q879">
            <v>432</v>
          </cell>
        </row>
        <row r="880">
          <cell r="B880" t="str">
            <v>DIAMOND SPRINGS 110519910</v>
          </cell>
          <cell r="C880">
            <v>152261105</v>
          </cell>
          <cell r="D880" t="str">
            <v>DIAMOND SPRINGS 1105</v>
          </cell>
          <cell r="E880">
            <v>19910</v>
          </cell>
          <cell r="F880" t="b">
            <v>0</v>
          </cell>
          <cell r="G880">
            <v>33304.700565822197</v>
          </cell>
          <cell r="H880">
            <v>33304.700565822197</v>
          </cell>
          <cell r="I880">
            <v>226</v>
          </cell>
          <cell r="J880">
            <v>1.00757407260295E-4</v>
          </cell>
          <cell r="K880">
            <v>1629</v>
          </cell>
          <cell r="L880">
            <v>2072.4287440473199</v>
          </cell>
          <cell r="M880">
            <v>435</v>
          </cell>
          <cell r="N880">
            <v>0.19568066739647599</v>
          </cell>
          <cell r="O880">
            <v>343</v>
          </cell>
          <cell r="P880">
            <v>0.32</v>
          </cell>
          <cell r="Q880">
            <v>994</v>
          </cell>
        </row>
        <row r="881">
          <cell r="B881" t="str">
            <v>DIAMOND SPRINGS 11052102</v>
          </cell>
          <cell r="C881">
            <v>152261105</v>
          </cell>
          <cell r="D881" t="str">
            <v>DIAMOND SPRINGS 1105</v>
          </cell>
          <cell r="E881">
            <v>2102</v>
          </cell>
          <cell r="F881" t="b">
            <v>0</v>
          </cell>
          <cell r="G881">
            <v>62912.063317889901</v>
          </cell>
          <cell r="H881">
            <v>60307.879921699903</v>
          </cell>
          <cell r="I881">
            <v>417</v>
          </cell>
          <cell r="J881">
            <v>1.30346448875465E-4</v>
          </cell>
          <cell r="K881">
            <v>1002</v>
          </cell>
          <cell r="L881">
            <v>1146.89431545089</v>
          </cell>
          <cell r="M881">
            <v>755</v>
          </cell>
          <cell r="N881">
            <v>0.11620531280481999</v>
          </cell>
          <cell r="O881">
            <v>666</v>
          </cell>
          <cell r="P881">
            <v>0.75</v>
          </cell>
          <cell r="Q881">
            <v>787</v>
          </cell>
        </row>
        <row r="882">
          <cell r="B882" t="str">
            <v>DIAMOND SPRINGS 11057722</v>
          </cell>
          <cell r="C882">
            <v>152261105</v>
          </cell>
          <cell r="D882" t="str">
            <v>DIAMOND SPRINGS 1105</v>
          </cell>
          <cell r="E882">
            <v>7722</v>
          </cell>
          <cell r="F882" t="b">
            <v>0</v>
          </cell>
          <cell r="G882">
            <v>100229.718639246</v>
          </cell>
          <cell r="H882">
            <v>96782.525496817398</v>
          </cell>
          <cell r="I882">
            <v>572</v>
          </cell>
          <cell r="J882">
            <v>1.04618422861881E-4</v>
          </cell>
          <cell r="K882">
            <v>1540</v>
          </cell>
          <cell r="L882">
            <v>1087.3028042461499</v>
          </cell>
          <cell r="M882">
            <v>779</v>
          </cell>
          <cell r="N882">
            <v>0.119281671333689</v>
          </cell>
          <cell r="O882">
            <v>649</v>
          </cell>
          <cell r="P882">
            <v>0.25</v>
          </cell>
          <cell r="Q882">
            <v>1084</v>
          </cell>
        </row>
        <row r="883">
          <cell r="B883" t="str">
            <v>DIAMOND SPRINGS 1105CB</v>
          </cell>
          <cell r="C883">
            <v>152261105</v>
          </cell>
          <cell r="D883" t="str">
            <v>DIAMOND SPRINGS 1105</v>
          </cell>
          <cell r="E883" t="str">
            <v>CB</v>
          </cell>
          <cell r="F883" t="b">
            <v>0</v>
          </cell>
          <cell r="G883">
            <v>7588.8389172421503</v>
          </cell>
          <cell r="H883">
            <v>3330.3292713655901</v>
          </cell>
          <cell r="I883">
            <v>47</v>
          </cell>
          <cell r="J883">
            <v>3.0549567213227402E-4</v>
          </cell>
          <cell r="K883">
            <v>125</v>
          </cell>
          <cell r="L883">
            <v>1.74989406800851</v>
          </cell>
          <cell r="M883">
            <v>2851</v>
          </cell>
          <cell r="N883">
            <v>5.9825160164214003E-4</v>
          </cell>
          <cell r="O883">
            <v>2707</v>
          </cell>
          <cell r="P883">
            <v>0.99</v>
          </cell>
          <cell r="Q883">
            <v>735</v>
          </cell>
        </row>
        <row r="884">
          <cell r="B884" t="str">
            <v>DIAMOND SPRINGS 110610587</v>
          </cell>
          <cell r="C884">
            <v>152261106</v>
          </cell>
          <cell r="D884" t="str">
            <v>DIAMOND SPRINGS 1106</v>
          </cell>
          <cell r="E884">
            <v>10587</v>
          </cell>
          <cell r="F884" t="b">
            <v>0</v>
          </cell>
          <cell r="G884">
            <v>35336.551411209999</v>
          </cell>
          <cell r="H884">
            <v>35336.551411209999</v>
          </cell>
          <cell r="I884">
            <v>212</v>
          </cell>
          <cell r="J884">
            <v>8.4095950201333903E-5</v>
          </cell>
          <cell r="K884">
            <v>2092</v>
          </cell>
          <cell r="L884">
            <v>1469.42381109088</v>
          </cell>
          <cell r="M884">
            <v>607</v>
          </cell>
          <cell r="N884">
            <v>0.12297299393715699</v>
          </cell>
          <cell r="O884">
            <v>632</v>
          </cell>
          <cell r="P884">
            <v>0.13</v>
          </cell>
          <cell r="Q884">
            <v>1334</v>
          </cell>
        </row>
        <row r="885">
          <cell r="B885" t="str">
            <v>DIAMOND SPRINGS 1106176130</v>
          </cell>
          <cell r="C885">
            <v>152261106</v>
          </cell>
          <cell r="D885" t="str">
            <v>DIAMOND SPRINGS 1106</v>
          </cell>
          <cell r="E885">
            <v>176130</v>
          </cell>
          <cell r="F885" t="b">
            <v>1</v>
          </cell>
          <cell r="G885">
            <v>32.073696214637202</v>
          </cell>
          <cell r="H885">
            <v>32.073696214637202</v>
          </cell>
          <cell r="I885">
            <v>1</v>
          </cell>
          <cell r="J885">
            <v>4.4127582805231197E-4</v>
          </cell>
          <cell r="K885">
            <v>54</v>
          </cell>
          <cell r="L885">
            <v>6.6431531992944007E-2</v>
          </cell>
          <cell r="M885">
            <v>3008</v>
          </cell>
          <cell r="N885">
            <v>2.9314629288970001E-5</v>
          </cell>
          <cell r="O885">
            <v>2939</v>
          </cell>
          <cell r="Q885">
            <v>3388</v>
          </cell>
        </row>
        <row r="886">
          <cell r="B886" t="str">
            <v>DIAMOND SPRINGS 11062100</v>
          </cell>
          <cell r="C886">
            <v>152261106</v>
          </cell>
          <cell r="D886" t="str">
            <v>DIAMOND SPRINGS 1106</v>
          </cell>
          <cell r="E886">
            <v>2100</v>
          </cell>
          <cell r="F886" t="b">
            <v>0</v>
          </cell>
          <cell r="G886">
            <v>62879.076090365299</v>
          </cell>
          <cell r="H886">
            <v>62879.076090365299</v>
          </cell>
          <cell r="I886">
            <v>403</v>
          </cell>
          <cell r="J886">
            <v>1.1682369576242E-4</v>
          </cell>
          <cell r="K886">
            <v>1254</v>
          </cell>
          <cell r="L886">
            <v>355.74482625733401</v>
          </cell>
          <cell r="M886">
            <v>1364</v>
          </cell>
          <cell r="N886">
            <v>4.0695875222782903E-2</v>
          </cell>
          <cell r="O886">
            <v>1292</v>
          </cell>
          <cell r="P886">
            <v>0.14000000000000001</v>
          </cell>
          <cell r="Q886">
            <v>1318</v>
          </cell>
        </row>
        <row r="887">
          <cell r="B887" t="str">
            <v>DIAMOND SPRINGS 1106279670</v>
          </cell>
          <cell r="C887">
            <v>152261106</v>
          </cell>
          <cell r="D887" t="str">
            <v>DIAMOND SPRINGS 1106</v>
          </cell>
          <cell r="E887">
            <v>279670</v>
          </cell>
          <cell r="F887" t="b">
            <v>0</v>
          </cell>
          <cell r="G887">
            <v>7840.1687260095696</v>
          </cell>
          <cell r="H887">
            <v>6244.0930243457397</v>
          </cell>
          <cell r="I887">
            <v>54</v>
          </cell>
          <cell r="J887">
            <v>9.3625242799235902E-5</v>
          </cell>
          <cell r="K887">
            <v>1805</v>
          </cell>
          <cell r="L887">
            <v>0.35903464848252598</v>
          </cell>
          <cell r="M887">
            <v>2923</v>
          </cell>
          <cell r="N887">
            <v>7.0092657353511094E-5</v>
          </cell>
          <cell r="O887">
            <v>2889</v>
          </cell>
          <cell r="Q887">
            <v>3141</v>
          </cell>
        </row>
        <row r="888">
          <cell r="B888" t="str">
            <v>DIAMOND SPRINGS 1106290705</v>
          </cell>
          <cell r="C888">
            <v>152261106</v>
          </cell>
          <cell r="D888" t="str">
            <v>DIAMOND SPRINGS 1106</v>
          </cell>
          <cell r="E888">
            <v>290705</v>
          </cell>
          <cell r="F888" t="b">
            <v>0</v>
          </cell>
          <cell r="G888">
            <v>5314.0636006015002</v>
          </cell>
          <cell r="H888">
            <v>5193.0778135268101</v>
          </cell>
          <cell r="I888">
            <v>38</v>
          </cell>
          <cell r="J888">
            <v>1.9660436890645499E-4</v>
          </cell>
          <cell r="K888">
            <v>410</v>
          </cell>
          <cell r="L888">
            <v>2.5680408047121301</v>
          </cell>
          <cell r="M888">
            <v>2823</v>
          </cell>
          <cell r="N888">
            <v>1.67121405083772E-4</v>
          </cell>
          <cell r="O888">
            <v>2848</v>
          </cell>
          <cell r="Q888">
            <v>2706</v>
          </cell>
        </row>
        <row r="889">
          <cell r="B889" t="str">
            <v>DIAMOND SPRINGS 110656026</v>
          </cell>
          <cell r="C889">
            <v>152261106</v>
          </cell>
          <cell r="D889" t="str">
            <v>DIAMOND SPRINGS 1106</v>
          </cell>
          <cell r="E889">
            <v>56026</v>
          </cell>
          <cell r="F889" t="b">
            <v>0</v>
          </cell>
          <cell r="G889">
            <v>24339.190469179401</v>
          </cell>
          <cell r="H889">
            <v>24339.190469179401</v>
          </cell>
          <cell r="I889">
            <v>158</v>
          </cell>
          <cell r="J889">
            <v>1.29049159490034E-4</v>
          </cell>
          <cell r="K889">
            <v>1028</v>
          </cell>
          <cell r="L889">
            <v>717.57143708320098</v>
          </cell>
          <cell r="M889">
            <v>1005</v>
          </cell>
          <cell r="N889">
            <v>8.9061054185272895E-2</v>
          </cell>
          <cell r="O889">
            <v>831</v>
          </cell>
          <cell r="P889">
            <v>7.0000000000000007E-2</v>
          </cell>
          <cell r="Q889">
            <v>1750</v>
          </cell>
        </row>
        <row r="890">
          <cell r="B890" t="str">
            <v>DIAMOND SPRINGS 110676088</v>
          </cell>
          <cell r="C890">
            <v>152261106</v>
          </cell>
          <cell r="D890" t="str">
            <v>DIAMOND SPRINGS 1106</v>
          </cell>
          <cell r="E890">
            <v>76088</v>
          </cell>
          <cell r="F890" t="b">
            <v>0</v>
          </cell>
          <cell r="G890">
            <v>17715.992939172898</v>
          </cell>
          <cell r="H890">
            <v>17715.992939172898</v>
          </cell>
          <cell r="I890">
            <v>124</v>
          </cell>
          <cell r="J890">
            <v>8.4526492672364002E-5</v>
          </cell>
          <cell r="K890">
            <v>2076</v>
          </cell>
          <cell r="L890">
            <v>27.094488205186298</v>
          </cell>
          <cell r="M890">
            <v>2367</v>
          </cell>
          <cell r="N890">
            <v>2.3715484934811598E-3</v>
          </cell>
          <cell r="O890">
            <v>2425</v>
          </cell>
          <cell r="P890">
            <v>0.08</v>
          </cell>
          <cell r="Q890">
            <v>1589</v>
          </cell>
        </row>
        <row r="891">
          <cell r="B891" t="str">
            <v>DIAMOND SPRINGS 1106762780</v>
          </cell>
          <cell r="C891">
            <v>152261106</v>
          </cell>
          <cell r="D891" t="str">
            <v>DIAMOND SPRINGS 1106</v>
          </cell>
          <cell r="E891">
            <v>762780</v>
          </cell>
          <cell r="F891" t="b">
            <v>1</v>
          </cell>
          <cell r="G891">
            <v>1282.45514023483</v>
          </cell>
          <cell r="H891">
            <v>400.76704521351598</v>
          </cell>
          <cell r="I891">
            <v>11</v>
          </cell>
          <cell r="J891">
            <v>2.9440078519242302E-4</v>
          </cell>
          <cell r="K891">
            <v>135</v>
          </cell>
          <cell r="L891">
            <v>6.5382996967569898E-2</v>
          </cell>
          <cell r="M891">
            <v>3424</v>
          </cell>
          <cell r="N891">
            <v>1.9222384762579199E-5</v>
          </cell>
          <cell r="O891">
            <v>2965</v>
          </cell>
          <cell r="Q891">
            <v>3209</v>
          </cell>
        </row>
        <row r="892">
          <cell r="B892" t="str">
            <v>DIAMOND SPRINGS 1106910235</v>
          </cell>
          <cell r="C892">
            <v>152261106</v>
          </cell>
          <cell r="D892" t="str">
            <v>DIAMOND SPRINGS 1106</v>
          </cell>
          <cell r="E892">
            <v>910235</v>
          </cell>
          <cell r="F892" t="b">
            <v>1</v>
          </cell>
          <cell r="G892">
            <v>1774.12229312972</v>
          </cell>
          <cell r="H892">
            <v>851.04441707665899</v>
          </cell>
          <cell r="I892">
            <v>16</v>
          </cell>
          <cell r="J892">
            <v>2.33723450492107E-4</v>
          </cell>
          <cell r="K892">
            <v>267</v>
          </cell>
          <cell r="L892">
            <v>6.5630567737449894E-2</v>
          </cell>
          <cell r="M892">
            <v>3328</v>
          </cell>
          <cell r="N892">
            <v>1.5283313171054399E-5</v>
          </cell>
          <cell r="O892">
            <v>3005</v>
          </cell>
          <cell r="Q892">
            <v>2923</v>
          </cell>
        </row>
        <row r="893">
          <cell r="B893" t="str">
            <v>DIAMOND SPRINGS 1106926235</v>
          </cell>
          <cell r="C893">
            <v>152261106</v>
          </cell>
          <cell r="D893" t="str">
            <v>DIAMOND SPRINGS 1106</v>
          </cell>
          <cell r="E893">
            <v>926235</v>
          </cell>
          <cell r="F893" t="b">
            <v>1</v>
          </cell>
          <cell r="G893">
            <v>416.14190879732001</v>
          </cell>
          <cell r="H893">
            <v>305.36685150899802</v>
          </cell>
          <cell r="I893">
            <v>4</v>
          </cell>
          <cell r="J893">
            <v>2.79768359177978E-4</v>
          </cell>
          <cell r="K893">
            <v>153</v>
          </cell>
          <cell r="L893">
            <v>6.57907605885487E-2</v>
          </cell>
          <cell r="M893">
            <v>3274</v>
          </cell>
          <cell r="N893">
            <v>1.8371772061302599E-5</v>
          </cell>
          <cell r="O893">
            <v>2970</v>
          </cell>
          <cell r="Q893">
            <v>3532</v>
          </cell>
        </row>
        <row r="894">
          <cell r="B894" t="str">
            <v>DIAMOND SPRINGS 1106930190</v>
          </cell>
          <cell r="C894">
            <v>152261106</v>
          </cell>
          <cell r="D894" t="str">
            <v>DIAMOND SPRINGS 1106</v>
          </cell>
          <cell r="E894">
            <v>930190</v>
          </cell>
          <cell r="F894" t="b">
            <v>0</v>
          </cell>
          <cell r="G894">
            <v>30053.783280947198</v>
          </cell>
          <cell r="H894">
            <v>27579.542352224202</v>
          </cell>
          <cell r="I894">
            <v>207</v>
          </cell>
          <cell r="J894">
            <v>1.4884680267597701E-4</v>
          </cell>
          <cell r="K894">
            <v>753</v>
          </cell>
          <cell r="L894">
            <v>53.378320179388297</v>
          </cell>
          <cell r="M894">
            <v>2192</v>
          </cell>
          <cell r="N894">
            <v>7.4761479222414202E-3</v>
          </cell>
          <cell r="O894">
            <v>2077</v>
          </cell>
          <cell r="Q894">
            <v>2690</v>
          </cell>
        </row>
        <row r="895">
          <cell r="B895" t="str">
            <v>DIAMOND SPRINGS 110699658</v>
          </cell>
          <cell r="C895">
            <v>152261106</v>
          </cell>
          <cell r="D895" t="str">
            <v>DIAMOND SPRINGS 1106</v>
          </cell>
          <cell r="E895">
            <v>99658</v>
          </cell>
          <cell r="F895" t="b">
            <v>1</v>
          </cell>
          <cell r="G895">
            <v>4406.3904937111902</v>
          </cell>
          <cell r="H895">
            <v>0</v>
          </cell>
          <cell r="I895">
            <v>39</v>
          </cell>
          <cell r="J895">
            <v>2.7978713765868999E-4</v>
          </cell>
          <cell r="K895">
            <v>152</v>
          </cell>
          <cell r="L895">
            <v>6.5149989184153406E-2</v>
          </cell>
          <cell r="M895">
            <v>3578</v>
          </cell>
          <cell r="N895">
            <v>1.8228128992328899E-5</v>
          </cell>
          <cell r="O895">
            <v>2972</v>
          </cell>
          <cell r="P895">
            <v>0.05</v>
          </cell>
          <cell r="Q895">
            <v>2030</v>
          </cell>
        </row>
        <row r="896">
          <cell r="B896" t="str">
            <v>DIAMOND SPRINGS 1107116815</v>
          </cell>
          <cell r="C896">
            <v>152261107</v>
          </cell>
          <cell r="D896" t="str">
            <v>DIAMOND SPRINGS 1107</v>
          </cell>
          <cell r="E896">
            <v>116815</v>
          </cell>
          <cell r="F896" t="b">
            <v>0</v>
          </cell>
          <cell r="G896">
            <v>4074.4872672603401</v>
          </cell>
          <cell r="H896">
            <v>2540.285655871</v>
          </cell>
          <cell r="I896">
            <v>33</v>
          </cell>
          <cell r="J896">
            <v>1.90692882990168E-4</v>
          </cell>
          <cell r="K896">
            <v>440</v>
          </cell>
          <cell r="L896">
            <v>1.50624717214901</v>
          </cell>
          <cell r="M896">
            <v>2865</v>
          </cell>
          <cell r="N896">
            <v>1.07226597783788E-4</v>
          </cell>
          <cell r="O896">
            <v>2872</v>
          </cell>
          <cell r="Q896">
            <v>3182</v>
          </cell>
        </row>
        <row r="897">
          <cell r="B897" t="str">
            <v>DIAMOND SPRINGS 11071402</v>
          </cell>
          <cell r="C897">
            <v>152261107</v>
          </cell>
          <cell r="D897" t="str">
            <v>DIAMOND SPRINGS 1107</v>
          </cell>
          <cell r="E897">
            <v>1402</v>
          </cell>
          <cell r="F897" t="b">
            <v>0</v>
          </cell>
          <cell r="G897">
            <v>71104.043154245694</v>
          </cell>
          <cell r="H897">
            <v>71104.043154245694</v>
          </cell>
          <cell r="I897">
            <v>541</v>
          </cell>
          <cell r="J897">
            <v>9.14188138334861E-5</v>
          </cell>
          <cell r="K897">
            <v>1862</v>
          </cell>
          <cell r="L897">
            <v>1211.84234216047</v>
          </cell>
          <cell r="M897">
            <v>726</v>
          </cell>
          <cell r="N897">
            <v>9.2281016567475796E-2</v>
          </cell>
          <cell r="O897">
            <v>811</v>
          </cell>
          <cell r="P897">
            <v>35.4</v>
          </cell>
          <cell r="Q897">
            <v>214</v>
          </cell>
        </row>
        <row r="898">
          <cell r="B898" t="str">
            <v>DIAMOND SPRINGS 1107203504</v>
          </cell>
          <cell r="C898">
            <v>152261107</v>
          </cell>
          <cell r="D898" t="str">
            <v>DIAMOND SPRINGS 1107</v>
          </cell>
          <cell r="E898">
            <v>203504</v>
          </cell>
          <cell r="F898" t="b">
            <v>1</v>
          </cell>
          <cell r="G898">
            <v>514.04250720861</v>
          </cell>
          <cell r="H898">
            <v>226.494340551352</v>
          </cell>
          <cell r="I898">
            <v>4</v>
          </cell>
          <cell r="J898">
            <v>2.1968787405057799E-4</v>
          </cell>
          <cell r="K898">
            <v>325</v>
          </cell>
          <cell r="L898">
            <v>71.363250908438403</v>
          </cell>
          <cell r="M898">
            <v>2088</v>
          </cell>
          <cell r="N898">
            <v>9.7327016988855795E-3</v>
          </cell>
          <cell r="O898">
            <v>1971</v>
          </cell>
          <cell r="Q898">
            <v>3389</v>
          </cell>
        </row>
        <row r="899">
          <cell r="B899" t="str">
            <v>DIAMOND SPRINGS 1107217974</v>
          </cell>
          <cell r="C899">
            <v>152261107</v>
          </cell>
          <cell r="D899" t="str">
            <v>DIAMOND SPRINGS 1107</v>
          </cell>
          <cell r="E899">
            <v>217974</v>
          </cell>
          <cell r="F899" t="b">
            <v>0</v>
          </cell>
          <cell r="G899">
            <v>6862.6922338311197</v>
          </cell>
          <cell r="H899">
            <v>6593.06507130713</v>
          </cell>
          <cell r="I899">
            <v>44</v>
          </cell>
          <cell r="J899">
            <v>1.3258658236736599E-4</v>
          </cell>
          <cell r="K899">
            <v>971</v>
          </cell>
          <cell r="L899">
            <v>7.0881537690489198</v>
          </cell>
          <cell r="M899">
            <v>2685</v>
          </cell>
          <cell r="N899">
            <v>9.3976164593597095E-4</v>
          </cell>
          <cell r="O899">
            <v>2649</v>
          </cell>
          <cell r="Q899">
            <v>2978</v>
          </cell>
        </row>
        <row r="900">
          <cell r="B900" t="str">
            <v>DIAMOND SPRINGS 110777086</v>
          </cell>
          <cell r="C900">
            <v>152261107</v>
          </cell>
          <cell r="D900" t="str">
            <v>DIAMOND SPRINGS 1107</v>
          </cell>
          <cell r="E900">
            <v>77086</v>
          </cell>
          <cell r="F900" t="b">
            <v>0</v>
          </cell>
          <cell r="G900">
            <v>6051.2821850009996</v>
          </cell>
          <cell r="H900">
            <v>4371.5845511297202</v>
          </cell>
          <cell r="I900">
            <v>47</v>
          </cell>
          <cell r="J900">
            <v>2.0916568408868799E-4</v>
          </cell>
          <cell r="K900">
            <v>363</v>
          </cell>
          <cell r="L900">
            <v>405.35927404712498</v>
          </cell>
          <cell r="M900">
            <v>1291</v>
          </cell>
          <cell r="N900">
            <v>6.8998138116875496E-2</v>
          </cell>
          <cell r="O900">
            <v>985</v>
          </cell>
          <cell r="Q900">
            <v>3331</v>
          </cell>
        </row>
        <row r="901">
          <cell r="B901" t="str">
            <v>DIAMOND SPRINGS 1107CB</v>
          </cell>
          <cell r="C901">
            <v>152261107</v>
          </cell>
          <cell r="D901" t="str">
            <v>DIAMOND SPRINGS 1107</v>
          </cell>
          <cell r="E901" t="str">
            <v>CB</v>
          </cell>
          <cell r="F901" t="b">
            <v>1</v>
          </cell>
          <cell r="G901">
            <v>5946.2244530908101</v>
          </cell>
          <cell r="H901">
            <v>0</v>
          </cell>
          <cell r="I901">
            <v>51</v>
          </cell>
          <cell r="J901">
            <v>2.0301991244195899E-4</v>
          </cell>
          <cell r="K901">
            <v>386</v>
          </cell>
          <cell r="L901">
            <v>24.2581614064813</v>
          </cell>
          <cell r="M901">
            <v>2398</v>
          </cell>
          <cell r="N901">
            <v>7.4949363039503603E-3</v>
          </cell>
          <cell r="O901">
            <v>2074</v>
          </cell>
          <cell r="P901">
            <v>0.05</v>
          </cell>
          <cell r="Q901">
            <v>1988</v>
          </cell>
        </row>
        <row r="902">
          <cell r="B902" t="str">
            <v>DIVIDE 1103567884</v>
          </cell>
          <cell r="C902">
            <v>182571103</v>
          </cell>
          <cell r="D902" t="str">
            <v>DIVIDE 1103</v>
          </cell>
          <cell r="E902">
            <v>567884</v>
          </cell>
          <cell r="F902" t="b">
            <v>0</v>
          </cell>
          <cell r="G902">
            <v>4535.2993371820203</v>
          </cell>
          <cell r="H902">
            <v>4025.5628316662301</v>
          </cell>
          <cell r="I902">
            <v>27</v>
          </cell>
          <cell r="J902">
            <v>5.6020569060750001E-5</v>
          </cell>
          <cell r="K902">
            <v>2887</v>
          </cell>
          <cell r="L902">
            <v>815.59041201461196</v>
          </cell>
          <cell r="M902">
            <v>927</v>
          </cell>
          <cell r="N902">
            <v>4.8163529308650803E-2</v>
          </cell>
          <cell r="O902">
            <v>1193</v>
          </cell>
          <cell r="Q902">
            <v>2926</v>
          </cell>
        </row>
        <row r="903">
          <cell r="B903" t="str">
            <v>DOBBINS 11011264</v>
          </cell>
          <cell r="C903">
            <v>153741101</v>
          </cell>
          <cell r="D903" t="str">
            <v>DOBBINS 1101</v>
          </cell>
          <cell r="E903">
            <v>1264</v>
          </cell>
          <cell r="F903" t="b">
            <v>0</v>
          </cell>
          <cell r="G903">
            <v>56286.963562400902</v>
          </cell>
          <cell r="H903">
            <v>56286.963562400902</v>
          </cell>
          <cell r="I903">
            <v>307</v>
          </cell>
          <cell r="J903">
            <v>1.1647405418037799E-4</v>
          </cell>
          <cell r="K903">
            <v>1260</v>
          </cell>
          <cell r="L903">
            <v>1094.52561068358</v>
          </cell>
          <cell r="M903">
            <v>776</v>
          </cell>
          <cell r="N903">
            <v>0.119169253220647</v>
          </cell>
          <cell r="O903">
            <v>650</v>
          </cell>
          <cell r="P903">
            <v>0.39</v>
          </cell>
          <cell r="Q903">
            <v>957</v>
          </cell>
        </row>
        <row r="904">
          <cell r="B904" t="str">
            <v>DOBBINS 11011808</v>
          </cell>
          <cell r="C904">
            <v>153741101</v>
          </cell>
          <cell r="D904" t="str">
            <v>DOBBINS 1101</v>
          </cell>
          <cell r="E904">
            <v>1808</v>
          </cell>
          <cell r="F904" t="b">
            <v>0</v>
          </cell>
          <cell r="G904">
            <v>25003.375669168599</v>
          </cell>
          <cell r="H904">
            <v>25003.375669168599</v>
          </cell>
          <cell r="I904">
            <v>171</v>
          </cell>
          <cell r="J904">
            <v>1.2923354906409801E-4</v>
          </cell>
          <cell r="K904">
            <v>1021</v>
          </cell>
          <cell r="L904">
            <v>2096.2914434969398</v>
          </cell>
          <cell r="M904">
            <v>428</v>
          </cell>
          <cell r="N904">
            <v>0.26282230781856503</v>
          </cell>
          <cell r="O904">
            <v>193</v>
          </cell>
          <cell r="P904">
            <v>0.09</v>
          </cell>
          <cell r="Q904">
            <v>1564</v>
          </cell>
        </row>
        <row r="905">
          <cell r="B905" t="str">
            <v>DOBBINS 11015202</v>
          </cell>
          <cell r="C905">
            <v>153741101</v>
          </cell>
          <cell r="D905" t="str">
            <v>DOBBINS 1101</v>
          </cell>
          <cell r="E905">
            <v>5202</v>
          </cell>
          <cell r="F905" t="b">
            <v>0</v>
          </cell>
          <cell r="G905">
            <v>27474.732896474201</v>
          </cell>
          <cell r="H905">
            <v>26267.898521317999</v>
          </cell>
          <cell r="I905">
            <v>162</v>
          </cell>
          <cell r="J905">
            <v>8.8527277826578002E-5</v>
          </cell>
          <cell r="K905">
            <v>1973</v>
          </cell>
          <cell r="L905">
            <v>910.68741220049105</v>
          </cell>
          <cell r="M905">
            <v>881</v>
          </cell>
          <cell r="N905">
            <v>8.21552240701095E-2</v>
          </cell>
          <cell r="O905">
            <v>885</v>
          </cell>
          <cell r="P905">
            <v>0.12</v>
          </cell>
          <cell r="Q905">
            <v>1403</v>
          </cell>
        </row>
        <row r="906">
          <cell r="B906" t="str">
            <v>DOBBINS 110169722</v>
          </cell>
          <cell r="C906">
            <v>153741101</v>
          </cell>
          <cell r="D906" t="str">
            <v>DOBBINS 1101</v>
          </cell>
          <cell r="E906">
            <v>69722</v>
          </cell>
          <cell r="F906" t="b">
            <v>0</v>
          </cell>
          <cell r="G906">
            <v>10673.428857328399</v>
          </cell>
          <cell r="H906">
            <v>10673.428857328399</v>
          </cell>
          <cell r="I906">
            <v>68</v>
          </cell>
          <cell r="J906">
            <v>1.4836167461266099E-4</v>
          </cell>
          <cell r="K906">
            <v>760</v>
          </cell>
          <cell r="L906">
            <v>1483.0500922746801</v>
          </cell>
          <cell r="M906">
            <v>601</v>
          </cell>
          <cell r="N906">
            <v>0.18675445374555599</v>
          </cell>
          <cell r="O906">
            <v>382</v>
          </cell>
          <cell r="P906">
            <v>0.34</v>
          </cell>
          <cell r="Q906">
            <v>983</v>
          </cell>
        </row>
        <row r="907">
          <cell r="B907" t="str">
            <v>DOBBINS 110191464</v>
          </cell>
          <cell r="C907">
            <v>153741101</v>
          </cell>
          <cell r="D907" t="str">
            <v>DOBBINS 1101</v>
          </cell>
          <cell r="E907">
            <v>91464</v>
          </cell>
          <cell r="F907" t="b">
            <v>0</v>
          </cell>
          <cell r="G907">
            <v>11314.1037683049</v>
          </cell>
          <cell r="H907">
            <v>11314.1037683049</v>
          </cell>
          <cell r="I907">
            <v>81</v>
          </cell>
          <cell r="J907">
            <v>1.6471134350231901E-4</v>
          </cell>
          <cell r="K907">
            <v>590</v>
          </cell>
          <cell r="L907">
            <v>737.19717506588995</v>
          </cell>
          <cell r="M907">
            <v>986</v>
          </cell>
          <cell r="N907">
            <v>0.10229052055460899</v>
          </cell>
          <cell r="O907">
            <v>748</v>
          </cell>
          <cell r="P907">
            <v>0.15</v>
          </cell>
          <cell r="Q907">
            <v>1286</v>
          </cell>
        </row>
        <row r="908">
          <cell r="B908" t="str">
            <v>DOBBINS 1101CB</v>
          </cell>
          <cell r="C908">
            <v>153741101</v>
          </cell>
          <cell r="D908" t="str">
            <v>DOBBINS 1101</v>
          </cell>
          <cell r="E908" t="str">
            <v>CB</v>
          </cell>
          <cell r="F908" t="b">
            <v>0</v>
          </cell>
          <cell r="G908">
            <v>1079.09359213219</v>
          </cell>
          <cell r="H908">
            <v>1079.09359213219</v>
          </cell>
          <cell r="I908">
            <v>8</v>
          </cell>
          <cell r="J908">
            <v>8.7249311036430299E-5</v>
          </cell>
          <cell r="K908">
            <v>2007</v>
          </cell>
          <cell r="L908">
            <v>6.6431531992944007E-2</v>
          </cell>
          <cell r="M908">
            <v>3012</v>
          </cell>
          <cell r="N908">
            <v>5.7961053974789398E-6</v>
          </cell>
          <cell r="O908">
            <v>3222</v>
          </cell>
          <cell r="P908">
            <v>0.06</v>
          </cell>
          <cell r="Q908">
            <v>1836</v>
          </cell>
        </row>
        <row r="909">
          <cell r="B909" t="str">
            <v>DOLAN ROAD 1101156268</v>
          </cell>
          <cell r="C909">
            <v>182381101</v>
          </cell>
          <cell r="D909" t="str">
            <v>DOLAN ROAD 1101</v>
          </cell>
          <cell r="E909">
            <v>156268</v>
          </cell>
          <cell r="F909" t="b">
            <v>1</v>
          </cell>
          <cell r="G909">
            <v>3622.1132867595502</v>
          </cell>
          <cell r="H909">
            <v>52.745276163425203</v>
          </cell>
          <cell r="I909">
            <v>31</v>
          </cell>
          <cell r="J909">
            <v>9.0740168924375805E-5</v>
          </cell>
          <cell r="K909">
            <v>1891</v>
          </cell>
          <cell r="L909">
            <v>6.5189017168036295E-2</v>
          </cell>
          <cell r="M909">
            <v>3522</v>
          </cell>
          <cell r="N909">
            <v>5.9139908500277802E-6</v>
          </cell>
          <cell r="O909">
            <v>3215</v>
          </cell>
          <cell r="Q909">
            <v>3199</v>
          </cell>
        </row>
        <row r="910">
          <cell r="B910" t="str">
            <v>DOLAN ROAD 1101173702</v>
          </cell>
          <cell r="C910">
            <v>182381101</v>
          </cell>
          <cell r="D910" t="str">
            <v>DOLAN ROAD 1101</v>
          </cell>
          <cell r="E910">
            <v>173702</v>
          </cell>
          <cell r="F910" t="b">
            <v>1</v>
          </cell>
          <cell r="G910">
            <v>213.49010324733399</v>
          </cell>
          <cell r="H910">
            <v>86.680277878921103</v>
          </cell>
          <cell r="I910">
            <v>3</v>
          </cell>
          <cell r="J910">
            <v>6.5663888866159399E-5</v>
          </cell>
          <cell r="K910">
            <v>2598</v>
          </cell>
          <cell r="L910">
            <v>6.51475899323882E-2</v>
          </cell>
          <cell r="M910">
            <v>3599</v>
          </cell>
          <cell r="N910">
            <v>4.2778441052184703E-6</v>
          </cell>
          <cell r="O910">
            <v>3314</v>
          </cell>
          <cell r="Q910">
            <v>3550</v>
          </cell>
        </row>
        <row r="911">
          <cell r="B911" t="str">
            <v>DOLAN ROAD 110122158</v>
          </cell>
          <cell r="C911">
            <v>182381101</v>
          </cell>
          <cell r="D911" t="str">
            <v>DOLAN ROAD 1101</v>
          </cell>
          <cell r="E911">
            <v>22158</v>
          </cell>
          <cell r="F911" t="b">
            <v>1</v>
          </cell>
          <cell r="G911">
            <v>14506.5343390081</v>
          </cell>
          <cell r="H911">
            <v>184.81976260235399</v>
          </cell>
          <cell r="I911">
            <v>119</v>
          </cell>
          <cell r="J911">
            <v>6.7278481472354595E-5</v>
          </cell>
          <cell r="K911">
            <v>2552</v>
          </cell>
          <cell r="L911">
            <v>6.5158381901338394E-2</v>
          </cell>
          <cell r="M911">
            <v>3557</v>
          </cell>
          <cell r="N911">
            <v>4.3835984861129701E-6</v>
          </cell>
          <cell r="O911">
            <v>3305</v>
          </cell>
          <cell r="P911">
            <v>0.04</v>
          </cell>
          <cell r="Q911">
            <v>2174</v>
          </cell>
        </row>
        <row r="912">
          <cell r="B912" t="str">
            <v>DOLAN ROAD 11013012</v>
          </cell>
          <cell r="C912">
            <v>182381101</v>
          </cell>
          <cell r="D912" t="str">
            <v>DOLAN ROAD 1101</v>
          </cell>
          <cell r="E912">
            <v>3012</v>
          </cell>
          <cell r="F912" t="b">
            <v>1</v>
          </cell>
          <cell r="G912">
            <v>22106.104930569501</v>
          </cell>
          <cell r="H912">
            <v>301.93860769489902</v>
          </cell>
          <cell r="I912">
            <v>160</v>
          </cell>
          <cell r="J912">
            <v>6.2530490008093996E-5</v>
          </cell>
          <cell r="K912">
            <v>2701</v>
          </cell>
          <cell r="L912">
            <v>6.5163642986201795E-2</v>
          </cell>
          <cell r="M912">
            <v>3551</v>
          </cell>
          <cell r="N912">
            <v>4.07489178582537E-6</v>
          </cell>
          <cell r="O912">
            <v>3332</v>
          </cell>
          <cell r="P912">
            <v>0.04</v>
          </cell>
          <cell r="Q912">
            <v>2138</v>
          </cell>
        </row>
        <row r="913">
          <cell r="B913" t="str">
            <v>DOLAN ROAD 1101590402</v>
          </cell>
          <cell r="C913">
            <v>182381101</v>
          </cell>
          <cell r="D913" t="str">
            <v>DOLAN ROAD 1101</v>
          </cell>
          <cell r="E913">
            <v>590402</v>
          </cell>
          <cell r="F913" t="b">
            <v>0</v>
          </cell>
          <cell r="G913">
            <v>9614.0154259386309</v>
          </cell>
          <cell r="H913">
            <v>3916.0340490991698</v>
          </cell>
          <cell r="I913">
            <v>78</v>
          </cell>
          <cell r="J913">
            <v>5.9194938144057003E-5</v>
          </cell>
          <cell r="K913">
            <v>2800</v>
          </cell>
          <cell r="L913">
            <v>0.67391613047687404</v>
          </cell>
          <cell r="M913">
            <v>2910</v>
          </cell>
          <cell r="N913">
            <v>4.8446419882096597E-5</v>
          </cell>
          <cell r="O913">
            <v>2903</v>
          </cell>
          <cell r="Q913">
            <v>3086</v>
          </cell>
        </row>
        <row r="914">
          <cell r="B914" t="str">
            <v>DOLAN ROAD 1101857972</v>
          </cell>
          <cell r="C914">
            <v>182381101</v>
          </cell>
          <cell r="D914" t="str">
            <v>DOLAN ROAD 1101</v>
          </cell>
          <cell r="E914">
            <v>857972</v>
          </cell>
          <cell r="F914" t="b">
            <v>0</v>
          </cell>
          <cell r="G914">
            <v>2082.0424615633101</v>
          </cell>
          <cell r="H914">
            <v>1672.4823923492299</v>
          </cell>
          <cell r="I914">
            <v>18</v>
          </cell>
          <cell r="J914">
            <v>4.6792788149711302E-5</v>
          </cell>
          <cell r="K914">
            <v>3119</v>
          </cell>
          <cell r="L914">
            <v>6.2206857190805902</v>
          </cell>
          <cell r="M914">
            <v>2708</v>
          </cell>
          <cell r="N914">
            <v>3.4064356106109202E-4</v>
          </cell>
          <cell r="O914">
            <v>2783</v>
          </cell>
          <cell r="Q914">
            <v>3208</v>
          </cell>
        </row>
        <row r="915">
          <cell r="B915" t="str">
            <v>DOLAN ROAD 1101882610</v>
          </cell>
          <cell r="C915">
            <v>182381101</v>
          </cell>
          <cell r="D915" t="str">
            <v>DOLAN ROAD 1101</v>
          </cell>
          <cell r="E915">
            <v>882610</v>
          </cell>
          <cell r="F915" t="b">
            <v>1</v>
          </cell>
          <cell r="G915">
            <v>653.63346578403298</v>
          </cell>
          <cell r="H915">
            <v>228.31576376939501</v>
          </cell>
          <cell r="I915">
            <v>8</v>
          </cell>
          <cell r="J915">
            <v>5.792150977868E-5</v>
          </cell>
          <cell r="K915">
            <v>2838</v>
          </cell>
          <cell r="L915">
            <v>6.5308120470524395E-2</v>
          </cell>
          <cell r="M915">
            <v>3458</v>
          </cell>
          <cell r="N915">
            <v>3.7868323830002001E-6</v>
          </cell>
          <cell r="O915">
            <v>3348</v>
          </cell>
          <cell r="Q915">
            <v>3400</v>
          </cell>
        </row>
        <row r="916">
          <cell r="B916" t="str">
            <v>DRUM 11011602</v>
          </cell>
          <cell r="C916">
            <v>152321101</v>
          </cell>
          <cell r="D916" t="str">
            <v>DRUM 1101</v>
          </cell>
          <cell r="E916">
            <v>1602</v>
          </cell>
          <cell r="F916" t="b">
            <v>0</v>
          </cell>
          <cell r="G916">
            <v>26067.912842218098</v>
          </cell>
          <cell r="H916">
            <v>26067.912842218098</v>
          </cell>
          <cell r="I916">
            <v>121</v>
          </cell>
          <cell r="J916">
            <v>7.2028274953787395E-5</v>
          </cell>
          <cell r="K916">
            <v>2416</v>
          </cell>
          <cell r="L916">
            <v>103.403920097422</v>
          </cell>
          <cell r="M916">
            <v>1935</v>
          </cell>
          <cell r="N916">
            <v>8.8618642882179102E-3</v>
          </cell>
          <cell r="O916">
            <v>2009</v>
          </cell>
          <cell r="P916">
            <v>0.28000000000000003</v>
          </cell>
          <cell r="Q916">
            <v>1033</v>
          </cell>
        </row>
        <row r="917">
          <cell r="B917" t="str">
            <v>DRUM 1101CB</v>
          </cell>
          <cell r="C917">
            <v>152321101</v>
          </cell>
          <cell r="D917" t="str">
            <v>DRUM 1101</v>
          </cell>
          <cell r="E917" t="str">
            <v>CB</v>
          </cell>
          <cell r="F917" t="b">
            <v>0</v>
          </cell>
          <cell r="G917">
            <v>3483.5782328855198</v>
          </cell>
          <cell r="H917">
            <v>3483.5782328855198</v>
          </cell>
          <cell r="I917">
            <v>16</v>
          </cell>
          <cell r="J917">
            <v>1.3085477257845899E-4</v>
          </cell>
          <cell r="K917">
            <v>995</v>
          </cell>
          <cell r="L917">
            <v>558.69344049223901</v>
          </cell>
          <cell r="M917">
            <v>1136</v>
          </cell>
          <cell r="N917">
            <v>7.4456093652077407E-2</v>
          </cell>
          <cell r="O917">
            <v>942</v>
          </cell>
          <cell r="P917">
            <v>21.08</v>
          </cell>
          <cell r="Q917">
            <v>302</v>
          </cell>
        </row>
        <row r="918">
          <cell r="B918" t="str">
            <v>DUNBAR 110113481</v>
          </cell>
          <cell r="C918">
            <v>43071101</v>
          </cell>
          <cell r="D918" t="str">
            <v>DUNBAR 1101</v>
          </cell>
          <cell r="E918">
            <v>13481</v>
          </cell>
          <cell r="F918" t="b">
            <v>1</v>
          </cell>
          <cell r="G918">
            <v>1739.6965098349699</v>
          </cell>
          <cell r="H918">
            <v>0</v>
          </cell>
          <cell r="I918">
            <v>14</v>
          </cell>
          <cell r="J918">
            <v>1.1420486927298499E-4</v>
          </cell>
          <cell r="K918">
            <v>1314</v>
          </cell>
          <cell r="L918">
            <v>13.6320767124577</v>
          </cell>
          <cell r="M918">
            <v>2559</v>
          </cell>
          <cell r="N918">
            <v>1.62892457009569E-3</v>
          </cell>
          <cell r="O918">
            <v>2534</v>
          </cell>
          <cell r="P918">
            <v>0.03</v>
          </cell>
          <cell r="Q918">
            <v>2380</v>
          </cell>
        </row>
        <row r="919">
          <cell r="B919" t="str">
            <v>DUNBAR 1101160</v>
          </cell>
          <cell r="C919">
            <v>43071101</v>
          </cell>
          <cell r="D919" t="str">
            <v>DUNBAR 1101</v>
          </cell>
          <cell r="E919">
            <v>160</v>
          </cell>
          <cell r="F919" t="b">
            <v>0</v>
          </cell>
          <cell r="G919">
            <v>10761.016266221</v>
          </cell>
          <cell r="H919">
            <v>4469.2889047784502</v>
          </cell>
          <cell r="I919">
            <v>77</v>
          </cell>
          <cell r="J919">
            <v>9.2493427579832404E-5</v>
          </cell>
          <cell r="K919">
            <v>1831</v>
          </cell>
          <cell r="L919">
            <v>17.980117781065601</v>
          </cell>
          <cell r="M919">
            <v>2481</v>
          </cell>
          <cell r="N919">
            <v>2.49520248977237E-3</v>
          </cell>
          <cell r="O919">
            <v>2414</v>
          </cell>
          <cell r="P919">
            <v>0.04</v>
          </cell>
          <cell r="Q919">
            <v>2105</v>
          </cell>
        </row>
        <row r="920">
          <cell r="B920" t="str">
            <v>DUNBAR 1101234</v>
          </cell>
          <cell r="C920">
            <v>43071101</v>
          </cell>
          <cell r="D920" t="str">
            <v>DUNBAR 1101</v>
          </cell>
          <cell r="E920">
            <v>234</v>
          </cell>
          <cell r="F920" t="b">
            <v>0</v>
          </cell>
          <cell r="G920">
            <v>10290.6170527141</v>
          </cell>
          <cell r="H920">
            <v>5584.5076576798001</v>
          </cell>
          <cell r="I920">
            <v>81</v>
          </cell>
          <cell r="J920">
            <v>1.5309521431508601E-4</v>
          </cell>
          <cell r="K920">
            <v>719</v>
          </cell>
          <cell r="L920">
            <v>12.3013602366293</v>
          </cell>
          <cell r="M920">
            <v>2581</v>
          </cell>
          <cell r="N920">
            <v>1.5051011191511701E-3</v>
          </cell>
          <cell r="O920">
            <v>2556</v>
          </cell>
          <cell r="P920">
            <v>0.04</v>
          </cell>
          <cell r="Q920">
            <v>2094</v>
          </cell>
        </row>
        <row r="921">
          <cell r="B921" t="str">
            <v>DUNBAR 1101302</v>
          </cell>
          <cell r="C921">
            <v>43071101</v>
          </cell>
          <cell r="D921" t="str">
            <v>DUNBAR 1101</v>
          </cell>
          <cell r="E921">
            <v>302</v>
          </cell>
          <cell r="F921" t="b">
            <v>0</v>
          </cell>
          <cell r="G921">
            <v>16561.552714490099</v>
          </cell>
          <cell r="H921">
            <v>14104.3324248316</v>
          </cell>
          <cell r="I921">
            <v>123</v>
          </cell>
          <cell r="J921">
            <v>1.13411339590698E-4</v>
          </cell>
          <cell r="K921">
            <v>1335</v>
          </cell>
          <cell r="L921">
            <v>134.86669848950399</v>
          </cell>
          <cell r="M921">
            <v>1832</v>
          </cell>
          <cell r="N921">
            <v>1.3838829471882599E-2</v>
          </cell>
          <cell r="O921">
            <v>1826</v>
          </cell>
          <cell r="P921">
            <v>14.9</v>
          </cell>
          <cell r="Q921">
            <v>352</v>
          </cell>
        </row>
        <row r="922">
          <cell r="B922" t="str">
            <v>DUNBAR 1101343</v>
          </cell>
          <cell r="C922">
            <v>43071101</v>
          </cell>
          <cell r="D922" t="str">
            <v>DUNBAR 1101</v>
          </cell>
          <cell r="E922">
            <v>343</v>
          </cell>
          <cell r="F922" t="b">
            <v>0</v>
          </cell>
          <cell r="G922">
            <v>7140.9405503227899</v>
          </cell>
          <cell r="H922">
            <v>7140.9405503227899</v>
          </cell>
          <cell r="I922">
            <v>39</v>
          </cell>
          <cell r="J922">
            <v>1.2410063745368099E-4</v>
          </cell>
          <cell r="K922">
            <v>1116</v>
          </cell>
          <cell r="L922">
            <v>75.094323451648094</v>
          </cell>
          <cell r="M922">
            <v>2067</v>
          </cell>
          <cell r="N922">
            <v>7.5606092644183703E-3</v>
          </cell>
          <cell r="O922">
            <v>2069</v>
          </cell>
          <cell r="P922">
            <v>38.93</v>
          </cell>
          <cell r="Q922">
            <v>192</v>
          </cell>
        </row>
        <row r="923">
          <cell r="B923" t="str">
            <v>DUNBAR 1101416</v>
          </cell>
          <cell r="C923">
            <v>43071101</v>
          </cell>
          <cell r="D923" t="str">
            <v>DUNBAR 1101</v>
          </cell>
          <cell r="E923">
            <v>416</v>
          </cell>
          <cell r="F923" t="b">
            <v>0</v>
          </cell>
          <cell r="G923">
            <v>5187.8358192543601</v>
          </cell>
          <cell r="H923">
            <v>4249.9860304807298</v>
          </cell>
          <cell r="I923">
            <v>28</v>
          </cell>
          <cell r="J923">
            <v>1.2383611195858701E-4</v>
          </cell>
          <cell r="K923">
            <v>1122</v>
          </cell>
          <cell r="L923">
            <v>177.64306314216799</v>
          </cell>
          <cell r="M923">
            <v>1689</v>
          </cell>
          <cell r="N923">
            <v>1.9316082163345599E-2</v>
          </cell>
          <cell r="O923">
            <v>1684</v>
          </cell>
          <cell r="P923">
            <v>0.35</v>
          </cell>
          <cell r="Q923">
            <v>975</v>
          </cell>
        </row>
        <row r="924">
          <cell r="B924" t="str">
            <v>DUNBAR 110147964</v>
          </cell>
          <cell r="C924">
            <v>43071101</v>
          </cell>
          <cell r="D924" t="str">
            <v>DUNBAR 1101</v>
          </cell>
          <cell r="E924">
            <v>47964</v>
          </cell>
          <cell r="F924" t="b">
            <v>0</v>
          </cell>
          <cell r="G924">
            <v>12397.035414828</v>
          </cell>
          <cell r="H924">
            <v>10475.640804599099</v>
          </cell>
          <cell r="I924">
            <v>68</v>
          </cell>
          <cell r="J924">
            <v>1.10354525184126E-4</v>
          </cell>
          <cell r="K924">
            <v>1405</v>
          </cell>
          <cell r="L924">
            <v>129.57484416363599</v>
          </cell>
          <cell r="M924">
            <v>1845</v>
          </cell>
          <cell r="N924">
            <v>1.4662384345523499E-2</v>
          </cell>
          <cell r="O924">
            <v>1794</v>
          </cell>
          <cell r="P924">
            <v>0.39</v>
          </cell>
          <cell r="Q924">
            <v>958</v>
          </cell>
        </row>
        <row r="925">
          <cell r="B925" t="str">
            <v>DUNBAR 11014817</v>
          </cell>
          <cell r="C925">
            <v>43071101</v>
          </cell>
          <cell r="D925" t="str">
            <v>DUNBAR 1101</v>
          </cell>
          <cell r="E925">
            <v>4817</v>
          </cell>
          <cell r="F925" t="b">
            <v>0</v>
          </cell>
          <cell r="G925">
            <v>5079.2963702379502</v>
          </cell>
          <cell r="H925">
            <v>5079.2963702379502</v>
          </cell>
          <cell r="I925">
            <v>42</v>
          </cell>
          <cell r="J925">
            <v>1.12153050005352E-4</v>
          </cell>
          <cell r="K925">
            <v>1364</v>
          </cell>
          <cell r="L925">
            <v>172.25604644819299</v>
          </cell>
          <cell r="M925">
            <v>1709</v>
          </cell>
          <cell r="N925">
            <v>1.96664425433744E-2</v>
          </cell>
          <cell r="O925">
            <v>1677</v>
          </cell>
          <cell r="P925">
            <v>8.1300000000000008</v>
          </cell>
          <cell r="Q925">
            <v>436</v>
          </cell>
        </row>
        <row r="926">
          <cell r="B926" t="str">
            <v>DUNBAR 110179086</v>
          </cell>
          <cell r="C926">
            <v>43071101</v>
          </cell>
          <cell r="D926" t="str">
            <v>DUNBAR 1101</v>
          </cell>
          <cell r="E926">
            <v>79086</v>
          </cell>
          <cell r="F926" t="b">
            <v>0</v>
          </cell>
          <cell r="G926">
            <v>11075.7433894405</v>
          </cell>
          <cell r="H926">
            <v>10954.5940437145</v>
          </cell>
          <cell r="I926">
            <v>82</v>
          </cell>
          <cell r="J926">
            <v>1.1014613008272799E-4</v>
          </cell>
          <cell r="K926">
            <v>1408</v>
          </cell>
          <cell r="L926">
            <v>169.84239579022301</v>
          </cell>
          <cell r="M926">
            <v>1717</v>
          </cell>
          <cell r="N926">
            <v>1.8179474097996699E-2</v>
          </cell>
          <cell r="O926">
            <v>1701</v>
          </cell>
          <cell r="P926">
            <v>0.08</v>
          </cell>
          <cell r="Q926">
            <v>1638</v>
          </cell>
        </row>
        <row r="927">
          <cell r="B927" t="str">
            <v>DUNBAR 1101CB</v>
          </cell>
          <cell r="C927">
            <v>43071101</v>
          </cell>
          <cell r="D927" t="str">
            <v>DUNBAR 1101</v>
          </cell>
          <cell r="E927" t="str">
            <v>CB</v>
          </cell>
          <cell r="F927" t="b">
            <v>0</v>
          </cell>
          <cell r="G927">
            <v>23959.128319862499</v>
          </cell>
          <cell r="H927">
            <v>5020.5865482641402</v>
          </cell>
          <cell r="I927">
            <v>191</v>
          </cell>
          <cell r="J927">
            <v>1.208615131106E-4</v>
          </cell>
          <cell r="K927">
            <v>1166</v>
          </cell>
          <cell r="L927">
            <v>54.298190846742401</v>
          </cell>
          <cell r="M927">
            <v>2185</v>
          </cell>
          <cell r="N927">
            <v>7.9930108646246497E-3</v>
          </cell>
          <cell r="O927">
            <v>2048</v>
          </cell>
          <cell r="P927">
            <v>0.11</v>
          </cell>
          <cell r="Q927">
            <v>1429</v>
          </cell>
        </row>
        <row r="928">
          <cell r="B928" t="str">
            <v>DUNBAR 1102246</v>
          </cell>
          <cell r="C928">
            <v>43071102</v>
          </cell>
          <cell r="D928" t="str">
            <v>DUNBAR 1102</v>
          </cell>
          <cell r="E928">
            <v>246</v>
          </cell>
          <cell r="F928" t="b">
            <v>0</v>
          </cell>
          <cell r="G928">
            <v>21497.755721721602</v>
          </cell>
          <cell r="H928">
            <v>21497.755721721602</v>
          </cell>
          <cell r="I928">
            <v>148</v>
          </cell>
          <cell r="J928">
            <v>1.12156906683606E-4</v>
          </cell>
          <cell r="K928">
            <v>1363</v>
          </cell>
          <cell r="L928">
            <v>98.105526491082301</v>
          </cell>
          <cell r="M928">
            <v>1967</v>
          </cell>
          <cell r="N928">
            <v>1.0560896443585001E-2</v>
          </cell>
          <cell r="O928">
            <v>1937</v>
          </cell>
          <cell r="P928">
            <v>6.5</v>
          </cell>
          <cell r="Q928">
            <v>466</v>
          </cell>
        </row>
        <row r="929">
          <cell r="B929" t="str">
            <v>DUNBAR 1102261774</v>
          </cell>
          <cell r="C929">
            <v>43071102</v>
          </cell>
          <cell r="D929" t="str">
            <v>DUNBAR 1102</v>
          </cell>
          <cell r="E929">
            <v>261774</v>
          </cell>
          <cell r="F929" t="b">
            <v>0</v>
          </cell>
          <cell r="G929">
            <v>21761.071777631001</v>
          </cell>
          <cell r="H929">
            <v>21761.071777631001</v>
          </cell>
          <cell r="I929">
            <v>142</v>
          </cell>
          <cell r="J929">
            <v>9.99160374510424E-5</v>
          </cell>
          <cell r="K929">
            <v>1650</v>
          </cell>
          <cell r="L929">
            <v>183.82392933010101</v>
          </cell>
          <cell r="M929">
            <v>1678</v>
          </cell>
          <cell r="N929">
            <v>1.7830058052861801E-2</v>
          </cell>
          <cell r="O929">
            <v>1712</v>
          </cell>
          <cell r="Q929">
            <v>2952</v>
          </cell>
        </row>
        <row r="930">
          <cell r="B930" t="str">
            <v>DUNBAR 1102448</v>
          </cell>
          <cell r="C930">
            <v>43071102</v>
          </cell>
          <cell r="D930" t="str">
            <v>DUNBAR 1102</v>
          </cell>
          <cell r="E930">
            <v>448</v>
          </cell>
          <cell r="F930" t="b">
            <v>0</v>
          </cell>
          <cell r="G930">
            <v>14554.2556309189</v>
          </cell>
          <cell r="H930">
            <v>3932.5973257897899</v>
          </cell>
          <cell r="I930">
            <v>116</v>
          </cell>
          <cell r="J930">
            <v>9.7296152442391594E-5</v>
          </cell>
          <cell r="K930">
            <v>1707</v>
          </cell>
          <cell r="L930">
            <v>15.8507893538009</v>
          </cell>
          <cell r="M930">
            <v>2519</v>
          </cell>
          <cell r="N930">
            <v>1.25604472035295E-3</v>
          </cell>
          <cell r="O930">
            <v>2592</v>
          </cell>
          <cell r="Q930">
            <v>2652</v>
          </cell>
        </row>
        <row r="931">
          <cell r="B931" t="str">
            <v>DUNBAR 1102528</v>
          </cell>
          <cell r="C931">
            <v>43071102</v>
          </cell>
          <cell r="D931" t="str">
            <v>DUNBAR 1102</v>
          </cell>
          <cell r="E931">
            <v>528</v>
          </cell>
          <cell r="F931" t="b">
            <v>0</v>
          </cell>
          <cell r="G931">
            <v>6520.0630958874499</v>
          </cell>
          <cell r="H931">
            <v>5521.1420052662597</v>
          </cell>
          <cell r="I931">
            <v>50</v>
          </cell>
          <cell r="J931">
            <v>8.1341666809748794E-5</v>
          </cell>
          <cell r="K931">
            <v>2172</v>
          </cell>
          <cell r="L931">
            <v>173.338972257884</v>
          </cell>
          <cell r="M931">
            <v>1701</v>
          </cell>
          <cell r="N931">
            <v>1.39867373270199E-2</v>
          </cell>
          <cell r="O931">
            <v>1823</v>
          </cell>
          <cell r="P931">
            <v>0.08</v>
          </cell>
          <cell r="Q931">
            <v>1607</v>
          </cell>
        </row>
        <row r="932">
          <cell r="B932" t="str">
            <v>DUNBAR 1102694641</v>
          </cell>
          <cell r="C932">
            <v>43071102</v>
          </cell>
          <cell r="D932" t="str">
            <v>DUNBAR 1102</v>
          </cell>
          <cell r="E932">
            <v>694641</v>
          </cell>
          <cell r="F932" t="b">
            <v>0</v>
          </cell>
          <cell r="G932">
            <v>6527.85195780905</v>
          </cell>
          <cell r="H932">
            <v>6527.85195780905</v>
          </cell>
          <cell r="I932">
            <v>49</v>
          </cell>
          <cell r="J932">
            <v>7.3208829959110804E-5</v>
          </cell>
          <cell r="K932">
            <v>2390</v>
          </cell>
          <cell r="L932">
            <v>257.84163501175601</v>
          </cell>
          <cell r="M932">
            <v>1526</v>
          </cell>
          <cell r="N932">
            <v>2.0552883499762999E-2</v>
          </cell>
          <cell r="O932">
            <v>1660</v>
          </cell>
          <cell r="Q932">
            <v>3355</v>
          </cell>
        </row>
        <row r="933">
          <cell r="B933" t="str">
            <v>DUNBAR 1102861496</v>
          </cell>
          <cell r="C933">
            <v>43071102</v>
          </cell>
          <cell r="D933" t="str">
            <v>DUNBAR 1102</v>
          </cell>
          <cell r="E933">
            <v>861496</v>
          </cell>
          <cell r="F933" t="b">
            <v>0</v>
          </cell>
          <cell r="G933">
            <v>7188.8160238876799</v>
          </cell>
          <cell r="H933">
            <v>7188.8160238876799</v>
          </cell>
          <cell r="I933">
            <v>51</v>
          </cell>
          <cell r="J933">
            <v>8.7716892463218993E-5</v>
          </cell>
          <cell r="K933">
            <v>1993</v>
          </cell>
          <cell r="L933">
            <v>163.80051928047499</v>
          </cell>
          <cell r="M933">
            <v>1737</v>
          </cell>
          <cell r="N933">
            <v>1.3491267532562299E-2</v>
          </cell>
          <cell r="O933">
            <v>1833</v>
          </cell>
          <cell r="Q933">
            <v>3201</v>
          </cell>
        </row>
        <row r="934">
          <cell r="B934" t="str">
            <v>DUNBAR 1102903030</v>
          </cell>
          <cell r="C934">
            <v>43071102</v>
          </cell>
          <cell r="D934" t="str">
            <v>DUNBAR 1102</v>
          </cell>
          <cell r="E934">
            <v>903030</v>
          </cell>
          <cell r="F934" t="b">
            <v>0</v>
          </cell>
          <cell r="G934">
            <v>2341.44078981748</v>
          </cell>
          <cell r="H934">
            <v>2341.44078981748</v>
          </cell>
          <cell r="I934">
            <v>17</v>
          </cell>
          <cell r="J934">
            <v>1.14681329946239E-4</v>
          </cell>
          <cell r="K934">
            <v>1304</v>
          </cell>
          <cell r="L934">
            <v>137.295583829207</v>
          </cell>
          <cell r="M934">
            <v>1823</v>
          </cell>
          <cell r="N934">
            <v>1.4278453205964801E-2</v>
          </cell>
          <cell r="O934">
            <v>1811</v>
          </cell>
          <cell r="Q934">
            <v>2699</v>
          </cell>
        </row>
        <row r="935">
          <cell r="B935" t="str">
            <v>DUNBAR 1102CB</v>
          </cell>
          <cell r="C935">
            <v>43071102</v>
          </cell>
          <cell r="D935" t="str">
            <v>DUNBAR 1102</v>
          </cell>
          <cell r="E935" t="str">
            <v>CB</v>
          </cell>
          <cell r="F935" t="b">
            <v>0</v>
          </cell>
          <cell r="G935">
            <v>13834.3750149101</v>
          </cell>
          <cell r="H935">
            <v>12733.9139798099</v>
          </cell>
          <cell r="I935">
            <v>113</v>
          </cell>
          <cell r="J935">
            <v>1.30934635227735E-4</v>
          </cell>
          <cell r="K935">
            <v>994</v>
          </cell>
          <cell r="L935">
            <v>85.213458940507394</v>
          </cell>
          <cell r="M935">
            <v>2029</v>
          </cell>
          <cell r="N935">
            <v>9.8815578835369199E-3</v>
          </cell>
          <cell r="O935">
            <v>1963</v>
          </cell>
          <cell r="P935">
            <v>0.08</v>
          </cell>
          <cell r="Q935">
            <v>1671</v>
          </cell>
        </row>
        <row r="936">
          <cell r="B936" t="str">
            <v>DUNBAR 11033127</v>
          </cell>
          <cell r="C936">
            <v>43071103</v>
          </cell>
          <cell r="D936" t="str">
            <v>DUNBAR 1103</v>
          </cell>
          <cell r="E936">
            <v>3127</v>
          </cell>
          <cell r="F936" t="b">
            <v>0</v>
          </cell>
          <cell r="G936">
            <v>15418.413130479799</v>
          </cell>
          <cell r="H936">
            <v>15054.580650973799</v>
          </cell>
          <cell r="I936">
            <v>78</v>
          </cell>
          <cell r="J936">
            <v>1.06910095985165E-4</v>
          </cell>
          <cell r="K936">
            <v>1479</v>
          </cell>
          <cell r="L936">
            <v>266.082961502226</v>
          </cell>
          <cell r="M936">
            <v>1507</v>
          </cell>
          <cell r="N936">
            <v>3.0422039222452402E-2</v>
          </cell>
          <cell r="O936">
            <v>1454</v>
          </cell>
          <cell r="P936">
            <v>0.62</v>
          </cell>
          <cell r="Q936">
            <v>840</v>
          </cell>
        </row>
        <row r="937">
          <cell r="B937" t="str">
            <v>DUNBAR 1103440</v>
          </cell>
          <cell r="C937">
            <v>43071103</v>
          </cell>
          <cell r="D937" t="str">
            <v>DUNBAR 1103</v>
          </cell>
          <cell r="E937">
            <v>440</v>
          </cell>
          <cell r="F937" t="b">
            <v>0</v>
          </cell>
          <cell r="G937">
            <v>19525.153007102399</v>
          </cell>
          <cell r="H937">
            <v>3309.7657780569398</v>
          </cell>
          <cell r="I937">
            <v>158</v>
          </cell>
          <cell r="J937">
            <v>8.4963432533485597E-5</v>
          </cell>
          <cell r="K937">
            <v>2062</v>
          </cell>
          <cell r="L937">
            <v>3.5276357268682901</v>
          </cell>
          <cell r="M937">
            <v>2792</v>
          </cell>
          <cell r="N937">
            <v>4.4177446539331501E-4</v>
          </cell>
          <cell r="O937">
            <v>2753</v>
          </cell>
          <cell r="P937">
            <v>0.17</v>
          </cell>
          <cell r="Q937">
            <v>1237</v>
          </cell>
        </row>
        <row r="938">
          <cell r="B938" t="str">
            <v>DUNBAR 1103534</v>
          </cell>
          <cell r="C938">
            <v>43071103</v>
          </cell>
          <cell r="D938" t="str">
            <v>DUNBAR 1103</v>
          </cell>
          <cell r="E938">
            <v>534</v>
          </cell>
          <cell r="F938" t="b">
            <v>0</v>
          </cell>
          <cell r="G938">
            <v>27841.2407343224</v>
          </cell>
          <cell r="H938">
            <v>25519.088923833198</v>
          </cell>
          <cell r="I938">
            <v>162</v>
          </cell>
          <cell r="J938">
            <v>9.6935809038027496E-5</v>
          </cell>
          <cell r="K938">
            <v>1715</v>
          </cell>
          <cell r="L938">
            <v>161.068562698672</v>
          </cell>
          <cell r="M938">
            <v>1743</v>
          </cell>
          <cell r="N938">
            <v>1.3689975454780399E-2</v>
          </cell>
          <cell r="O938">
            <v>1827</v>
          </cell>
          <cell r="P938">
            <v>36.61</v>
          </cell>
          <cell r="Q938">
            <v>206</v>
          </cell>
        </row>
        <row r="939">
          <cell r="B939" t="str">
            <v>DUNBAR 1103725292</v>
          </cell>
          <cell r="C939">
            <v>43071103</v>
          </cell>
          <cell r="D939" t="str">
            <v>DUNBAR 1103</v>
          </cell>
          <cell r="E939">
            <v>725292</v>
          </cell>
          <cell r="F939" t="b">
            <v>1</v>
          </cell>
          <cell r="G939">
            <v>1519.9144875822301</v>
          </cell>
          <cell r="H939">
            <v>339.58618422851703</v>
          </cell>
          <cell r="I939">
            <v>13</v>
          </cell>
          <cell r="J939">
            <v>8.6305321299452994E-5</v>
          </cell>
          <cell r="K939">
            <v>2027</v>
          </cell>
          <cell r="L939">
            <v>6.5451057324819498E-2</v>
          </cell>
          <cell r="M939">
            <v>3395</v>
          </cell>
          <cell r="N939">
            <v>5.6580242786108802E-6</v>
          </cell>
          <cell r="O939">
            <v>3231</v>
          </cell>
          <cell r="Q939">
            <v>2665</v>
          </cell>
        </row>
        <row r="940">
          <cell r="B940" t="str">
            <v>DUNBAR 1103835658</v>
          </cell>
          <cell r="C940">
            <v>43071103</v>
          </cell>
          <cell r="D940" t="str">
            <v>DUNBAR 1103</v>
          </cell>
          <cell r="E940">
            <v>835658</v>
          </cell>
          <cell r="F940" t="b">
            <v>1</v>
          </cell>
          <cell r="G940">
            <v>1187.2488531806</v>
          </cell>
          <cell r="H940">
            <v>50.039141804124803</v>
          </cell>
          <cell r="I940">
            <v>11</v>
          </cell>
          <cell r="J940">
            <v>7.6552982467216097E-5</v>
          </cell>
          <cell r="K940">
            <v>2292</v>
          </cell>
          <cell r="L940">
            <v>17.363250614563899</v>
          </cell>
          <cell r="M940">
            <v>2494</v>
          </cell>
          <cell r="N940">
            <v>1.89865065793829E-3</v>
          </cell>
          <cell r="O940">
            <v>2490</v>
          </cell>
          <cell r="Q940">
            <v>3337</v>
          </cell>
        </row>
        <row r="941">
          <cell r="B941" t="str">
            <v>DUNBAR 1103872066</v>
          </cell>
          <cell r="C941">
            <v>43071103</v>
          </cell>
          <cell r="D941" t="str">
            <v>DUNBAR 1103</v>
          </cell>
          <cell r="E941">
            <v>872066</v>
          </cell>
          <cell r="F941" t="b">
            <v>1</v>
          </cell>
          <cell r="G941">
            <v>1285.53738748708</v>
          </cell>
          <cell r="H941">
            <v>856.88814991569302</v>
          </cell>
          <cell r="I941">
            <v>13</v>
          </cell>
          <cell r="J941">
            <v>8.9930918945286105E-5</v>
          </cell>
          <cell r="K941">
            <v>1916</v>
          </cell>
          <cell r="L941">
            <v>14.702691169409899</v>
          </cell>
          <cell r="M941">
            <v>2535</v>
          </cell>
          <cell r="N941">
            <v>1.1905938594895401E-3</v>
          </cell>
          <cell r="O941">
            <v>2598</v>
          </cell>
          <cell r="Q941">
            <v>3074</v>
          </cell>
        </row>
        <row r="942">
          <cell r="B942" t="str">
            <v>DUNBAR 1103CB</v>
          </cell>
          <cell r="C942">
            <v>43071103</v>
          </cell>
          <cell r="D942" t="str">
            <v>DUNBAR 1103</v>
          </cell>
          <cell r="E942" t="str">
            <v>CB</v>
          </cell>
          <cell r="F942" t="b">
            <v>0</v>
          </cell>
          <cell r="G942">
            <v>19272.758521235799</v>
          </cell>
          <cell r="H942">
            <v>4335.2228074984896</v>
          </cell>
          <cell r="I942">
            <v>149</v>
          </cell>
          <cell r="J942">
            <v>1.15569381485683E-4</v>
          </cell>
          <cell r="K942">
            <v>1285</v>
          </cell>
          <cell r="L942">
            <v>29.742597769707299</v>
          </cell>
          <cell r="M942">
            <v>2348</v>
          </cell>
          <cell r="N942">
            <v>3.60857527118719E-3</v>
          </cell>
          <cell r="O942">
            <v>2287</v>
          </cell>
          <cell r="P942">
            <v>1.01</v>
          </cell>
          <cell r="Q942">
            <v>729</v>
          </cell>
        </row>
        <row r="943">
          <cell r="B943" t="str">
            <v>DUNLAP 110239190</v>
          </cell>
          <cell r="C943">
            <v>254061102</v>
          </cell>
          <cell r="D943" t="str">
            <v>DUNLAP 1102</v>
          </cell>
          <cell r="E943">
            <v>39190</v>
          </cell>
          <cell r="F943" t="b">
            <v>0</v>
          </cell>
          <cell r="G943">
            <v>2877.2566003019101</v>
          </cell>
          <cell r="H943">
            <v>2877.2566003019101</v>
          </cell>
          <cell r="I943">
            <v>17</v>
          </cell>
          <cell r="J943">
            <v>6.3387743948089095E-5</v>
          </cell>
          <cell r="K943">
            <v>2665</v>
          </cell>
          <cell r="L943">
            <v>760.939796447753</v>
          </cell>
          <cell r="M943">
            <v>964</v>
          </cell>
          <cell r="N943">
            <v>4.6743152910628999E-2</v>
          </cell>
          <cell r="O943">
            <v>1216</v>
          </cell>
          <cell r="P943">
            <v>0</v>
          </cell>
          <cell r="Q943">
            <v>2644</v>
          </cell>
        </row>
        <row r="944">
          <cell r="B944" t="str">
            <v>DUNLAP 11027050</v>
          </cell>
          <cell r="C944">
            <v>254061102</v>
          </cell>
          <cell r="D944" t="str">
            <v>DUNLAP 1102</v>
          </cell>
          <cell r="E944">
            <v>7050</v>
          </cell>
          <cell r="F944" t="b">
            <v>0</v>
          </cell>
          <cell r="G944">
            <v>15143.7830093803</v>
          </cell>
          <cell r="H944">
            <v>15143.7830093803</v>
          </cell>
          <cell r="I944">
            <v>67</v>
          </cell>
          <cell r="J944">
            <v>3.0196674064183099E-5</v>
          </cell>
          <cell r="K944">
            <v>3425</v>
          </cell>
          <cell r="L944">
            <v>13.547515319583299</v>
          </cell>
          <cell r="M944">
            <v>2562</v>
          </cell>
          <cell r="N944">
            <v>3.7020453262305499E-4</v>
          </cell>
          <cell r="O944">
            <v>2774</v>
          </cell>
          <cell r="P944">
            <v>0</v>
          </cell>
          <cell r="Q944">
            <v>2642</v>
          </cell>
        </row>
        <row r="945">
          <cell r="B945" t="str">
            <v>DUNLAP 11027060</v>
          </cell>
          <cell r="C945">
            <v>254061102</v>
          </cell>
          <cell r="D945" t="str">
            <v>DUNLAP 1102</v>
          </cell>
          <cell r="E945">
            <v>7060</v>
          </cell>
          <cell r="F945" t="b">
            <v>0</v>
          </cell>
          <cell r="G945">
            <v>28760.1957260975</v>
          </cell>
          <cell r="H945">
            <v>28760.1957260975</v>
          </cell>
          <cell r="I945">
            <v>162</v>
          </cell>
          <cell r="J945">
            <v>4.16190122908215E-5</v>
          </cell>
          <cell r="K945">
            <v>3231</v>
          </cell>
          <cell r="L945">
            <v>4251.9919777326704</v>
          </cell>
          <cell r="M945">
            <v>132</v>
          </cell>
          <cell r="N945">
            <v>0.18019405210276301</v>
          </cell>
          <cell r="O945">
            <v>401</v>
          </cell>
          <cell r="P945">
            <v>0.05</v>
          </cell>
          <cell r="Q945">
            <v>2062</v>
          </cell>
        </row>
        <row r="946">
          <cell r="B946" t="str">
            <v>DUNLAP 11027290</v>
          </cell>
          <cell r="C946">
            <v>254061102</v>
          </cell>
          <cell r="D946" t="str">
            <v>DUNLAP 1102</v>
          </cell>
          <cell r="E946">
            <v>7290</v>
          </cell>
          <cell r="F946" t="b">
            <v>0</v>
          </cell>
          <cell r="G946">
            <v>1075.40712257581</v>
          </cell>
          <cell r="H946">
            <v>1075.40712257581</v>
          </cell>
          <cell r="I946">
            <v>8</v>
          </cell>
          <cell r="J946">
            <v>2.82694861652998E-5</v>
          </cell>
          <cell r="K946">
            <v>3452</v>
          </cell>
          <cell r="L946">
            <v>23.830807872309698</v>
          </cell>
          <cell r="M946">
            <v>2405</v>
          </cell>
          <cell r="N946">
            <v>1.01264008579491E-3</v>
          </cell>
          <cell r="O946">
            <v>2625</v>
          </cell>
          <cell r="P946">
            <v>0</v>
          </cell>
          <cell r="Q946">
            <v>2635</v>
          </cell>
        </row>
        <row r="947">
          <cell r="B947" t="str">
            <v>DUNLAP 11027360</v>
          </cell>
          <cell r="C947">
            <v>254061102</v>
          </cell>
          <cell r="D947" t="str">
            <v>DUNLAP 1102</v>
          </cell>
          <cell r="E947">
            <v>7360</v>
          </cell>
          <cell r="F947" t="b">
            <v>0</v>
          </cell>
          <cell r="G947">
            <v>14342.2552071476</v>
          </cell>
          <cell r="H947">
            <v>14342.2552071476</v>
          </cell>
          <cell r="I947">
            <v>83</v>
          </cell>
          <cell r="J947">
            <v>5.7731383449430601E-5</v>
          </cell>
          <cell r="K947">
            <v>2844</v>
          </cell>
          <cell r="L947">
            <v>3097.63670577943</v>
          </cell>
          <cell r="M947">
            <v>256</v>
          </cell>
          <cell r="N947">
            <v>0.21271984598834801</v>
          </cell>
          <cell r="O947">
            <v>302</v>
          </cell>
          <cell r="P947">
            <v>0</v>
          </cell>
          <cell r="Q947">
            <v>2643</v>
          </cell>
        </row>
        <row r="948">
          <cell r="B948" t="str">
            <v>DUNLAP 1102778286</v>
          </cell>
          <cell r="C948">
            <v>254061102</v>
          </cell>
          <cell r="D948" t="str">
            <v>DUNLAP 1102</v>
          </cell>
          <cell r="E948">
            <v>778286</v>
          </cell>
          <cell r="F948" t="b">
            <v>0</v>
          </cell>
          <cell r="G948">
            <v>4188.0046630876795</v>
          </cell>
          <cell r="H948">
            <v>4188.0046630876795</v>
          </cell>
          <cell r="I948">
            <v>5</v>
          </cell>
          <cell r="J948">
            <v>3.64437793905381E-5</v>
          </cell>
          <cell r="K948">
            <v>3323</v>
          </cell>
          <cell r="L948">
            <v>19.077932619357998</v>
          </cell>
          <cell r="M948">
            <v>2461</v>
          </cell>
          <cell r="N948">
            <v>4.9090289303488702E-4</v>
          </cell>
          <cell r="O948">
            <v>2738</v>
          </cell>
          <cell r="P948">
            <v>0</v>
          </cell>
          <cell r="Q948">
            <v>2637</v>
          </cell>
        </row>
        <row r="949">
          <cell r="B949" t="str">
            <v>DUNLAP 11027849F</v>
          </cell>
          <cell r="C949">
            <v>254061102</v>
          </cell>
          <cell r="D949" t="str">
            <v>DUNLAP 1102</v>
          </cell>
          <cell r="E949" t="str">
            <v>7849F</v>
          </cell>
          <cell r="F949" t="b">
            <v>0</v>
          </cell>
          <cell r="G949">
            <v>13949.6343532266</v>
          </cell>
          <cell r="H949">
            <v>13949.6343532266</v>
          </cell>
          <cell r="I949">
            <v>61</v>
          </cell>
          <cell r="J949">
            <v>3.1632612784751901E-5</v>
          </cell>
          <cell r="K949">
            <v>3406</v>
          </cell>
          <cell r="L949">
            <v>5019.3611686864797</v>
          </cell>
          <cell r="M949">
            <v>73</v>
          </cell>
          <cell r="N949">
            <v>0.13395244124070799</v>
          </cell>
          <cell r="O949">
            <v>589</v>
          </cell>
          <cell r="P949">
            <v>0.04</v>
          </cell>
          <cell r="Q949">
            <v>2222</v>
          </cell>
        </row>
        <row r="950">
          <cell r="B950" t="str">
            <v>DUNLAP 1102CB</v>
          </cell>
          <cell r="C950">
            <v>254061102</v>
          </cell>
          <cell r="D950" t="str">
            <v>DUNLAP 1102</v>
          </cell>
          <cell r="E950" t="str">
            <v>CB</v>
          </cell>
          <cell r="F950" t="b">
            <v>0</v>
          </cell>
          <cell r="G950">
            <v>10840.095588059199</v>
          </cell>
          <cell r="H950">
            <v>10840.095588059199</v>
          </cell>
          <cell r="I950">
            <v>79</v>
          </cell>
          <cell r="J950">
            <v>5.5221046563812497E-5</v>
          </cell>
          <cell r="K950">
            <v>2906</v>
          </cell>
          <cell r="L950">
            <v>463.40301271023799</v>
          </cell>
          <cell r="M950">
            <v>1231</v>
          </cell>
          <cell r="N950">
            <v>2.51556715025546E-2</v>
          </cell>
          <cell r="O950">
            <v>1556</v>
          </cell>
          <cell r="P950">
            <v>0</v>
          </cell>
          <cell r="Q950">
            <v>2629</v>
          </cell>
        </row>
        <row r="951">
          <cell r="B951" t="str">
            <v>DUNLAP 11037040</v>
          </cell>
          <cell r="C951">
            <v>254061103</v>
          </cell>
          <cell r="D951" t="str">
            <v>DUNLAP 1103</v>
          </cell>
          <cell r="E951">
            <v>7040</v>
          </cell>
          <cell r="F951" t="b">
            <v>0</v>
          </cell>
          <cell r="G951">
            <v>39870.080974955803</v>
          </cell>
          <cell r="H951">
            <v>39870.080974955803</v>
          </cell>
          <cell r="I951">
            <v>230</v>
          </cell>
          <cell r="J951">
            <v>4.8475142769518903E-5</v>
          </cell>
          <cell r="K951">
            <v>3079</v>
          </cell>
          <cell r="L951">
            <v>4388.1035164227596</v>
          </cell>
          <cell r="M951">
            <v>116</v>
          </cell>
          <cell r="N951">
            <v>0.196052636669378</v>
          </cell>
          <cell r="O951">
            <v>341</v>
          </cell>
          <cell r="P951">
            <v>7.0000000000000007E-2</v>
          </cell>
          <cell r="Q951">
            <v>1719</v>
          </cell>
        </row>
        <row r="952">
          <cell r="B952" t="str">
            <v>DUNLAP 11037080</v>
          </cell>
          <cell r="C952">
            <v>254061103</v>
          </cell>
          <cell r="D952" t="str">
            <v>DUNLAP 1103</v>
          </cell>
          <cell r="E952">
            <v>7080</v>
          </cell>
          <cell r="F952" t="b">
            <v>0</v>
          </cell>
          <cell r="G952">
            <v>17026.243350708301</v>
          </cell>
          <cell r="H952">
            <v>17026.243350708301</v>
          </cell>
          <cell r="I952">
            <v>67</v>
          </cell>
          <cell r="J952">
            <v>5.6266497873972701E-5</v>
          </cell>
          <cell r="K952">
            <v>2881</v>
          </cell>
          <cell r="L952">
            <v>33.403138607373599</v>
          </cell>
          <cell r="M952">
            <v>2317</v>
          </cell>
          <cell r="N952">
            <v>3.1698122787706898E-3</v>
          </cell>
          <cell r="O952">
            <v>2330</v>
          </cell>
          <cell r="P952">
            <v>0</v>
          </cell>
          <cell r="Q952">
            <v>2646</v>
          </cell>
        </row>
        <row r="953">
          <cell r="B953" t="str">
            <v>DUNLAP 11037170</v>
          </cell>
          <cell r="C953">
            <v>254061103</v>
          </cell>
          <cell r="D953" t="str">
            <v>DUNLAP 1103</v>
          </cell>
          <cell r="E953">
            <v>7170</v>
          </cell>
          <cell r="F953" t="b">
            <v>0</v>
          </cell>
          <cell r="G953">
            <v>8726.7126865543105</v>
          </cell>
          <cell r="H953">
            <v>8726.7126865543105</v>
          </cell>
          <cell r="I953">
            <v>54</v>
          </cell>
          <cell r="J953">
            <v>2.8720087331474202E-5</v>
          </cell>
          <cell r="K953">
            <v>3442</v>
          </cell>
          <cell r="L953">
            <v>2.7065728938453999</v>
          </cell>
          <cell r="M953">
            <v>2821</v>
          </cell>
          <cell r="N953">
            <v>3.94933818118144E-5</v>
          </cell>
          <cell r="O953">
            <v>2916</v>
          </cell>
          <cell r="P953">
            <v>0</v>
          </cell>
          <cell r="Q953">
            <v>2648</v>
          </cell>
        </row>
        <row r="954">
          <cell r="B954" t="str">
            <v>DUNLAP 11037220</v>
          </cell>
          <cell r="C954">
            <v>254061103</v>
          </cell>
          <cell r="D954" t="str">
            <v>DUNLAP 1103</v>
          </cell>
          <cell r="E954">
            <v>7220</v>
          </cell>
          <cell r="F954" t="b">
            <v>0</v>
          </cell>
          <cell r="G954">
            <v>39952.248276443599</v>
          </cell>
          <cell r="H954">
            <v>39952.248276443599</v>
          </cell>
          <cell r="I954">
            <v>188</v>
          </cell>
          <cell r="J954">
            <v>4.2564506751912698E-5</v>
          </cell>
          <cell r="K954">
            <v>3217</v>
          </cell>
          <cell r="L954">
            <v>4516.9217047789498</v>
          </cell>
          <cell r="M954">
            <v>107</v>
          </cell>
          <cell r="N954">
            <v>0.19170978090250501</v>
          </cell>
          <cell r="O954">
            <v>364</v>
          </cell>
          <cell r="P954">
            <v>0.06</v>
          </cell>
          <cell r="Q954">
            <v>1901</v>
          </cell>
        </row>
        <row r="955">
          <cell r="B955" t="str">
            <v>DUNLAP 1103CB</v>
          </cell>
          <cell r="C955">
            <v>254061103</v>
          </cell>
          <cell r="D955" t="str">
            <v>DUNLAP 1103</v>
          </cell>
          <cell r="E955" t="str">
            <v>CB</v>
          </cell>
          <cell r="F955" t="b">
            <v>0</v>
          </cell>
          <cell r="G955">
            <v>9029.3519976534099</v>
          </cell>
          <cell r="H955">
            <v>9029.3519976534099</v>
          </cell>
          <cell r="I955">
            <v>38</v>
          </cell>
          <cell r="J955">
            <v>3.4573650122478498E-5</v>
          </cell>
          <cell r="K955">
            <v>3359</v>
          </cell>
          <cell r="L955">
            <v>1447.0841996624999</v>
          </cell>
          <cell r="M955">
            <v>615</v>
          </cell>
          <cell r="N955">
            <v>5.5112828026939502E-2</v>
          </cell>
          <cell r="O955">
            <v>1121</v>
          </cell>
          <cell r="P955">
            <v>0</v>
          </cell>
          <cell r="Q955">
            <v>2649</v>
          </cell>
        </row>
        <row r="956">
          <cell r="B956" t="str">
            <v>EAST QUINCY 1101186938</v>
          </cell>
          <cell r="C956">
            <v>102551101</v>
          </cell>
          <cell r="D956" t="str">
            <v>EAST QUINCY 1101</v>
          </cell>
          <cell r="E956">
            <v>186938</v>
          </cell>
          <cell r="F956" t="b">
            <v>0</v>
          </cell>
          <cell r="G956">
            <v>4893.2220023129303</v>
          </cell>
          <cell r="H956">
            <v>2672.10502792742</v>
          </cell>
          <cell r="I956">
            <v>41</v>
          </cell>
          <cell r="J956">
            <v>6.8848361168908503E-5</v>
          </cell>
          <cell r="K956">
            <v>2512</v>
          </cell>
          <cell r="L956">
            <v>6.5899547167398098E-2</v>
          </cell>
          <cell r="M956">
            <v>3245</v>
          </cell>
          <cell r="N956">
            <v>4.5458250335110898E-6</v>
          </cell>
          <cell r="O956">
            <v>3293</v>
          </cell>
          <cell r="Q956">
            <v>2792</v>
          </cell>
        </row>
        <row r="957">
          <cell r="B957" t="str">
            <v>EAST QUINCY 11012452</v>
          </cell>
          <cell r="C957">
            <v>102551101</v>
          </cell>
          <cell r="D957" t="str">
            <v>EAST QUINCY 1101</v>
          </cell>
          <cell r="E957">
            <v>2452</v>
          </cell>
          <cell r="F957" t="b">
            <v>1</v>
          </cell>
          <cell r="G957">
            <v>11049.8485259359</v>
          </cell>
          <cell r="H957">
            <v>228.517735365677</v>
          </cell>
          <cell r="I957">
            <v>87</v>
          </cell>
          <cell r="J957">
            <v>5.4567939664326202E-5</v>
          </cell>
          <cell r="K957">
            <v>2931</v>
          </cell>
          <cell r="L957">
            <v>79.156238967618194</v>
          </cell>
          <cell r="M957">
            <v>2053</v>
          </cell>
          <cell r="N957">
            <v>5.0247730993464197E-3</v>
          </cell>
          <cell r="O957">
            <v>2202</v>
          </cell>
          <cell r="P957">
            <v>13.72</v>
          </cell>
          <cell r="Q957">
            <v>363</v>
          </cell>
        </row>
        <row r="958">
          <cell r="B958" t="str">
            <v>EAST QUINCY 1101424048</v>
          </cell>
          <cell r="C958">
            <v>102551101</v>
          </cell>
          <cell r="D958" t="str">
            <v>EAST QUINCY 1101</v>
          </cell>
          <cell r="E958">
            <v>424048</v>
          </cell>
          <cell r="F958" t="b">
            <v>0</v>
          </cell>
          <cell r="G958">
            <v>1501.86110951867</v>
          </cell>
          <cell r="H958">
            <v>1068.5882034900401</v>
          </cell>
          <cell r="I958">
            <v>12</v>
          </cell>
          <cell r="J958">
            <v>6.0748663145204699E-5</v>
          </cell>
          <cell r="K958">
            <v>2756</v>
          </cell>
          <cell r="L958">
            <v>33.0472074157544</v>
          </cell>
          <cell r="M958">
            <v>2323</v>
          </cell>
          <cell r="N958">
            <v>2.51701263465067E-3</v>
          </cell>
          <cell r="O958">
            <v>2408</v>
          </cell>
          <cell r="Q958">
            <v>3298</v>
          </cell>
        </row>
        <row r="959">
          <cell r="B959" t="str">
            <v>EAST QUINCY 1101678650</v>
          </cell>
          <cell r="C959">
            <v>102551101</v>
          </cell>
          <cell r="D959" t="str">
            <v>EAST QUINCY 1101</v>
          </cell>
          <cell r="E959">
            <v>678650</v>
          </cell>
          <cell r="F959" t="b">
            <v>0</v>
          </cell>
          <cell r="G959">
            <v>2024.91523809004</v>
          </cell>
          <cell r="H959">
            <v>1808.9819335228401</v>
          </cell>
          <cell r="I959">
            <v>14</v>
          </cell>
          <cell r="J959">
            <v>9.5258700509605497E-5</v>
          </cell>
          <cell r="K959">
            <v>1757</v>
          </cell>
          <cell r="L959">
            <v>6.6065024695089805E-2</v>
          </cell>
          <cell r="M959">
            <v>3203</v>
          </cell>
          <cell r="N959">
            <v>6.2787800212541702E-6</v>
          </cell>
          <cell r="O959">
            <v>3197</v>
          </cell>
          <cell r="Q959">
            <v>3091</v>
          </cell>
        </row>
        <row r="960">
          <cell r="B960" t="str">
            <v>EAST QUINCY 1101782320</v>
          </cell>
          <cell r="C960">
            <v>102551101</v>
          </cell>
          <cell r="D960" t="str">
            <v>EAST QUINCY 1101</v>
          </cell>
          <cell r="E960">
            <v>782320</v>
          </cell>
          <cell r="F960" t="b">
            <v>1</v>
          </cell>
          <cell r="G960">
            <v>606.88830146271096</v>
          </cell>
          <cell r="H960">
            <v>340.310826777584</v>
          </cell>
          <cell r="I960">
            <v>5</v>
          </cell>
          <cell r="J960">
            <v>6.9413164601428402E-5</v>
          </cell>
          <cell r="K960">
            <v>2491</v>
          </cell>
          <cell r="L960">
            <v>6.5661617316771198E-2</v>
          </cell>
          <cell r="M960">
            <v>3321</v>
          </cell>
          <cell r="N960">
            <v>4.55236968032064E-6</v>
          </cell>
          <cell r="O960">
            <v>3290</v>
          </cell>
          <cell r="Q960">
            <v>3175</v>
          </cell>
        </row>
        <row r="961">
          <cell r="B961" t="str">
            <v>EAST QUINCY 1101951424</v>
          </cell>
          <cell r="C961">
            <v>102551101</v>
          </cell>
          <cell r="D961" t="str">
            <v>EAST QUINCY 1101</v>
          </cell>
          <cell r="E961">
            <v>951424</v>
          </cell>
          <cell r="F961" t="b">
            <v>0</v>
          </cell>
          <cell r="G961">
            <v>5857.3043099335</v>
          </cell>
          <cell r="H961">
            <v>1124.2370708145399</v>
          </cell>
          <cell r="I961">
            <v>49</v>
          </cell>
          <cell r="J961">
            <v>6.6605808797248701E-5</v>
          </cell>
          <cell r="K961">
            <v>2568</v>
          </cell>
          <cell r="L961">
            <v>260.89685024100498</v>
          </cell>
          <cell r="M961">
            <v>1522</v>
          </cell>
          <cell r="N961">
            <v>1.9500819066429299E-2</v>
          </cell>
          <cell r="O961">
            <v>1678</v>
          </cell>
          <cell r="Q961">
            <v>3026</v>
          </cell>
        </row>
        <row r="962">
          <cell r="B962" t="str">
            <v>ECHO SUMMIT 11012500</v>
          </cell>
          <cell r="C962">
            <v>158031101</v>
          </cell>
          <cell r="D962" t="str">
            <v>ECHO SUMMIT 1101</v>
          </cell>
          <cell r="E962">
            <v>2500</v>
          </cell>
          <cell r="F962" t="b">
            <v>0</v>
          </cell>
          <cell r="G962">
            <v>3521.4170017757501</v>
          </cell>
          <cell r="H962">
            <v>3521.4170017757501</v>
          </cell>
          <cell r="I962">
            <v>26</v>
          </cell>
          <cell r="J962">
            <v>4.8352504493847699E-5</v>
          </cell>
          <cell r="K962">
            <v>3083</v>
          </cell>
          <cell r="L962">
            <v>44.8706933259161</v>
          </cell>
          <cell r="M962">
            <v>2248</v>
          </cell>
          <cell r="N962">
            <v>1.9811356703936999E-3</v>
          </cell>
          <cell r="O962">
            <v>2478</v>
          </cell>
          <cell r="P962">
            <v>0.16</v>
          </cell>
          <cell r="Q962">
            <v>1255</v>
          </cell>
        </row>
        <row r="963">
          <cell r="B963" t="str">
            <v>ECHO SUMMIT 1101344250</v>
          </cell>
          <cell r="C963">
            <v>158031101</v>
          </cell>
          <cell r="D963" t="str">
            <v>ECHO SUMMIT 1101</v>
          </cell>
          <cell r="E963">
            <v>344250</v>
          </cell>
          <cell r="F963" t="b">
            <v>0</v>
          </cell>
          <cell r="G963">
            <v>1668.18367719252</v>
          </cell>
          <cell r="H963">
            <v>1299.27079946558</v>
          </cell>
          <cell r="I963">
            <v>10</v>
          </cell>
          <cell r="J963">
            <v>4.8899147623160299E-5</v>
          </cell>
          <cell r="K963">
            <v>3068</v>
          </cell>
          <cell r="L963">
            <v>38.039168573392601</v>
          </cell>
          <cell r="M963">
            <v>2290</v>
          </cell>
          <cell r="N963">
            <v>2.1484475388775601E-3</v>
          </cell>
          <cell r="O963">
            <v>2461</v>
          </cell>
          <cell r="P963">
            <v>0.03</v>
          </cell>
          <cell r="Q963">
            <v>2252</v>
          </cell>
        </row>
        <row r="964">
          <cell r="B964" t="str">
            <v>ECHO SUMMIT 1101481660</v>
          </cell>
          <cell r="C964">
            <v>158031101</v>
          </cell>
          <cell r="D964" t="str">
            <v>ECHO SUMMIT 1101</v>
          </cell>
          <cell r="E964">
            <v>481660</v>
          </cell>
          <cell r="F964" t="b">
            <v>0</v>
          </cell>
          <cell r="G964">
            <v>1777.59040638131</v>
          </cell>
          <cell r="H964">
            <v>1750.39567772899</v>
          </cell>
          <cell r="I964">
            <v>21</v>
          </cell>
          <cell r="J964">
            <v>1.3748137886674701E-4</v>
          </cell>
          <cell r="K964">
            <v>904</v>
          </cell>
          <cell r="L964">
            <v>66.827821527691796</v>
          </cell>
          <cell r="M964">
            <v>2109</v>
          </cell>
          <cell r="N964">
            <v>8.9564549385737005E-3</v>
          </cell>
          <cell r="O964">
            <v>2005</v>
          </cell>
          <cell r="Q964">
            <v>3360</v>
          </cell>
        </row>
        <row r="965">
          <cell r="B965" t="str">
            <v>ECHO SUMMIT 110155262</v>
          </cell>
          <cell r="C965">
            <v>158031101</v>
          </cell>
          <cell r="D965" t="str">
            <v>ECHO SUMMIT 1101</v>
          </cell>
          <cell r="E965">
            <v>55262</v>
          </cell>
          <cell r="F965" t="b">
            <v>1</v>
          </cell>
          <cell r="G965">
            <v>266.53395738018099</v>
          </cell>
          <cell r="H965">
            <v>266.53395738018099</v>
          </cell>
          <cell r="I965">
            <v>4</v>
          </cell>
          <cell r="J965">
            <v>5.4989528507576297E-5</v>
          </cell>
          <cell r="K965">
            <v>2911</v>
          </cell>
          <cell r="L965">
            <v>6.6431154186312194E-2</v>
          </cell>
          <cell r="M965">
            <v>3095</v>
          </cell>
          <cell r="N965">
            <v>3.65301784691941E-6</v>
          </cell>
          <cell r="O965">
            <v>3355</v>
          </cell>
          <cell r="P965">
            <v>0.06</v>
          </cell>
          <cell r="Q965">
            <v>1866</v>
          </cell>
        </row>
        <row r="966">
          <cell r="B966" t="str">
            <v>ECHO SUMMIT 1101741586</v>
          </cell>
          <cell r="C966">
            <v>158031101</v>
          </cell>
          <cell r="D966" t="str">
            <v>ECHO SUMMIT 1101</v>
          </cell>
          <cell r="E966">
            <v>741586</v>
          </cell>
          <cell r="F966" t="b">
            <v>0</v>
          </cell>
          <cell r="G966">
            <v>1137.7951665065</v>
          </cell>
          <cell r="H966">
            <v>1137.7951665065</v>
          </cell>
          <cell r="I966">
            <v>9</v>
          </cell>
          <cell r="J966">
            <v>5.16831536919602E-5</v>
          </cell>
          <cell r="K966">
            <v>3002</v>
          </cell>
          <cell r="L966">
            <v>6.6431154186312194E-2</v>
          </cell>
          <cell r="M966">
            <v>3093</v>
          </cell>
          <cell r="N966">
            <v>3.4333715517454799E-6</v>
          </cell>
          <cell r="O966">
            <v>3372</v>
          </cell>
          <cell r="Q966">
            <v>3342</v>
          </cell>
        </row>
        <row r="967">
          <cell r="B967" t="str">
            <v>ECHO SUMMIT 11018922</v>
          </cell>
          <cell r="C967">
            <v>158031101</v>
          </cell>
          <cell r="D967" t="str">
            <v>ECHO SUMMIT 1101</v>
          </cell>
          <cell r="E967">
            <v>8922</v>
          </cell>
          <cell r="F967" t="b">
            <v>0</v>
          </cell>
          <cell r="G967">
            <v>1940.39016728759</v>
          </cell>
          <cell r="H967">
            <v>1940.39016728759</v>
          </cell>
          <cell r="I967">
            <v>11</v>
          </cell>
          <cell r="J967">
            <v>4.2931988983499701E-5</v>
          </cell>
          <cell r="K967">
            <v>3211</v>
          </cell>
          <cell r="L967">
            <v>6.64311541835058E-2</v>
          </cell>
          <cell r="M967">
            <v>3096</v>
          </cell>
          <cell r="N967">
            <v>2.8520220485772601E-6</v>
          </cell>
          <cell r="O967">
            <v>3430</v>
          </cell>
          <cell r="P967">
            <v>0.18</v>
          </cell>
          <cell r="Q967">
            <v>1208</v>
          </cell>
        </row>
        <row r="968">
          <cell r="B968" t="str">
            <v>ECHO SUMMIT 1101CB</v>
          </cell>
          <cell r="C968">
            <v>158031101</v>
          </cell>
          <cell r="D968" t="str">
            <v>ECHO SUMMIT 1101</v>
          </cell>
          <cell r="E968" t="str">
            <v>CB</v>
          </cell>
          <cell r="F968" t="b">
            <v>1</v>
          </cell>
          <cell r="G968">
            <v>49.176122780116899</v>
          </cell>
          <cell r="H968">
            <v>49.176122780116899</v>
          </cell>
          <cell r="I968">
            <v>1</v>
          </cell>
          <cell r="J968">
            <v>6.26541877863928E-5</v>
          </cell>
          <cell r="K968">
            <v>2695</v>
          </cell>
          <cell r="L968">
            <v>6.6431154186312194E-2</v>
          </cell>
          <cell r="M968">
            <v>3094</v>
          </cell>
          <cell r="N968">
            <v>4.1621900092560202E-6</v>
          </cell>
          <cell r="O968">
            <v>3325</v>
          </cell>
          <cell r="P968">
            <v>0</v>
          </cell>
          <cell r="Q968">
            <v>2628</v>
          </cell>
        </row>
        <row r="969">
          <cell r="B969" t="str">
            <v>EDENVALE 1102XR064</v>
          </cell>
          <cell r="C969">
            <v>82951102</v>
          </cell>
          <cell r="D969" t="str">
            <v>EDENVALE 1102</v>
          </cell>
          <cell r="E969" t="str">
            <v>XR064</v>
          </cell>
          <cell r="F969" t="b">
            <v>0</v>
          </cell>
          <cell r="G969">
            <v>6026.8923389172096</v>
          </cell>
          <cell r="H969">
            <v>1175.60949428915</v>
          </cell>
          <cell r="I969">
            <v>35</v>
          </cell>
          <cell r="J969">
            <v>8.4777079791820102E-5</v>
          </cell>
          <cell r="K969">
            <v>2070</v>
          </cell>
          <cell r="L969">
            <v>462.92771096968499</v>
          </cell>
          <cell r="M969">
            <v>1232</v>
          </cell>
          <cell r="N969">
            <v>4.6387426417712797E-2</v>
          </cell>
          <cell r="O969">
            <v>1219</v>
          </cell>
          <cell r="Q969">
            <v>3069</v>
          </cell>
        </row>
        <row r="970">
          <cell r="B970" t="str">
            <v>EDENVALE 2107288980</v>
          </cell>
          <cell r="C970">
            <v>82952107</v>
          </cell>
          <cell r="D970" t="str">
            <v>EDENVALE 2107</v>
          </cell>
          <cell r="E970">
            <v>288980</v>
          </cell>
          <cell r="F970" t="b">
            <v>1</v>
          </cell>
          <cell r="G970">
            <v>1137.52675783419</v>
          </cell>
          <cell r="H970">
            <v>532.32993642573399</v>
          </cell>
          <cell r="I970">
            <v>6</v>
          </cell>
          <cell r="J970">
            <v>5.3751382802147403E-5</v>
          </cell>
          <cell r="K970">
            <v>2947</v>
          </cell>
          <cell r="L970">
            <v>2359.4227905273401</v>
          </cell>
          <cell r="M970">
            <v>370</v>
          </cell>
          <cell r="N970">
            <v>0.12531297235712299</v>
          </cell>
          <cell r="O970">
            <v>622</v>
          </cell>
          <cell r="Q970">
            <v>3583</v>
          </cell>
        </row>
        <row r="971">
          <cell r="B971" t="str">
            <v>EDENVALE 2107469810</v>
          </cell>
          <cell r="C971">
            <v>82952107</v>
          </cell>
          <cell r="D971" t="str">
            <v>EDENVALE 2107</v>
          </cell>
          <cell r="E971">
            <v>469810</v>
          </cell>
          <cell r="F971" t="b">
            <v>0</v>
          </cell>
          <cell r="G971">
            <v>9545.8931833229199</v>
          </cell>
          <cell r="H971">
            <v>3464.1713594334901</v>
          </cell>
          <cell r="I971">
            <v>14</v>
          </cell>
          <cell r="J971">
            <v>8.3297955615517597E-5</v>
          </cell>
          <cell r="K971">
            <v>2125</v>
          </cell>
          <cell r="L971">
            <v>778.01039228576894</v>
          </cell>
          <cell r="M971">
            <v>955</v>
          </cell>
          <cell r="N971">
            <v>7.0671885502780696E-2</v>
          </cell>
          <cell r="O971">
            <v>975</v>
          </cell>
          <cell r="Q971">
            <v>3354</v>
          </cell>
        </row>
        <row r="972">
          <cell r="B972" t="str">
            <v>EDENVALE 2107739448</v>
          </cell>
          <cell r="C972">
            <v>82952107</v>
          </cell>
          <cell r="D972" t="str">
            <v>EDENVALE 2107</v>
          </cell>
          <cell r="E972">
            <v>739448</v>
          </cell>
          <cell r="F972" t="b">
            <v>0</v>
          </cell>
          <cell r="G972">
            <v>3763.2992552466999</v>
          </cell>
          <cell r="H972">
            <v>2860.1442626375901</v>
          </cell>
          <cell r="I972">
            <v>12</v>
          </cell>
          <cell r="J972">
            <v>4.57041094043895E-5</v>
          </cell>
          <cell r="K972">
            <v>3149</v>
          </cell>
          <cell r="L972">
            <v>1064.5547249655999</v>
          </cell>
          <cell r="M972">
            <v>790</v>
          </cell>
          <cell r="N972">
            <v>8.4104380646596394E-2</v>
          </cell>
          <cell r="O972">
            <v>870</v>
          </cell>
          <cell r="Q972">
            <v>3393</v>
          </cell>
        </row>
        <row r="973">
          <cell r="B973" t="str">
            <v>EDENVALE 2113CB</v>
          </cell>
          <cell r="C973">
            <v>82952113</v>
          </cell>
          <cell r="D973" t="str">
            <v>EDENVALE 2113</v>
          </cell>
          <cell r="E973" t="str">
            <v>CB</v>
          </cell>
          <cell r="F973" t="b">
            <v>1</v>
          </cell>
          <cell r="G973">
            <v>2357.5159647810401</v>
          </cell>
          <cell r="H973">
            <v>24.567983621802998</v>
          </cell>
          <cell r="I973">
            <v>24</v>
          </cell>
          <cell r="J973">
            <v>1.8796757062359899E-5</v>
          </cell>
          <cell r="K973">
            <v>3556</v>
          </cell>
          <cell r="L973">
            <v>2.05087590683251</v>
          </cell>
          <cell r="M973">
            <v>2838</v>
          </cell>
          <cell r="N973">
            <v>3.50377837913303E-4</v>
          </cell>
          <cell r="O973">
            <v>2779</v>
          </cell>
          <cell r="Q973">
            <v>3009</v>
          </cell>
        </row>
        <row r="974">
          <cell r="B974" t="str">
            <v>EDES 1112714759</v>
          </cell>
          <cell r="C974">
            <v>13681112</v>
          </cell>
          <cell r="D974" t="str">
            <v>EDES 1112</v>
          </cell>
          <cell r="E974">
            <v>714759</v>
          </cell>
          <cell r="F974" t="b">
            <v>1</v>
          </cell>
          <cell r="G974">
            <v>1469.7625883704</v>
          </cell>
          <cell r="H974">
            <v>361.91914572824999</v>
          </cell>
          <cell r="I974">
            <v>11</v>
          </cell>
          <cell r="J974">
            <v>1.2348427886040099E-5</v>
          </cell>
          <cell r="K974">
            <v>3605</v>
          </cell>
          <cell r="L974">
            <v>6.5497422760183097E-2</v>
          </cell>
          <cell r="M974">
            <v>3372</v>
          </cell>
          <cell r="N974">
            <v>8.1070741572803099E-7</v>
          </cell>
          <cell r="O974">
            <v>3607</v>
          </cell>
          <cell r="Q974">
            <v>2936</v>
          </cell>
        </row>
        <row r="975">
          <cell r="B975" t="str">
            <v>EDES 1112CB</v>
          </cell>
          <cell r="C975">
            <v>13681112</v>
          </cell>
          <cell r="D975" t="str">
            <v>EDES 1112</v>
          </cell>
          <cell r="E975" t="str">
            <v>CB</v>
          </cell>
          <cell r="F975" t="b">
            <v>1</v>
          </cell>
          <cell r="G975">
            <v>911.83800025079404</v>
          </cell>
          <cell r="H975">
            <v>70.461898678600406</v>
          </cell>
          <cell r="I975">
            <v>16</v>
          </cell>
          <cell r="J975">
            <v>1.37482884033838E-5</v>
          </cell>
          <cell r="K975">
            <v>3595</v>
          </cell>
          <cell r="L975">
            <v>6.5227297600358697E-2</v>
          </cell>
          <cell r="M975">
            <v>3494</v>
          </cell>
          <cell r="N975">
            <v>8.99030211013788E-7</v>
          </cell>
          <cell r="O975">
            <v>3600</v>
          </cell>
          <cell r="P975">
            <v>0.03</v>
          </cell>
          <cell r="Q975">
            <v>2275</v>
          </cell>
        </row>
        <row r="976">
          <cell r="B976" t="str">
            <v>EDES 1112CR100</v>
          </cell>
          <cell r="C976">
            <v>13681112</v>
          </cell>
          <cell r="D976" t="str">
            <v>EDES 1112</v>
          </cell>
          <cell r="E976" t="str">
            <v>CR100</v>
          </cell>
          <cell r="F976" t="b">
            <v>0</v>
          </cell>
          <cell r="G976">
            <v>5399.0675269683497</v>
          </cell>
          <cell r="H976">
            <v>5399.0675269683497</v>
          </cell>
          <cell r="I976">
            <v>40</v>
          </cell>
          <cell r="J976">
            <v>4.7215588961080299E-5</v>
          </cell>
          <cell r="K976">
            <v>3109</v>
          </cell>
          <cell r="L976">
            <v>6.6431909799575806E-2</v>
          </cell>
          <cell r="M976">
            <v>2972</v>
          </cell>
          <cell r="N976">
            <v>3.1366217469963302E-6</v>
          </cell>
          <cell r="O976">
            <v>3395</v>
          </cell>
          <cell r="P976">
            <v>0.04</v>
          </cell>
          <cell r="Q976">
            <v>2134</v>
          </cell>
        </row>
        <row r="977">
          <cell r="B977" t="str">
            <v>EDES 1112CR282</v>
          </cell>
          <cell r="C977">
            <v>13681112</v>
          </cell>
          <cell r="D977" t="str">
            <v>EDES 1112</v>
          </cell>
          <cell r="E977" t="str">
            <v>CR282</v>
          </cell>
          <cell r="F977" t="b">
            <v>0</v>
          </cell>
          <cell r="G977">
            <v>6573.0207697870701</v>
          </cell>
          <cell r="H977">
            <v>6573.0207697870701</v>
          </cell>
          <cell r="I977">
            <v>45</v>
          </cell>
          <cell r="J977">
            <v>5.4738983857936903E-5</v>
          </cell>
          <cell r="K977">
            <v>2924</v>
          </cell>
          <cell r="L977">
            <v>6.6431909799575806E-2</v>
          </cell>
          <cell r="M977">
            <v>2977</v>
          </cell>
          <cell r="N977">
            <v>3.6364152381708999E-6</v>
          </cell>
          <cell r="O977">
            <v>3358</v>
          </cell>
          <cell r="P977">
            <v>0.06</v>
          </cell>
          <cell r="Q977">
            <v>1916</v>
          </cell>
        </row>
        <row r="978">
          <cell r="B978" t="str">
            <v>EDES 1112CR306</v>
          </cell>
          <cell r="C978">
            <v>13681112</v>
          </cell>
          <cell r="D978" t="str">
            <v>EDES 1112</v>
          </cell>
          <cell r="E978" t="str">
            <v>CR306</v>
          </cell>
          <cell r="F978" t="b">
            <v>0</v>
          </cell>
          <cell r="G978">
            <v>1619.5832852457399</v>
          </cell>
          <cell r="H978">
            <v>1619.5832852457399</v>
          </cell>
          <cell r="I978">
            <v>16</v>
          </cell>
          <cell r="J978">
            <v>2.7663468586069899E-5</v>
          </cell>
          <cell r="K978">
            <v>3463</v>
          </cell>
          <cell r="L978">
            <v>6.6431909799575806E-2</v>
          </cell>
          <cell r="M978">
            <v>2950</v>
          </cell>
          <cell r="N978">
            <v>1.8377370498531901E-6</v>
          </cell>
          <cell r="O978">
            <v>3525</v>
          </cell>
          <cell r="P978">
            <v>0.04</v>
          </cell>
          <cell r="Q978">
            <v>2175</v>
          </cell>
        </row>
        <row r="979">
          <cell r="B979" t="str">
            <v>EDES 1112CR308</v>
          </cell>
          <cell r="C979">
            <v>13681112</v>
          </cell>
          <cell r="D979" t="str">
            <v>EDES 1112</v>
          </cell>
          <cell r="E979" t="str">
            <v>CR308</v>
          </cell>
          <cell r="F979" t="b">
            <v>0</v>
          </cell>
          <cell r="G979">
            <v>5698.32311982377</v>
          </cell>
          <cell r="H979">
            <v>5168.8002698458804</v>
          </cell>
          <cell r="I979">
            <v>53</v>
          </cell>
          <cell r="J979">
            <v>3.8445963582489599E-5</v>
          </cell>
          <cell r="K979">
            <v>3292</v>
          </cell>
          <cell r="L979">
            <v>6.6286513506563199E-2</v>
          </cell>
          <cell r="M979">
            <v>3153</v>
          </cell>
          <cell r="N979">
            <v>2.5523539961823199E-6</v>
          </cell>
          <cell r="O979">
            <v>3458</v>
          </cell>
          <cell r="P979">
            <v>7.0000000000000007E-2</v>
          </cell>
          <cell r="Q979">
            <v>1769</v>
          </cell>
        </row>
        <row r="980">
          <cell r="B980" t="str">
            <v>EDES 1112CR312</v>
          </cell>
          <cell r="C980">
            <v>13681112</v>
          </cell>
          <cell r="D980" t="str">
            <v>EDES 1112</v>
          </cell>
          <cell r="E980" t="str">
            <v>CR312</v>
          </cell>
          <cell r="F980" t="b">
            <v>0</v>
          </cell>
          <cell r="G980">
            <v>5934.1285789252097</v>
          </cell>
          <cell r="H980">
            <v>5934.1285789252097</v>
          </cell>
          <cell r="I980">
            <v>42</v>
          </cell>
          <cell r="J980">
            <v>1.0828423659231199E-4</v>
          </cell>
          <cell r="K980">
            <v>1446</v>
          </cell>
          <cell r="L980">
            <v>6.6401316473881394E-2</v>
          </cell>
          <cell r="M980">
            <v>3119</v>
          </cell>
          <cell r="N980">
            <v>7.1890146822012904E-6</v>
          </cell>
          <cell r="O980">
            <v>3156</v>
          </cell>
          <cell r="P980">
            <v>0.12</v>
          </cell>
          <cell r="Q980">
            <v>1375</v>
          </cell>
        </row>
        <row r="981">
          <cell r="B981" t="str">
            <v>EEL RIVER 11021902</v>
          </cell>
          <cell r="C981">
            <v>192381102</v>
          </cell>
          <cell r="D981" t="str">
            <v>EEL RIVER 1102</v>
          </cell>
          <cell r="E981">
            <v>1902</v>
          </cell>
          <cell r="F981" t="b">
            <v>0</v>
          </cell>
          <cell r="G981">
            <v>11685.3749516932</v>
          </cell>
          <cell r="H981">
            <v>10562.739090531701</v>
          </cell>
          <cell r="I981">
            <v>43</v>
          </cell>
          <cell r="J981">
            <v>1.49277167893583E-4</v>
          </cell>
          <cell r="K981">
            <v>746</v>
          </cell>
          <cell r="L981">
            <v>134.194016969746</v>
          </cell>
          <cell r="M981">
            <v>1834</v>
          </cell>
          <cell r="N981">
            <v>2.2584957229876201E-2</v>
          </cell>
          <cell r="O981">
            <v>1615</v>
          </cell>
          <cell r="P981">
            <v>0.08</v>
          </cell>
          <cell r="Q981">
            <v>1666</v>
          </cell>
        </row>
        <row r="982">
          <cell r="B982" t="str">
            <v>EEL RIVER 11024814</v>
          </cell>
          <cell r="C982">
            <v>192381102</v>
          </cell>
          <cell r="D982" t="str">
            <v>EEL RIVER 1102</v>
          </cell>
          <cell r="E982">
            <v>4814</v>
          </cell>
          <cell r="F982" t="b">
            <v>0</v>
          </cell>
          <cell r="G982">
            <v>44262.901462294198</v>
          </cell>
          <cell r="H982">
            <v>43433.149954116503</v>
          </cell>
          <cell r="I982">
            <v>117</v>
          </cell>
          <cell r="J982">
            <v>1.8022232942322601E-4</v>
          </cell>
          <cell r="K982">
            <v>512</v>
          </cell>
          <cell r="L982">
            <v>271.885792371744</v>
          </cell>
          <cell r="M982">
            <v>1490</v>
          </cell>
          <cell r="N982">
            <v>4.3215779313870203E-2</v>
          </cell>
          <cell r="O982">
            <v>1252</v>
          </cell>
          <cell r="P982">
            <v>0.83</v>
          </cell>
          <cell r="Q982">
            <v>769</v>
          </cell>
        </row>
        <row r="983">
          <cell r="B983" t="str">
            <v>EEL RIVER 1102530</v>
          </cell>
          <cell r="C983">
            <v>192381102</v>
          </cell>
          <cell r="D983" t="str">
            <v>EEL RIVER 1102</v>
          </cell>
          <cell r="E983">
            <v>530</v>
          </cell>
          <cell r="F983" t="b">
            <v>1</v>
          </cell>
          <cell r="G983">
            <v>43254.378083809097</v>
          </cell>
          <cell r="H983">
            <v>117.527749471291</v>
          </cell>
          <cell r="I983">
            <v>255</v>
          </cell>
          <cell r="J983">
            <v>1.4868815670477999E-4</v>
          </cell>
          <cell r="K983">
            <v>756</v>
          </cell>
          <cell r="L983">
            <v>5.1755526399774103</v>
          </cell>
          <cell r="M983">
            <v>2744</v>
          </cell>
          <cell r="N983">
            <v>7.0447466088484898E-4</v>
          </cell>
          <cell r="O983">
            <v>2683</v>
          </cell>
          <cell r="P983">
            <v>0.02</v>
          </cell>
          <cell r="Q983">
            <v>2508</v>
          </cell>
        </row>
        <row r="984">
          <cell r="B984" t="str">
            <v>EEL RIVER 1102630456</v>
          </cell>
          <cell r="C984">
            <v>192381102</v>
          </cell>
          <cell r="D984" t="str">
            <v>EEL RIVER 1102</v>
          </cell>
          <cell r="E984">
            <v>630456</v>
          </cell>
          <cell r="F984" t="b">
            <v>0</v>
          </cell>
          <cell r="G984">
            <v>8616.6169000517093</v>
          </cell>
          <cell r="H984">
            <v>8616.6169000517093</v>
          </cell>
          <cell r="I984">
            <v>37</v>
          </cell>
          <cell r="J984">
            <v>2.3208462981629999E-4</v>
          </cell>
          <cell r="K984">
            <v>277</v>
          </cell>
          <cell r="L984">
            <v>84.916404803209502</v>
          </cell>
          <cell r="M984">
            <v>2030</v>
          </cell>
          <cell r="N984">
            <v>2.2761079368074099E-2</v>
          </cell>
          <cell r="O984">
            <v>1611</v>
          </cell>
          <cell r="Q984">
            <v>2888</v>
          </cell>
        </row>
        <row r="985">
          <cell r="B985" t="str">
            <v>EEL RIVER 1102720639</v>
          </cell>
          <cell r="C985">
            <v>192381102</v>
          </cell>
          <cell r="D985" t="str">
            <v>EEL RIVER 1102</v>
          </cell>
          <cell r="E985">
            <v>720639</v>
          </cell>
          <cell r="F985" t="b">
            <v>0</v>
          </cell>
          <cell r="G985">
            <v>5844.6693598716101</v>
          </cell>
          <cell r="H985">
            <v>2660.7876289533201</v>
          </cell>
          <cell r="I985">
            <v>25</v>
          </cell>
          <cell r="J985">
            <v>1.8594605226889601E-4</v>
          </cell>
          <cell r="K985">
            <v>468</v>
          </cell>
          <cell r="L985">
            <v>1.9663873960396501</v>
          </cell>
          <cell r="M985">
            <v>2846</v>
          </cell>
          <cell r="N985">
            <v>3.0619628300830799E-4</v>
          </cell>
          <cell r="O985">
            <v>2793</v>
          </cell>
          <cell r="Q985">
            <v>3105</v>
          </cell>
        </row>
        <row r="986">
          <cell r="B986" t="str">
            <v>EEL RIVER 1103216324</v>
          </cell>
          <cell r="C986">
            <v>192381103</v>
          </cell>
          <cell r="D986" t="str">
            <v>EEL RIVER 1103</v>
          </cell>
          <cell r="E986">
            <v>216324</v>
          </cell>
          <cell r="F986" t="b">
            <v>0</v>
          </cell>
          <cell r="G986">
            <v>4626.1815861702698</v>
          </cell>
          <cell r="H986">
            <v>3681.92326880971</v>
          </cell>
          <cell r="I986">
            <v>23</v>
          </cell>
          <cell r="J986">
            <v>1.33164383995513E-4</v>
          </cell>
          <cell r="K986">
            <v>955</v>
          </cell>
          <cell r="L986">
            <v>50.0451569610563</v>
          </cell>
          <cell r="M986">
            <v>2210</v>
          </cell>
          <cell r="N986">
            <v>7.5204278914595499E-3</v>
          </cell>
          <cell r="O986">
            <v>2073</v>
          </cell>
          <cell r="Q986">
            <v>3409</v>
          </cell>
        </row>
        <row r="987">
          <cell r="B987" t="str">
            <v>EEL RIVER 1103241646</v>
          </cell>
          <cell r="C987">
            <v>192381103</v>
          </cell>
          <cell r="D987" t="str">
            <v>EEL RIVER 1103</v>
          </cell>
          <cell r="E987">
            <v>241646</v>
          </cell>
          <cell r="F987" t="b">
            <v>1</v>
          </cell>
          <cell r="G987">
            <v>2237.0921453312399</v>
          </cell>
          <cell r="H987">
            <v>583.42039785580505</v>
          </cell>
          <cell r="I987">
            <v>13</v>
          </cell>
          <cell r="J987">
            <v>1.4029025791947199E-4</v>
          </cell>
          <cell r="K987">
            <v>866</v>
          </cell>
          <cell r="L987">
            <v>6.51475899323882E-2</v>
          </cell>
          <cell r="M987">
            <v>3600</v>
          </cell>
          <cell r="N987">
            <v>9.1395721944467602E-6</v>
          </cell>
          <cell r="O987">
            <v>3091</v>
          </cell>
          <cell r="Q987">
            <v>3536</v>
          </cell>
        </row>
        <row r="988">
          <cell r="B988" t="str">
            <v>EEL RIVER 11033820</v>
          </cell>
          <cell r="C988">
            <v>192381103</v>
          </cell>
          <cell r="D988" t="str">
            <v>EEL RIVER 1103</v>
          </cell>
          <cell r="E988">
            <v>3820</v>
          </cell>
          <cell r="F988" t="b">
            <v>1</v>
          </cell>
          <cell r="G988">
            <v>23262.423244169298</v>
          </cell>
          <cell r="H988">
            <v>0</v>
          </cell>
          <cell r="I988">
            <v>115</v>
          </cell>
          <cell r="J988">
            <v>1.3640357372966201E-4</v>
          </cell>
          <cell r="K988">
            <v>914</v>
          </cell>
          <cell r="L988">
            <v>6.5807703714862803E-2</v>
          </cell>
          <cell r="M988">
            <v>3265</v>
          </cell>
          <cell r="N988">
            <v>8.9864311006755992E-6</v>
          </cell>
          <cell r="O988">
            <v>3093</v>
          </cell>
          <cell r="P988">
            <v>0.02</v>
          </cell>
          <cell r="Q988">
            <v>2422</v>
          </cell>
        </row>
        <row r="989">
          <cell r="B989" t="str">
            <v>EEL RIVER 1103987714</v>
          </cell>
          <cell r="C989">
            <v>192381103</v>
          </cell>
          <cell r="D989" t="str">
            <v>EEL RIVER 1103</v>
          </cell>
          <cell r="E989">
            <v>987714</v>
          </cell>
          <cell r="F989" t="b">
            <v>0</v>
          </cell>
          <cell r="G989">
            <v>1590.9598325354</v>
          </cell>
          <cell r="H989">
            <v>1218.9667515985</v>
          </cell>
          <cell r="I989">
            <v>6</v>
          </cell>
          <cell r="J989">
            <v>1.3452835410134801E-4</v>
          </cell>
          <cell r="K989">
            <v>933</v>
          </cell>
          <cell r="L989">
            <v>18.573635590176899</v>
          </cell>
          <cell r="M989">
            <v>2466</v>
          </cell>
          <cell r="N989">
            <v>2.1699232441103099E-3</v>
          </cell>
          <cell r="O989">
            <v>2457</v>
          </cell>
          <cell r="Q989">
            <v>3580</v>
          </cell>
        </row>
        <row r="990">
          <cell r="B990" t="str">
            <v>EEL RIVER 1103CB</v>
          </cell>
          <cell r="C990">
            <v>192381103</v>
          </cell>
          <cell r="D990" t="str">
            <v>EEL RIVER 1103</v>
          </cell>
          <cell r="E990" t="str">
            <v>CB</v>
          </cell>
          <cell r="F990" t="b">
            <v>1</v>
          </cell>
          <cell r="G990">
            <v>64360.314138594098</v>
          </cell>
          <cell r="H990">
            <v>0</v>
          </cell>
          <cell r="I990">
            <v>374</v>
          </cell>
          <cell r="J990">
            <v>1.1743627332475E-4</v>
          </cell>
          <cell r="K990">
            <v>1237</v>
          </cell>
          <cell r="L990">
            <v>6.5147589932387895E-2</v>
          </cell>
          <cell r="M990">
            <v>3603</v>
          </cell>
          <cell r="N990">
            <v>7.6506901777486803E-6</v>
          </cell>
          <cell r="O990">
            <v>3136</v>
          </cell>
          <cell r="Q990">
            <v>2721</v>
          </cell>
        </row>
        <row r="991">
          <cell r="B991" t="str">
            <v>EL CERRITO G 1105BR160</v>
          </cell>
          <cell r="C991">
            <v>12501105</v>
          </cell>
          <cell r="D991" t="str">
            <v>EL CERRITO G 1105</v>
          </cell>
          <cell r="E991" t="str">
            <v>BR160</v>
          </cell>
          <cell r="F991" t="b">
            <v>0</v>
          </cell>
          <cell r="G991">
            <v>18386.483180305899</v>
          </cell>
          <cell r="H991">
            <v>13394.711006830999</v>
          </cell>
          <cell r="I991">
            <v>132</v>
          </cell>
          <cell r="J991">
            <v>6.9198158226671698E-5</v>
          </cell>
          <cell r="K991">
            <v>2499</v>
          </cell>
          <cell r="L991">
            <v>3.3681808235416999</v>
          </cell>
          <cell r="M991">
            <v>2800</v>
          </cell>
          <cell r="N991">
            <v>3.1068074981269699E-4</v>
          </cell>
          <cell r="O991">
            <v>2792</v>
          </cell>
          <cell r="P991">
            <v>0.24</v>
          </cell>
          <cell r="Q991">
            <v>1104</v>
          </cell>
        </row>
        <row r="992">
          <cell r="B992" t="str">
            <v>EL CERRITO G 1105BR164</v>
          </cell>
          <cell r="C992">
            <v>12501105</v>
          </cell>
          <cell r="D992" t="str">
            <v>EL CERRITO G 1105</v>
          </cell>
          <cell r="E992" t="str">
            <v>BR164</v>
          </cell>
          <cell r="F992" t="b">
            <v>1</v>
          </cell>
          <cell r="G992">
            <v>91.584488198383397</v>
          </cell>
          <cell r="H992">
            <v>91.584488198383397</v>
          </cell>
          <cell r="I992">
            <v>2</v>
          </cell>
          <cell r="J992">
            <v>8.9372741058468805E-5</v>
          </cell>
          <cell r="K992">
            <v>1935</v>
          </cell>
          <cell r="L992">
            <v>6.6431909799575806E-2</v>
          </cell>
          <cell r="M992">
            <v>2968</v>
          </cell>
          <cell r="N992">
            <v>5.9372018725370397E-6</v>
          </cell>
          <cell r="O992">
            <v>3213</v>
          </cell>
          <cell r="P992">
            <v>0.05</v>
          </cell>
          <cell r="Q992">
            <v>1944</v>
          </cell>
        </row>
        <row r="993">
          <cell r="B993" t="str">
            <v>EL CERRITO G 1105BR194</v>
          </cell>
          <cell r="C993">
            <v>12501105</v>
          </cell>
          <cell r="D993" t="str">
            <v>EL CERRITO G 1105</v>
          </cell>
          <cell r="E993" t="str">
            <v>BR194</v>
          </cell>
          <cell r="F993" t="b">
            <v>0</v>
          </cell>
          <cell r="G993">
            <v>8491.9295122302101</v>
          </cell>
          <cell r="H993">
            <v>6148.6965385427702</v>
          </cell>
          <cell r="I993">
            <v>74</v>
          </cell>
          <cell r="J993">
            <v>6.6441644284586304E-5</v>
          </cell>
          <cell r="K993">
            <v>2577</v>
          </cell>
          <cell r="L993">
            <v>0.38708881983483101</v>
          </cell>
          <cell r="M993">
            <v>2919</v>
          </cell>
          <cell r="N993">
            <v>4.3185410172421101E-5</v>
          </cell>
          <cell r="O993">
            <v>2909</v>
          </cell>
          <cell r="P993">
            <v>0.12</v>
          </cell>
          <cell r="Q993">
            <v>1386</v>
          </cell>
        </row>
        <row r="994">
          <cell r="B994" t="str">
            <v>EL CERRITO G 1105CB</v>
          </cell>
          <cell r="C994">
            <v>12501105</v>
          </cell>
          <cell r="D994" t="str">
            <v>EL CERRITO G 1105</v>
          </cell>
          <cell r="E994" t="str">
            <v>CB</v>
          </cell>
          <cell r="F994" t="b">
            <v>0</v>
          </cell>
          <cell r="G994">
            <v>11982.825932784899</v>
          </cell>
          <cell r="H994">
            <v>11982.825932784899</v>
          </cell>
          <cell r="I994">
            <v>97</v>
          </cell>
          <cell r="J994">
            <v>5.96251986946261E-5</v>
          </cell>
          <cell r="K994">
            <v>2786</v>
          </cell>
          <cell r="L994">
            <v>4.4751636868285098</v>
          </cell>
          <cell r="M994">
            <v>2768</v>
          </cell>
          <cell r="N994">
            <v>3.0421153693587302E-4</v>
          </cell>
          <cell r="O994">
            <v>2796</v>
          </cell>
          <cell r="P994">
            <v>0.19</v>
          </cell>
          <cell r="Q994">
            <v>1186</v>
          </cell>
        </row>
        <row r="995">
          <cell r="B995" t="str">
            <v>EL CERRITO G 1108BR346</v>
          </cell>
          <cell r="C995">
            <v>12501108</v>
          </cell>
          <cell r="D995" t="str">
            <v>EL CERRITO G 1108</v>
          </cell>
          <cell r="E995" t="str">
            <v>BR346</v>
          </cell>
          <cell r="F995" t="b">
            <v>1</v>
          </cell>
          <cell r="G995">
            <v>11386.608947205899</v>
          </cell>
          <cell r="H995">
            <v>0</v>
          </cell>
          <cell r="I995">
            <v>102</v>
          </cell>
          <cell r="J995">
            <v>2.4396742826545099E-5</v>
          </cell>
          <cell r="K995">
            <v>3502</v>
          </cell>
          <cell r="L995">
            <v>6.5146990120410905E-2</v>
          </cell>
          <cell r="M995">
            <v>3620</v>
          </cell>
          <cell r="N995">
            <v>1.58937436389113E-6</v>
          </cell>
          <cell r="O995">
            <v>3545</v>
          </cell>
          <cell r="P995">
            <v>0.02</v>
          </cell>
          <cell r="Q995">
            <v>2439</v>
          </cell>
        </row>
        <row r="996">
          <cell r="B996" t="str">
            <v>EL CERRITO G 1108CB</v>
          </cell>
          <cell r="C996">
            <v>12501108</v>
          </cell>
          <cell r="D996" t="str">
            <v>EL CERRITO G 1108</v>
          </cell>
          <cell r="E996" t="str">
            <v>CB</v>
          </cell>
          <cell r="F996" t="b">
            <v>1</v>
          </cell>
          <cell r="G996">
            <v>11783.470322113801</v>
          </cell>
          <cell r="H996">
            <v>4.3429207669974703</v>
          </cell>
          <cell r="I996">
            <v>99</v>
          </cell>
          <cell r="J996">
            <v>1.3940647519916601E-5</v>
          </cell>
          <cell r="K996">
            <v>3593</v>
          </cell>
          <cell r="L996">
            <v>6.5146990120410905E-2</v>
          </cell>
          <cell r="M996">
            <v>3631</v>
          </cell>
          <cell r="N996">
            <v>9.0819122625213999E-7</v>
          </cell>
          <cell r="O996">
            <v>3598</v>
          </cell>
          <cell r="P996">
            <v>0.02</v>
          </cell>
          <cell r="Q996">
            <v>2417</v>
          </cell>
        </row>
        <row r="997">
          <cell r="B997" t="str">
            <v>EL CERRITO G 1110173396</v>
          </cell>
          <cell r="C997">
            <v>12501110</v>
          </cell>
          <cell r="D997" t="str">
            <v>EL CERRITO G 1110</v>
          </cell>
          <cell r="E997">
            <v>173396</v>
          </cell>
          <cell r="F997" t="b">
            <v>1</v>
          </cell>
          <cell r="G997">
            <v>265.73463286749598</v>
          </cell>
          <cell r="H997">
            <v>265.73463286749598</v>
          </cell>
          <cell r="I997">
            <v>3</v>
          </cell>
          <cell r="J997">
            <v>2.0972634805123799E-5</v>
          </cell>
          <cell r="K997">
            <v>3534</v>
          </cell>
          <cell r="L997">
            <v>6.6003603239854103E-2</v>
          </cell>
          <cell r="M997">
            <v>3220</v>
          </cell>
          <cell r="N997">
            <v>1.38885514266973E-6</v>
          </cell>
          <cell r="O997">
            <v>3559</v>
          </cell>
          <cell r="Q997">
            <v>3563</v>
          </cell>
        </row>
        <row r="998">
          <cell r="B998" t="str">
            <v>EL CERRITO G 1110BR236</v>
          </cell>
          <cell r="C998">
            <v>12501110</v>
          </cell>
          <cell r="D998" t="str">
            <v>EL CERRITO G 1110</v>
          </cell>
          <cell r="E998" t="str">
            <v>BR236</v>
          </cell>
          <cell r="F998" t="b">
            <v>1</v>
          </cell>
          <cell r="G998">
            <v>850.41734877859506</v>
          </cell>
          <cell r="H998">
            <v>819.89638121580595</v>
          </cell>
          <cell r="I998">
            <v>7</v>
          </cell>
          <cell r="J998">
            <v>2.6231239124691799E-5</v>
          </cell>
          <cell r="K998">
            <v>3484</v>
          </cell>
          <cell r="L998">
            <v>6.6064789891242898E-2</v>
          </cell>
          <cell r="M998">
            <v>3207</v>
          </cell>
          <cell r="N998">
            <v>1.7372556566582699E-6</v>
          </cell>
          <cell r="O998">
            <v>3532</v>
          </cell>
          <cell r="P998">
            <v>0.06</v>
          </cell>
          <cell r="Q998">
            <v>1860</v>
          </cell>
        </row>
        <row r="999">
          <cell r="B999" t="str">
            <v>EL CERRITO G 1110CB</v>
          </cell>
          <cell r="C999">
            <v>12501110</v>
          </cell>
          <cell r="D999" t="str">
            <v>EL CERRITO G 1110</v>
          </cell>
          <cell r="E999" t="str">
            <v>CB</v>
          </cell>
          <cell r="F999" t="b">
            <v>1</v>
          </cell>
          <cell r="G999">
            <v>4157.1829475828599</v>
          </cell>
          <cell r="H999">
            <v>423.115327310981</v>
          </cell>
          <cell r="I999">
            <v>35</v>
          </cell>
          <cell r="J999">
            <v>1.26274925662528E-5</v>
          </cell>
          <cell r="K999">
            <v>3603</v>
          </cell>
          <cell r="L999">
            <v>6.5183702111244204E-2</v>
          </cell>
          <cell r="M999">
            <v>3531</v>
          </cell>
          <cell r="N999">
            <v>8.23386163346831E-7</v>
          </cell>
          <cell r="O999">
            <v>3606</v>
          </cell>
          <cell r="P999">
            <v>0.04</v>
          </cell>
          <cell r="Q999">
            <v>2089</v>
          </cell>
        </row>
        <row r="1000">
          <cell r="B1000" t="str">
            <v>EL CERRITO G 1111760530</v>
          </cell>
          <cell r="C1000">
            <v>12501111</v>
          </cell>
          <cell r="D1000" t="str">
            <v>EL CERRITO G 1111</v>
          </cell>
          <cell r="E1000">
            <v>760530</v>
          </cell>
          <cell r="F1000" t="b">
            <v>1</v>
          </cell>
          <cell r="G1000">
            <v>2038.4891130987</v>
          </cell>
          <cell r="H1000">
            <v>342.57877933159801</v>
          </cell>
          <cell r="I1000">
            <v>13</v>
          </cell>
          <cell r="J1000">
            <v>1.4652670705055899E-5</v>
          </cell>
          <cell r="K1000">
            <v>3588</v>
          </cell>
          <cell r="L1000">
            <v>6.5542350021692397E-2</v>
          </cell>
          <cell r="M1000">
            <v>3354</v>
          </cell>
          <cell r="N1000">
            <v>9.6239781285837302E-7</v>
          </cell>
          <cell r="O1000">
            <v>3593</v>
          </cell>
          <cell r="Q1000">
            <v>3041</v>
          </cell>
        </row>
        <row r="1001">
          <cell r="B1001" t="str">
            <v>EL CERRITO G 1112209865</v>
          </cell>
          <cell r="C1001">
            <v>12501112</v>
          </cell>
          <cell r="D1001" t="str">
            <v>EL CERRITO G 1112</v>
          </cell>
          <cell r="E1001">
            <v>209865</v>
          </cell>
          <cell r="F1001" t="b">
            <v>1</v>
          </cell>
          <cell r="G1001">
            <v>1489.5819898653899</v>
          </cell>
          <cell r="H1001">
            <v>423.01020430412302</v>
          </cell>
          <cell r="I1001">
            <v>11</v>
          </cell>
          <cell r="J1001">
            <v>2.1414827006083198E-5</v>
          </cell>
          <cell r="K1001">
            <v>3529</v>
          </cell>
          <cell r="L1001">
            <v>6.5497422760183097E-2</v>
          </cell>
          <cell r="M1001">
            <v>3369</v>
          </cell>
          <cell r="N1001">
            <v>1.4074262295469999E-6</v>
          </cell>
          <cell r="O1001">
            <v>3556</v>
          </cell>
          <cell r="Q1001">
            <v>3125</v>
          </cell>
        </row>
        <row r="1002">
          <cell r="B1002" t="str">
            <v>EL CERRITO G 1112418480</v>
          </cell>
          <cell r="C1002">
            <v>12501112</v>
          </cell>
          <cell r="D1002" t="str">
            <v>EL CERRITO G 1112</v>
          </cell>
          <cell r="E1002">
            <v>418480</v>
          </cell>
          <cell r="F1002" t="b">
            <v>0</v>
          </cell>
          <cell r="G1002">
            <v>1216.9885442109501</v>
          </cell>
          <cell r="H1002">
            <v>1216.9885442109501</v>
          </cell>
          <cell r="I1002">
            <v>13</v>
          </cell>
          <cell r="J1002">
            <v>1.05486494178946E-4</v>
          </cell>
          <cell r="K1002">
            <v>1506</v>
          </cell>
          <cell r="L1002">
            <v>5.5937197605686197</v>
          </cell>
          <cell r="M1002">
            <v>2726</v>
          </cell>
          <cell r="N1002">
            <v>5.4639818469415496E-4</v>
          </cell>
          <cell r="O1002">
            <v>2724</v>
          </cell>
          <cell r="Q1002">
            <v>3256</v>
          </cell>
        </row>
        <row r="1003">
          <cell r="B1003" t="str">
            <v>EL CERRITO G 111257953</v>
          </cell>
          <cell r="C1003">
            <v>12501112</v>
          </cell>
          <cell r="D1003" t="str">
            <v>EL CERRITO G 1112</v>
          </cell>
          <cell r="E1003">
            <v>57953</v>
          </cell>
          <cell r="F1003" t="b">
            <v>1</v>
          </cell>
          <cell r="G1003">
            <v>1217.1907284253</v>
          </cell>
          <cell r="H1003">
            <v>353.27688562994098</v>
          </cell>
          <cell r="I1003">
            <v>11</v>
          </cell>
          <cell r="J1003">
            <v>3.1167572888080001E-5</v>
          </cell>
          <cell r="K1003">
            <v>3413</v>
          </cell>
          <cell r="L1003">
            <v>6.5497422760183097E-2</v>
          </cell>
          <cell r="M1003">
            <v>3370</v>
          </cell>
          <cell r="N1003">
            <v>2.0514634210293899E-6</v>
          </cell>
          <cell r="O1003">
            <v>3506</v>
          </cell>
          <cell r="P1003">
            <v>0.34</v>
          </cell>
          <cell r="Q1003">
            <v>977</v>
          </cell>
        </row>
        <row r="1004">
          <cell r="B1004" t="str">
            <v>EL CERRITO G 1112779030</v>
          </cell>
          <cell r="C1004">
            <v>12501112</v>
          </cell>
          <cell r="D1004" t="str">
            <v>EL CERRITO G 1112</v>
          </cell>
          <cell r="E1004">
            <v>779030</v>
          </cell>
          <cell r="F1004" t="b">
            <v>1</v>
          </cell>
          <cell r="G1004">
            <v>1061.9420250711501</v>
          </cell>
          <cell r="H1004">
            <v>827.47588974030896</v>
          </cell>
          <cell r="I1004">
            <v>11</v>
          </cell>
          <cell r="J1004">
            <v>7.3516190075844596E-5</v>
          </cell>
          <cell r="K1004">
            <v>2383</v>
          </cell>
          <cell r="L1004">
            <v>6.6315098919651705E-2</v>
          </cell>
          <cell r="M1004">
            <v>3145</v>
          </cell>
          <cell r="N1004">
            <v>4.8809791575811502E-6</v>
          </cell>
          <cell r="O1004">
            <v>3272</v>
          </cell>
          <cell r="Q1004">
            <v>3224</v>
          </cell>
        </row>
        <row r="1005">
          <cell r="B1005" t="str">
            <v>EL CERRITO G 1112BR178</v>
          </cell>
          <cell r="C1005">
            <v>12501112</v>
          </cell>
          <cell r="D1005" t="str">
            <v>EL CERRITO G 1112</v>
          </cell>
          <cell r="E1005" t="str">
            <v>BR178</v>
          </cell>
          <cell r="F1005" t="b">
            <v>1</v>
          </cell>
          <cell r="G1005">
            <v>10667.160073819699</v>
          </cell>
          <cell r="H1005">
            <v>48.200259645947497</v>
          </cell>
          <cell r="I1005">
            <v>93</v>
          </cell>
          <cell r="J1005">
            <v>4.8049636376702799E-5</v>
          </cell>
          <cell r="K1005">
            <v>3092</v>
          </cell>
          <cell r="L1005">
            <v>6.51613611258864E-2</v>
          </cell>
          <cell r="M1005">
            <v>3553</v>
          </cell>
          <cell r="N1005">
            <v>3.1308884696004201E-6</v>
          </cell>
          <cell r="O1005">
            <v>3397</v>
          </cell>
          <cell r="P1005">
            <v>0.24</v>
          </cell>
          <cell r="Q1005">
            <v>1105</v>
          </cell>
        </row>
        <row r="1006">
          <cell r="B1006" t="str">
            <v>EL CERRITO G 1112BR180</v>
          </cell>
          <cell r="C1006">
            <v>12501112</v>
          </cell>
          <cell r="D1006" t="str">
            <v>EL CERRITO G 1112</v>
          </cell>
          <cell r="E1006" t="str">
            <v>BR180</v>
          </cell>
          <cell r="F1006" t="b">
            <v>1</v>
          </cell>
          <cell r="G1006">
            <v>3108.62760102018</v>
          </cell>
          <cell r="H1006">
            <v>675.07123573994397</v>
          </cell>
          <cell r="I1006">
            <v>25</v>
          </cell>
          <cell r="J1006">
            <v>2.8140343878792702E-5</v>
          </cell>
          <cell r="K1006">
            <v>3456</v>
          </cell>
          <cell r="L1006">
            <v>6.5506767630577001E-2</v>
          </cell>
          <cell r="M1006">
            <v>3367</v>
          </cell>
          <cell r="N1006">
            <v>1.85126198405225E-6</v>
          </cell>
          <cell r="O1006">
            <v>3524</v>
          </cell>
          <cell r="P1006">
            <v>3.92</v>
          </cell>
          <cell r="Q1006">
            <v>531</v>
          </cell>
        </row>
        <row r="1007">
          <cell r="B1007" t="str">
            <v>EL CERRITO G 1112BR196</v>
          </cell>
          <cell r="C1007">
            <v>12501112</v>
          </cell>
          <cell r="D1007" t="str">
            <v>EL CERRITO G 1112</v>
          </cell>
          <cell r="E1007" t="str">
            <v>BR196</v>
          </cell>
          <cell r="F1007" t="b">
            <v>1</v>
          </cell>
          <cell r="G1007">
            <v>5817.7227533811702</v>
          </cell>
          <cell r="H1007">
            <v>0</v>
          </cell>
          <cell r="I1007">
            <v>51</v>
          </cell>
          <cell r="J1007">
            <v>3.2633446849974799E-5</v>
          </cell>
          <cell r="K1007">
            <v>3391</v>
          </cell>
          <cell r="L1007">
            <v>6.5172184623923907E-2</v>
          </cell>
          <cell r="M1007">
            <v>3540</v>
          </cell>
          <cell r="N1007">
            <v>2.1269797363599601E-6</v>
          </cell>
          <cell r="O1007">
            <v>3500</v>
          </cell>
          <cell r="P1007">
            <v>0.05</v>
          </cell>
          <cell r="Q1007">
            <v>1940</v>
          </cell>
        </row>
        <row r="1008">
          <cell r="B1008" t="str">
            <v>EL CERRITO G 1113CB</v>
          </cell>
          <cell r="C1008">
            <v>12501113</v>
          </cell>
          <cell r="D1008" t="str">
            <v>EL CERRITO G 1113</v>
          </cell>
          <cell r="E1008" t="str">
            <v>CB</v>
          </cell>
          <cell r="F1008" t="b">
            <v>1</v>
          </cell>
          <cell r="G1008">
            <v>6943.4772110821896</v>
          </cell>
          <cell r="H1008">
            <v>158.17493507191901</v>
          </cell>
          <cell r="I1008">
            <v>63</v>
          </cell>
          <cell r="J1008">
            <v>1.40572995891928E-5</v>
          </cell>
          <cell r="K1008">
            <v>3592</v>
          </cell>
          <cell r="L1008">
            <v>6.52081767717997E-2</v>
          </cell>
          <cell r="M1008">
            <v>3508</v>
          </cell>
          <cell r="N1008">
            <v>9.1814025495838904E-7</v>
          </cell>
          <cell r="O1008">
            <v>3597</v>
          </cell>
          <cell r="P1008">
            <v>0.06</v>
          </cell>
          <cell r="Q1008">
            <v>1787</v>
          </cell>
        </row>
        <row r="1009">
          <cell r="B1009" t="str">
            <v>EL DORADO PH 210113532</v>
          </cell>
          <cell r="C1009">
            <v>152762101</v>
          </cell>
          <cell r="D1009" t="str">
            <v>EL DORADO PH 2101</v>
          </cell>
          <cell r="E1009">
            <v>13532</v>
          </cell>
          <cell r="F1009" t="b">
            <v>0</v>
          </cell>
          <cell r="G1009">
            <v>8576.7797675430302</v>
          </cell>
          <cell r="H1009">
            <v>8576.7797675430302</v>
          </cell>
          <cell r="I1009">
            <v>46</v>
          </cell>
          <cell r="J1009">
            <v>9.9879510304637397E-5</v>
          </cell>
          <cell r="K1009">
            <v>1652</v>
          </cell>
          <cell r="L1009">
            <v>99.301585440779803</v>
          </cell>
          <cell r="M1009">
            <v>1956</v>
          </cell>
          <cell r="N1009">
            <v>9.6754263569324307E-3</v>
          </cell>
          <cell r="O1009">
            <v>1974</v>
          </cell>
          <cell r="P1009">
            <v>0</v>
          </cell>
          <cell r="Q1009">
            <v>2625</v>
          </cell>
        </row>
        <row r="1010">
          <cell r="B1010" t="str">
            <v>EL DORADO PH 210119612</v>
          </cell>
          <cell r="C1010">
            <v>152762101</v>
          </cell>
          <cell r="D1010" t="str">
            <v>EL DORADO PH 2101</v>
          </cell>
          <cell r="E1010">
            <v>19612</v>
          </cell>
          <cell r="F1010" t="b">
            <v>0</v>
          </cell>
          <cell r="G1010">
            <v>14689.1647002422</v>
          </cell>
          <cell r="H1010">
            <v>14689.1647002422</v>
          </cell>
          <cell r="I1010">
            <v>102</v>
          </cell>
          <cell r="J1010">
            <v>2.17985282206962E-4</v>
          </cell>
          <cell r="K1010">
            <v>328</v>
          </cell>
          <cell r="L1010">
            <v>33.636000513361097</v>
          </cell>
          <cell r="M1010">
            <v>2313</v>
          </cell>
          <cell r="N1010">
            <v>8.3743360540257106E-3</v>
          </cell>
          <cell r="O1010">
            <v>2037</v>
          </cell>
          <cell r="P1010">
            <v>36</v>
          </cell>
          <cell r="Q1010">
            <v>208</v>
          </cell>
        </row>
        <row r="1011">
          <cell r="B1011" t="str">
            <v>EL DORADO PH 210119752</v>
          </cell>
          <cell r="C1011">
            <v>152762101</v>
          </cell>
          <cell r="D1011" t="str">
            <v>EL DORADO PH 2101</v>
          </cell>
          <cell r="E1011">
            <v>19752</v>
          </cell>
          <cell r="F1011" t="b">
            <v>0</v>
          </cell>
          <cell r="G1011">
            <v>58764.731755429799</v>
          </cell>
          <cell r="H1011">
            <v>58764.731755429799</v>
          </cell>
          <cell r="I1011">
            <v>436</v>
          </cell>
          <cell r="J1011">
            <v>1.72256847183595E-4</v>
          </cell>
          <cell r="K1011">
            <v>548</v>
          </cell>
          <cell r="L1011">
            <v>104.62558591987199</v>
          </cell>
          <cell r="M1011">
            <v>1929</v>
          </cell>
          <cell r="N1011">
            <v>1.03003147835471E-2</v>
          </cell>
          <cell r="O1011">
            <v>1946</v>
          </cell>
          <cell r="P1011">
            <v>119.92</v>
          </cell>
          <cell r="Q1011">
            <v>12</v>
          </cell>
        </row>
        <row r="1012">
          <cell r="B1012" t="str">
            <v>EL DORADO PH 210126000</v>
          </cell>
          <cell r="C1012">
            <v>152762101</v>
          </cell>
          <cell r="D1012" t="str">
            <v>EL DORADO PH 2101</v>
          </cell>
          <cell r="E1012">
            <v>26000</v>
          </cell>
          <cell r="F1012" t="b">
            <v>0</v>
          </cell>
          <cell r="G1012">
            <v>55311.570486925302</v>
          </cell>
          <cell r="H1012">
            <v>55311.570486925302</v>
          </cell>
          <cell r="I1012">
            <v>339</v>
          </cell>
          <cell r="J1012">
            <v>1.0511446795372699E-4</v>
          </cell>
          <cell r="K1012">
            <v>1521</v>
          </cell>
          <cell r="L1012">
            <v>49.719560708172502</v>
          </cell>
          <cell r="M1012">
            <v>2212</v>
          </cell>
          <cell r="N1012">
            <v>4.1222351964230698E-3</v>
          </cell>
          <cell r="O1012">
            <v>2252</v>
          </cell>
          <cell r="P1012">
            <v>73.150000000000006</v>
          </cell>
          <cell r="Q1012">
            <v>63</v>
          </cell>
        </row>
        <row r="1013">
          <cell r="B1013" t="str">
            <v>EL DORADO PH 210136764</v>
          </cell>
          <cell r="C1013">
            <v>152762101</v>
          </cell>
          <cell r="D1013" t="str">
            <v>EL DORADO PH 2101</v>
          </cell>
          <cell r="E1013">
            <v>36764</v>
          </cell>
          <cell r="F1013" t="b">
            <v>0</v>
          </cell>
          <cell r="G1013">
            <v>7038.6749123927802</v>
          </cell>
          <cell r="H1013">
            <v>5034.5882464872102</v>
          </cell>
          <cell r="I1013">
            <v>46</v>
          </cell>
          <cell r="J1013">
            <v>4.6589675113627102E-5</v>
          </cell>
          <cell r="K1013">
            <v>3123</v>
          </cell>
          <cell r="L1013">
            <v>107.377195336025</v>
          </cell>
          <cell r="M1013">
            <v>1922</v>
          </cell>
          <cell r="N1013">
            <v>7.4941383621218403E-3</v>
          </cell>
          <cell r="O1013">
            <v>2075</v>
          </cell>
          <cell r="P1013">
            <v>0</v>
          </cell>
          <cell r="Q1013">
            <v>2633</v>
          </cell>
        </row>
        <row r="1014">
          <cell r="B1014" t="str">
            <v>EL DORADO PH 210152456</v>
          </cell>
          <cell r="C1014">
            <v>152762101</v>
          </cell>
          <cell r="D1014" t="str">
            <v>EL DORADO PH 2101</v>
          </cell>
          <cell r="E1014">
            <v>52456</v>
          </cell>
          <cell r="F1014" t="b">
            <v>0</v>
          </cell>
          <cell r="G1014">
            <v>16414.575977465902</v>
          </cell>
          <cell r="H1014">
            <v>16414.575977465902</v>
          </cell>
          <cell r="I1014">
            <v>96</v>
          </cell>
          <cell r="J1014">
            <v>1.3704091998079001E-4</v>
          </cell>
          <cell r="K1014">
            <v>907</v>
          </cell>
          <cell r="L1014">
            <v>96.428814983332103</v>
          </cell>
          <cell r="M1014">
            <v>1977</v>
          </cell>
          <cell r="N1014">
            <v>9.7493187913960805E-3</v>
          </cell>
          <cell r="O1014">
            <v>1969</v>
          </cell>
          <cell r="P1014">
            <v>0.06</v>
          </cell>
          <cell r="Q1014">
            <v>1899</v>
          </cell>
        </row>
        <row r="1015">
          <cell r="B1015" t="str">
            <v>EL DORADO PH 210163464</v>
          </cell>
          <cell r="C1015">
            <v>152762101</v>
          </cell>
          <cell r="D1015" t="str">
            <v>EL DORADO PH 2101</v>
          </cell>
          <cell r="E1015">
            <v>63464</v>
          </cell>
          <cell r="F1015" t="b">
            <v>0</v>
          </cell>
          <cell r="G1015">
            <v>21920.8691922451</v>
          </cell>
          <cell r="H1015">
            <v>21920.8691922451</v>
          </cell>
          <cell r="I1015">
            <v>70</v>
          </cell>
          <cell r="J1015">
            <v>1.21366408891027E-4</v>
          </cell>
          <cell r="K1015">
            <v>1160</v>
          </cell>
          <cell r="L1015">
            <v>659.62756839870497</v>
          </cell>
          <cell r="M1015">
            <v>1053</v>
          </cell>
          <cell r="N1015">
            <v>5.3560139820527299E-2</v>
          </cell>
          <cell r="O1015">
            <v>1138</v>
          </cell>
          <cell r="P1015">
            <v>0.13</v>
          </cell>
          <cell r="Q1015">
            <v>1359</v>
          </cell>
        </row>
        <row r="1016">
          <cell r="B1016" t="str">
            <v>EL DORADO PH 2101668674</v>
          </cell>
          <cell r="C1016">
            <v>152762101</v>
          </cell>
          <cell r="D1016" t="str">
            <v>EL DORADO PH 2101</v>
          </cell>
          <cell r="E1016">
            <v>668674</v>
          </cell>
          <cell r="F1016" t="b">
            <v>0</v>
          </cell>
          <cell r="G1016">
            <v>15298.654883487199</v>
          </cell>
          <cell r="H1016">
            <v>15298.654883487199</v>
          </cell>
          <cell r="I1016">
            <v>112</v>
          </cell>
          <cell r="J1016">
            <v>2.48687181574332E-4</v>
          </cell>
          <cell r="K1016">
            <v>220</v>
          </cell>
          <cell r="L1016">
            <v>8.55592579722747</v>
          </cell>
          <cell r="M1016">
            <v>2654</v>
          </cell>
          <cell r="N1016">
            <v>1.4288758475601601E-3</v>
          </cell>
          <cell r="O1016">
            <v>2569</v>
          </cell>
          <cell r="Q1016">
            <v>2801</v>
          </cell>
        </row>
        <row r="1017">
          <cell r="B1017" t="str">
            <v>EL DORADO PH 21016852</v>
          </cell>
          <cell r="C1017">
            <v>152762101</v>
          </cell>
          <cell r="D1017" t="str">
            <v>EL DORADO PH 2101</v>
          </cell>
          <cell r="E1017">
            <v>6852</v>
          </cell>
          <cell r="F1017" t="b">
            <v>0</v>
          </cell>
          <cell r="G1017">
            <v>40624.272686910001</v>
          </cell>
          <cell r="H1017">
            <v>40624.272686910001</v>
          </cell>
          <cell r="I1017">
            <v>309</v>
          </cell>
          <cell r="J1017">
            <v>1.54166728023412E-4</v>
          </cell>
          <cell r="K1017">
            <v>703</v>
          </cell>
          <cell r="L1017">
            <v>140.823763563673</v>
          </cell>
          <cell r="M1017">
            <v>1808</v>
          </cell>
          <cell r="N1017">
            <v>8.5288550220799699E-3</v>
          </cell>
          <cell r="O1017">
            <v>2028</v>
          </cell>
          <cell r="P1017">
            <v>106.87</v>
          </cell>
          <cell r="Q1017">
            <v>16</v>
          </cell>
        </row>
        <row r="1018">
          <cell r="B1018" t="str">
            <v>EL DORADO PH 21019759</v>
          </cell>
          <cell r="C1018">
            <v>152762101</v>
          </cell>
          <cell r="D1018" t="str">
            <v>EL DORADO PH 2101</v>
          </cell>
          <cell r="E1018">
            <v>9759</v>
          </cell>
          <cell r="F1018" t="b">
            <v>0</v>
          </cell>
          <cell r="G1018">
            <v>4110.5785718638099</v>
          </cell>
          <cell r="H1018">
            <v>4110.5785718638099</v>
          </cell>
          <cell r="I1018">
            <v>32</v>
          </cell>
          <cell r="J1018">
            <v>1.5885563029329299E-4</v>
          </cell>
          <cell r="K1018">
            <v>653</v>
          </cell>
          <cell r="L1018">
            <v>4.5245299248656403</v>
          </cell>
          <cell r="M1018">
            <v>2765</v>
          </cell>
          <cell r="N1018">
            <v>4.3105650178112102E-4</v>
          </cell>
          <cell r="O1018">
            <v>2755</v>
          </cell>
          <cell r="Q1018">
            <v>2867</v>
          </cell>
        </row>
        <row r="1019">
          <cell r="B1019" t="str">
            <v>EL DORADO PH 2101CB</v>
          </cell>
          <cell r="C1019">
            <v>152762101</v>
          </cell>
          <cell r="D1019" t="str">
            <v>EL DORADO PH 2101</v>
          </cell>
          <cell r="E1019" t="str">
            <v>CB</v>
          </cell>
          <cell r="F1019" t="b">
            <v>0</v>
          </cell>
          <cell r="G1019">
            <v>11999.450482459401</v>
          </cell>
          <cell r="H1019">
            <v>11999.450482459401</v>
          </cell>
          <cell r="I1019">
            <v>74</v>
          </cell>
          <cell r="J1019">
            <v>1.3447566409810599E-4</v>
          </cell>
          <cell r="K1019">
            <v>935</v>
          </cell>
          <cell r="L1019">
            <v>29.3004029428187</v>
          </cell>
          <cell r="M1019">
            <v>2350</v>
          </cell>
          <cell r="N1019">
            <v>4.1405793900003698E-3</v>
          </cell>
          <cell r="O1019">
            <v>2250</v>
          </cell>
          <cell r="P1019">
            <v>69.290000000000006</v>
          </cell>
          <cell r="Q1019">
            <v>70</v>
          </cell>
        </row>
        <row r="1020">
          <cell r="B1020" t="str">
            <v>EL DORADO PH 210219542</v>
          </cell>
          <cell r="C1020">
            <v>152762102</v>
          </cell>
          <cell r="D1020" t="str">
            <v>EL DORADO PH 2102</v>
          </cell>
          <cell r="E1020">
            <v>19542</v>
          </cell>
          <cell r="F1020" t="b">
            <v>0</v>
          </cell>
          <cell r="G1020">
            <v>15319.577414302599</v>
          </cell>
          <cell r="H1020">
            <v>15319.577414302599</v>
          </cell>
          <cell r="I1020">
            <v>111</v>
          </cell>
          <cell r="J1020">
            <v>2.4603441209995801E-4</v>
          </cell>
          <cell r="K1020">
            <v>231</v>
          </cell>
          <cell r="L1020">
            <v>13.9870601717853</v>
          </cell>
          <cell r="M1020">
            <v>2550</v>
          </cell>
          <cell r="N1020">
            <v>1.73738283329041E-3</v>
          </cell>
          <cell r="O1020">
            <v>2512</v>
          </cell>
          <cell r="P1020">
            <v>87.42</v>
          </cell>
          <cell r="Q1020">
            <v>37</v>
          </cell>
        </row>
        <row r="1021">
          <cell r="B1021" t="str">
            <v>EL DORADO PH 210219562</v>
          </cell>
          <cell r="C1021">
            <v>152762102</v>
          </cell>
          <cell r="D1021" t="str">
            <v>EL DORADO PH 2102</v>
          </cell>
          <cell r="E1021">
            <v>19562</v>
          </cell>
          <cell r="F1021" t="b">
            <v>0</v>
          </cell>
          <cell r="G1021">
            <v>11663.89644877</v>
          </cell>
          <cell r="H1021">
            <v>11663.89644877</v>
          </cell>
          <cell r="I1021">
            <v>98</v>
          </cell>
          <cell r="J1021">
            <v>2.1831556971716999E-4</v>
          </cell>
          <cell r="K1021">
            <v>327</v>
          </cell>
          <cell r="L1021">
            <v>6.6431305302790705E-2</v>
          </cell>
          <cell r="M1021">
            <v>3051</v>
          </cell>
          <cell r="N1021">
            <v>1.45029882642341E-5</v>
          </cell>
          <cell r="O1021">
            <v>3014</v>
          </cell>
          <cell r="P1021">
            <v>80.06</v>
          </cell>
          <cell r="Q1021">
            <v>48</v>
          </cell>
        </row>
        <row r="1022">
          <cell r="B1022" t="str">
            <v>EL DORADO PH 2102542272</v>
          </cell>
          <cell r="C1022">
            <v>152762102</v>
          </cell>
          <cell r="D1022" t="str">
            <v>EL DORADO PH 2102</v>
          </cell>
          <cell r="E1022">
            <v>542272</v>
          </cell>
          <cell r="F1022" t="b">
            <v>0</v>
          </cell>
          <cell r="G1022">
            <v>12585.3616434909</v>
          </cell>
          <cell r="H1022">
            <v>12585.3616434909</v>
          </cell>
          <cell r="I1022">
            <v>80</v>
          </cell>
          <cell r="J1022">
            <v>1.84858130023712E-4</v>
          </cell>
          <cell r="K1022">
            <v>474</v>
          </cell>
          <cell r="L1022">
            <v>31.563728937226099</v>
          </cell>
          <cell r="M1022">
            <v>2334</v>
          </cell>
          <cell r="N1022">
            <v>9.0446486820982396E-3</v>
          </cell>
          <cell r="O1022">
            <v>2000</v>
          </cell>
          <cell r="Q1022">
            <v>2940</v>
          </cell>
        </row>
        <row r="1023">
          <cell r="B1023" t="str">
            <v>EL DORADO PH 21026645</v>
          </cell>
          <cell r="C1023">
            <v>152762102</v>
          </cell>
          <cell r="D1023" t="str">
            <v>EL DORADO PH 2102</v>
          </cell>
          <cell r="E1023">
            <v>6645</v>
          </cell>
          <cell r="F1023" t="b">
            <v>0</v>
          </cell>
          <cell r="G1023">
            <v>6787.3604233224996</v>
          </cell>
          <cell r="H1023">
            <v>6787.3604233224996</v>
          </cell>
          <cell r="I1023">
            <v>52</v>
          </cell>
          <cell r="J1023">
            <v>9.5315577388699994E-5</v>
          </cell>
          <cell r="K1023">
            <v>1753</v>
          </cell>
          <cell r="L1023">
            <v>25.667477814181598</v>
          </cell>
          <cell r="M1023">
            <v>2386</v>
          </cell>
          <cell r="N1023">
            <v>2.0867772283992099E-3</v>
          </cell>
          <cell r="O1023">
            <v>2469</v>
          </cell>
          <cell r="P1023">
            <v>54.01</v>
          </cell>
          <cell r="Q1023">
            <v>109</v>
          </cell>
        </row>
        <row r="1024">
          <cell r="B1024" t="str">
            <v>EL DORADO PH 2102CB</v>
          </cell>
          <cell r="C1024">
            <v>152762102</v>
          </cell>
          <cell r="D1024" t="str">
            <v>EL DORADO PH 2102</v>
          </cell>
          <cell r="E1024" t="str">
            <v>CB</v>
          </cell>
          <cell r="F1024" t="b">
            <v>0</v>
          </cell>
          <cell r="G1024">
            <v>8918.2943340652</v>
          </cell>
          <cell r="H1024">
            <v>8918.2943340652</v>
          </cell>
          <cell r="I1024">
            <v>46</v>
          </cell>
          <cell r="J1024">
            <v>2.3567777727452101E-4</v>
          </cell>
          <cell r="K1024">
            <v>259</v>
          </cell>
          <cell r="L1024">
            <v>2.1334385922591301</v>
          </cell>
          <cell r="M1024">
            <v>2835</v>
          </cell>
          <cell r="N1024">
            <v>5.1721978695948203E-4</v>
          </cell>
          <cell r="O1024">
            <v>2732</v>
          </cell>
          <cell r="P1024">
            <v>44.97</v>
          </cell>
          <cell r="Q1024">
            <v>153</v>
          </cell>
        </row>
        <row r="1025">
          <cell r="B1025" t="str">
            <v>ELECTRA 11011238</v>
          </cell>
          <cell r="C1025">
            <v>162161101</v>
          </cell>
          <cell r="D1025" t="str">
            <v>ELECTRA 1101</v>
          </cell>
          <cell r="E1025">
            <v>1238</v>
          </cell>
          <cell r="F1025" t="b">
            <v>0</v>
          </cell>
          <cell r="G1025">
            <v>11344.076722907001</v>
          </cell>
          <cell r="H1025">
            <v>5824.67401757876</v>
          </cell>
          <cell r="I1025">
            <v>81</v>
          </cell>
          <cell r="J1025">
            <v>1.07727853182838E-4</v>
          </cell>
          <cell r="K1025">
            <v>1458</v>
          </cell>
          <cell r="L1025">
            <v>597.35496107403799</v>
          </cell>
          <cell r="M1025">
            <v>1103</v>
          </cell>
          <cell r="N1025">
            <v>3.6430589414774402E-2</v>
          </cell>
          <cell r="O1025">
            <v>1346</v>
          </cell>
          <cell r="P1025">
            <v>1.29</v>
          </cell>
          <cell r="Q1025">
            <v>689</v>
          </cell>
        </row>
        <row r="1026">
          <cell r="B1026" t="str">
            <v>ELECTRA 110136816</v>
          </cell>
          <cell r="C1026">
            <v>162161101</v>
          </cell>
          <cell r="D1026" t="str">
            <v>ELECTRA 1101</v>
          </cell>
          <cell r="E1026">
            <v>36816</v>
          </cell>
          <cell r="F1026" t="b">
            <v>0</v>
          </cell>
          <cell r="G1026">
            <v>8023.9265819890497</v>
          </cell>
          <cell r="H1026">
            <v>8023.9265819890497</v>
          </cell>
          <cell r="I1026">
            <v>60</v>
          </cell>
          <cell r="J1026">
            <v>1.24752255396742E-4</v>
          </cell>
          <cell r="K1026">
            <v>1102</v>
          </cell>
          <cell r="L1026">
            <v>139.95415920609099</v>
          </cell>
          <cell r="M1026">
            <v>1810</v>
          </cell>
          <cell r="N1026">
            <v>1.76252953572783E-2</v>
          </cell>
          <cell r="O1026">
            <v>1720</v>
          </cell>
          <cell r="P1026">
            <v>0.09</v>
          </cell>
          <cell r="Q1026">
            <v>1516</v>
          </cell>
        </row>
        <row r="1027">
          <cell r="B1027" t="str">
            <v>ELECTRA 110161816</v>
          </cell>
          <cell r="C1027">
            <v>162161101</v>
          </cell>
          <cell r="D1027" t="str">
            <v>ELECTRA 1101</v>
          </cell>
          <cell r="E1027">
            <v>61816</v>
          </cell>
          <cell r="F1027" t="b">
            <v>0</v>
          </cell>
          <cell r="G1027">
            <v>37826.987442954502</v>
          </cell>
          <cell r="H1027">
            <v>37826.987442954502</v>
          </cell>
          <cell r="I1027">
            <v>228</v>
          </cell>
          <cell r="J1027">
            <v>9.0780587257074005E-5</v>
          </cell>
          <cell r="K1027">
            <v>1889</v>
          </cell>
          <cell r="L1027">
            <v>261.07620770841697</v>
          </cell>
          <cell r="M1027">
            <v>1521</v>
          </cell>
          <cell r="N1027">
            <v>2.43004383447014E-2</v>
          </cell>
          <cell r="O1027">
            <v>1571</v>
          </cell>
          <cell r="P1027">
            <v>0.1</v>
          </cell>
          <cell r="Q1027">
            <v>1458</v>
          </cell>
        </row>
        <row r="1028">
          <cell r="B1028" t="str">
            <v>ELECTRA 11017104</v>
          </cell>
          <cell r="C1028">
            <v>162161101</v>
          </cell>
          <cell r="D1028" t="str">
            <v>ELECTRA 1101</v>
          </cell>
          <cell r="E1028">
            <v>7104</v>
          </cell>
          <cell r="F1028" t="b">
            <v>0</v>
          </cell>
          <cell r="G1028">
            <v>19430.665182778299</v>
          </cell>
          <cell r="H1028">
            <v>19430.665182778299</v>
          </cell>
          <cell r="I1028">
            <v>148</v>
          </cell>
          <cell r="J1028">
            <v>1.15100556359794E-4</v>
          </cell>
          <cell r="K1028">
            <v>1296</v>
          </cell>
          <cell r="L1028">
            <v>163.53798770214999</v>
          </cell>
          <cell r="M1028">
            <v>1738</v>
          </cell>
          <cell r="N1028">
            <v>2.5301954458364698E-2</v>
          </cell>
          <cell r="O1028">
            <v>1548</v>
          </cell>
          <cell r="P1028">
            <v>13.46</v>
          </cell>
          <cell r="Q1028">
            <v>365</v>
          </cell>
        </row>
        <row r="1029">
          <cell r="B1029" t="str">
            <v>ELECTRA 1101CB</v>
          </cell>
          <cell r="C1029">
            <v>162161101</v>
          </cell>
          <cell r="D1029" t="str">
            <v>ELECTRA 1101</v>
          </cell>
          <cell r="E1029" t="str">
            <v>CB</v>
          </cell>
          <cell r="F1029" t="b">
            <v>0</v>
          </cell>
          <cell r="G1029">
            <v>50985.834918205903</v>
          </cell>
          <cell r="H1029">
            <v>50985.834918205903</v>
          </cell>
          <cell r="I1029">
            <v>293</v>
          </cell>
          <cell r="J1029">
            <v>8.4763573714792797E-5</v>
          </cell>
          <cell r="K1029">
            <v>2072</v>
          </cell>
          <cell r="L1029">
            <v>750.58237937404294</v>
          </cell>
          <cell r="M1029">
            <v>974</v>
          </cell>
          <cell r="N1029">
            <v>5.7410453696393401E-2</v>
          </cell>
          <cell r="O1029">
            <v>1088</v>
          </cell>
          <cell r="P1029">
            <v>0.1</v>
          </cell>
          <cell r="Q1029">
            <v>1456</v>
          </cell>
        </row>
        <row r="1030">
          <cell r="B1030" t="str">
            <v>ELECTRA 1101L1697</v>
          </cell>
          <cell r="C1030">
            <v>162161101</v>
          </cell>
          <cell r="D1030" t="str">
            <v>ELECTRA 1101</v>
          </cell>
          <cell r="E1030" t="str">
            <v>L1697</v>
          </cell>
          <cell r="F1030" t="b">
            <v>0</v>
          </cell>
          <cell r="G1030">
            <v>9283.5435018375592</v>
          </cell>
          <cell r="H1030">
            <v>9283.5435018375592</v>
          </cell>
          <cell r="I1030">
            <v>70</v>
          </cell>
          <cell r="J1030">
            <v>8.7848944895085803E-5</v>
          </cell>
          <cell r="K1030">
            <v>1988</v>
          </cell>
          <cell r="L1030">
            <v>45.901450370118901</v>
          </cell>
          <cell r="M1030">
            <v>2240</v>
          </cell>
          <cell r="N1030">
            <v>3.0207639160306598E-3</v>
          </cell>
          <cell r="O1030">
            <v>2349</v>
          </cell>
          <cell r="P1030">
            <v>2.74</v>
          </cell>
          <cell r="Q1030">
            <v>585</v>
          </cell>
        </row>
        <row r="1031">
          <cell r="B1031" t="str">
            <v>ELECTRA 11024756</v>
          </cell>
          <cell r="C1031">
            <v>162161102</v>
          </cell>
          <cell r="D1031" t="str">
            <v>ELECTRA 1102</v>
          </cell>
          <cell r="E1031">
            <v>4756</v>
          </cell>
          <cell r="F1031" t="b">
            <v>0</v>
          </cell>
          <cell r="G1031">
            <v>18962.2338481519</v>
          </cell>
          <cell r="H1031">
            <v>15139.416536745801</v>
          </cell>
          <cell r="I1031">
            <v>95</v>
          </cell>
          <cell r="J1031">
            <v>1.4499702297861801E-4</v>
          </cell>
          <cell r="K1031">
            <v>802</v>
          </cell>
          <cell r="L1031">
            <v>459.02447304395798</v>
          </cell>
          <cell r="M1031">
            <v>1236</v>
          </cell>
          <cell r="N1031">
            <v>5.703216016288E-2</v>
          </cell>
          <cell r="O1031">
            <v>1095</v>
          </cell>
          <cell r="P1031">
            <v>0.05</v>
          </cell>
          <cell r="Q1031">
            <v>1943</v>
          </cell>
        </row>
        <row r="1032">
          <cell r="B1032" t="str">
            <v>ELECTRA 11026014</v>
          </cell>
          <cell r="C1032">
            <v>162161102</v>
          </cell>
          <cell r="D1032" t="str">
            <v>ELECTRA 1102</v>
          </cell>
          <cell r="E1032">
            <v>6014</v>
          </cell>
          <cell r="F1032" t="b">
            <v>0</v>
          </cell>
          <cell r="G1032">
            <v>8043.0217833489796</v>
          </cell>
          <cell r="H1032">
            <v>8043.0217833489796</v>
          </cell>
          <cell r="I1032">
            <v>50</v>
          </cell>
          <cell r="J1032">
            <v>1.2399926854413901E-4</v>
          </cell>
          <cell r="K1032">
            <v>1120</v>
          </cell>
          <cell r="L1032">
            <v>242.055397700573</v>
          </cell>
          <cell r="M1032">
            <v>1562</v>
          </cell>
          <cell r="N1032">
            <v>2.7926122314574E-2</v>
          </cell>
          <cell r="O1032">
            <v>1497</v>
          </cell>
          <cell r="P1032">
            <v>0.1</v>
          </cell>
          <cell r="Q1032">
            <v>1478</v>
          </cell>
        </row>
        <row r="1033">
          <cell r="B1033" t="str">
            <v>ELECTRA 1102CB</v>
          </cell>
          <cell r="C1033">
            <v>162161102</v>
          </cell>
          <cell r="D1033" t="str">
            <v>ELECTRA 1102</v>
          </cell>
          <cell r="E1033" t="str">
            <v>CB</v>
          </cell>
          <cell r="F1033" t="b">
            <v>0</v>
          </cell>
          <cell r="G1033">
            <v>4270.3268167115802</v>
          </cell>
          <cell r="H1033">
            <v>4270.3268167115802</v>
          </cell>
          <cell r="I1033">
            <v>7</v>
          </cell>
          <cell r="J1033">
            <v>2.38996746096139E-4</v>
          </cell>
          <cell r="K1033">
            <v>249</v>
          </cell>
          <cell r="L1033">
            <v>194.588124544903</v>
          </cell>
          <cell r="M1033">
            <v>1655</v>
          </cell>
          <cell r="N1033">
            <v>3.2515085151806698E-2</v>
          </cell>
          <cell r="O1033">
            <v>1414</v>
          </cell>
          <cell r="P1033">
            <v>0.03</v>
          </cell>
          <cell r="Q1033">
            <v>2354</v>
          </cell>
        </row>
        <row r="1034">
          <cell r="B1034" t="str">
            <v>ELK 11011260</v>
          </cell>
          <cell r="C1034">
            <v>42981101</v>
          </cell>
          <cell r="D1034" t="str">
            <v>ELK 1101</v>
          </cell>
          <cell r="E1034">
            <v>1260</v>
          </cell>
          <cell r="F1034" t="b">
            <v>0</v>
          </cell>
          <cell r="G1034">
            <v>25231.409993382102</v>
          </cell>
          <cell r="H1034">
            <v>25226.838014664201</v>
          </cell>
          <cell r="I1034">
            <v>120</v>
          </cell>
          <cell r="J1034">
            <v>9.4953191768985901E-5</v>
          </cell>
          <cell r="K1034">
            <v>1767</v>
          </cell>
          <cell r="L1034">
            <v>70.6215366565647</v>
          </cell>
          <cell r="M1034">
            <v>2091</v>
          </cell>
          <cell r="N1034">
            <v>7.8965938328302808E-3</v>
          </cell>
          <cell r="O1034">
            <v>2051</v>
          </cell>
          <cell r="P1034">
            <v>0.04</v>
          </cell>
          <cell r="Q1034">
            <v>2197</v>
          </cell>
        </row>
        <row r="1035">
          <cell r="B1035" t="str">
            <v>ELK 11011272</v>
          </cell>
          <cell r="C1035">
            <v>42981101</v>
          </cell>
          <cell r="D1035" t="str">
            <v>ELK 1101</v>
          </cell>
          <cell r="E1035">
            <v>1272</v>
          </cell>
          <cell r="F1035" t="b">
            <v>0</v>
          </cell>
          <cell r="G1035">
            <v>36077.8727575546</v>
          </cell>
          <cell r="H1035">
            <v>35548.516986682604</v>
          </cell>
          <cell r="I1035">
            <v>236</v>
          </cell>
          <cell r="J1035">
            <v>1.0151594085092499E-4</v>
          </cell>
          <cell r="K1035">
            <v>1616</v>
          </cell>
          <cell r="L1035">
            <v>17.649571019186201</v>
          </cell>
          <cell r="M1035">
            <v>2487</v>
          </cell>
          <cell r="N1035">
            <v>1.26805730106071E-3</v>
          </cell>
          <cell r="O1035">
            <v>2587</v>
          </cell>
          <cell r="P1035">
            <v>0.25</v>
          </cell>
          <cell r="Q1035">
            <v>1089</v>
          </cell>
        </row>
        <row r="1036">
          <cell r="B1036" t="str">
            <v>ELK 11011298</v>
          </cell>
          <cell r="C1036">
            <v>42981101</v>
          </cell>
          <cell r="D1036" t="str">
            <v>ELK 1101</v>
          </cell>
          <cell r="E1036">
            <v>1298</v>
          </cell>
          <cell r="F1036" t="b">
            <v>0</v>
          </cell>
          <cell r="G1036">
            <v>25951.450488931801</v>
          </cell>
          <cell r="H1036">
            <v>19969.5788259535</v>
          </cell>
          <cell r="I1036">
            <v>119</v>
          </cell>
          <cell r="J1036">
            <v>7.3622856162927196E-5</v>
          </cell>
          <cell r="K1036">
            <v>2376</v>
          </cell>
          <cell r="L1036">
            <v>48.642145530926697</v>
          </cell>
          <cell r="M1036">
            <v>2217</v>
          </cell>
          <cell r="N1036">
            <v>3.0233373694184299E-3</v>
          </cell>
          <cell r="O1036">
            <v>2347</v>
          </cell>
          <cell r="P1036">
            <v>0.03</v>
          </cell>
          <cell r="Q1036">
            <v>2376</v>
          </cell>
        </row>
        <row r="1037">
          <cell r="B1037" t="str">
            <v>ELK 11011300</v>
          </cell>
          <cell r="C1037">
            <v>42981101</v>
          </cell>
          <cell r="D1037" t="str">
            <v>ELK 1101</v>
          </cell>
          <cell r="E1037">
            <v>1300</v>
          </cell>
          <cell r="F1037" t="b">
            <v>0</v>
          </cell>
          <cell r="G1037">
            <v>15995.4515815123</v>
          </cell>
          <cell r="H1037">
            <v>5711.2619129888499</v>
          </cell>
          <cell r="I1037">
            <v>64</v>
          </cell>
          <cell r="J1037">
            <v>8.5201414197311499E-5</v>
          </cell>
          <cell r="K1037">
            <v>2052</v>
          </cell>
          <cell r="L1037">
            <v>259.45239058342997</v>
          </cell>
          <cell r="M1037">
            <v>1525</v>
          </cell>
          <cell r="N1037">
            <v>2.2609874324276701E-2</v>
          </cell>
          <cell r="O1037">
            <v>1613</v>
          </cell>
          <cell r="P1037">
            <v>0.01</v>
          </cell>
          <cell r="Q1037">
            <v>2613</v>
          </cell>
        </row>
        <row r="1038">
          <cell r="B1038" t="str">
            <v>ELK 1101311906</v>
          </cell>
          <cell r="C1038">
            <v>42981101</v>
          </cell>
          <cell r="D1038" t="str">
            <v>ELK 1101</v>
          </cell>
          <cell r="E1038">
            <v>311906</v>
          </cell>
          <cell r="F1038" t="b">
            <v>0</v>
          </cell>
          <cell r="G1038">
            <v>1528.1122311007</v>
          </cell>
          <cell r="H1038">
            <v>1112.44585186974</v>
          </cell>
          <cell r="I1038">
            <v>12</v>
          </cell>
          <cell r="J1038">
            <v>1.0711955383158001E-4</v>
          </cell>
          <cell r="K1038">
            <v>1471</v>
          </cell>
          <cell r="L1038">
            <v>200.11049394442199</v>
          </cell>
          <cell r="M1038">
            <v>1641</v>
          </cell>
          <cell r="N1038">
            <v>2.1675230551129802E-2</v>
          </cell>
          <cell r="O1038">
            <v>1636</v>
          </cell>
          <cell r="Q1038">
            <v>3445</v>
          </cell>
        </row>
        <row r="1039">
          <cell r="B1039" t="str">
            <v>ELK 11014628</v>
          </cell>
          <cell r="C1039">
            <v>42981101</v>
          </cell>
          <cell r="D1039" t="str">
            <v>ELK 1101</v>
          </cell>
          <cell r="E1039">
            <v>4628</v>
          </cell>
          <cell r="F1039" t="b">
            <v>0</v>
          </cell>
          <cell r="G1039">
            <v>6688.9792955706098</v>
          </cell>
          <cell r="H1039">
            <v>3975.7324028155999</v>
          </cell>
          <cell r="I1039">
            <v>54</v>
          </cell>
          <cell r="J1039">
            <v>7.9820647207034796E-5</v>
          </cell>
          <cell r="K1039">
            <v>2212</v>
          </cell>
          <cell r="L1039">
            <v>6.5813494386879098E-2</v>
          </cell>
          <cell r="M1039">
            <v>3262</v>
          </cell>
          <cell r="N1039">
            <v>5.2551204849948699E-6</v>
          </cell>
          <cell r="O1039">
            <v>3253</v>
          </cell>
          <cell r="P1039">
            <v>0.03</v>
          </cell>
          <cell r="Q1039">
            <v>2361</v>
          </cell>
        </row>
        <row r="1040">
          <cell r="B1040" t="str">
            <v>ELK 11018779</v>
          </cell>
          <cell r="C1040">
            <v>42981101</v>
          </cell>
          <cell r="D1040" t="str">
            <v>ELK 1101</v>
          </cell>
          <cell r="E1040">
            <v>8779</v>
          </cell>
          <cell r="F1040" t="b">
            <v>0</v>
          </cell>
          <cell r="G1040">
            <v>6865.41285141352</v>
          </cell>
          <cell r="H1040">
            <v>6865.41285141352</v>
          </cell>
          <cell r="I1040">
            <v>41</v>
          </cell>
          <cell r="J1040">
            <v>1.2002401774402701E-4</v>
          </cell>
          <cell r="K1040">
            <v>1187</v>
          </cell>
          <cell r="L1040">
            <v>1.80494757518244</v>
          </cell>
          <cell r="M1040">
            <v>2849</v>
          </cell>
          <cell r="N1040">
            <v>8.9792050263280094E-5</v>
          </cell>
          <cell r="O1040">
            <v>2880</v>
          </cell>
          <cell r="P1040">
            <v>0.05</v>
          </cell>
          <cell r="Q1040">
            <v>2060</v>
          </cell>
        </row>
        <row r="1041">
          <cell r="B1041" t="str">
            <v>ELK 1101900</v>
          </cell>
          <cell r="C1041">
            <v>42981101</v>
          </cell>
          <cell r="D1041" t="str">
            <v>ELK 1101</v>
          </cell>
          <cell r="E1041">
            <v>900</v>
          </cell>
          <cell r="F1041" t="b">
            <v>0</v>
          </cell>
          <cell r="G1041">
            <v>34419.946332883097</v>
          </cell>
          <cell r="H1041">
            <v>14125.547665026699</v>
          </cell>
          <cell r="I1041">
            <v>185</v>
          </cell>
          <cell r="J1041">
            <v>5.5461877661164403E-5</v>
          </cell>
          <cell r="K1041">
            <v>2901</v>
          </cell>
          <cell r="L1041">
            <v>228.34523404550899</v>
          </cell>
          <cell r="M1041">
            <v>1591</v>
          </cell>
          <cell r="N1041">
            <v>1.1858726162137401E-2</v>
          </cell>
          <cell r="O1041">
            <v>1888</v>
          </cell>
          <cell r="P1041">
            <v>0.01</v>
          </cell>
          <cell r="Q1041">
            <v>2598</v>
          </cell>
        </row>
        <row r="1042">
          <cell r="B1042" t="str">
            <v>ELK 110191336</v>
          </cell>
          <cell r="C1042">
            <v>42981101</v>
          </cell>
          <cell r="D1042" t="str">
            <v>ELK 1101</v>
          </cell>
          <cell r="E1042">
            <v>91336</v>
          </cell>
          <cell r="F1042" t="b">
            <v>0</v>
          </cell>
          <cell r="G1042">
            <v>13315.5221639417</v>
          </cell>
          <cell r="H1042">
            <v>12740.7114070679</v>
          </cell>
          <cell r="I1042">
            <v>78</v>
          </cell>
          <cell r="J1042">
            <v>8.28470459824669E-5</v>
          </cell>
          <cell r="K1042">
            <v>2135</v>
          </cell>
          <cell r="L1042">
            <v>14.0783912018821</v>
          </cell>
          <cell r="M1042">
            <v>2546</v>
          </cell>
          <cell r="N1042">
            <v>1.4969106762260001E-3</v>
          </cell>
          <cell r="O1042">
            <v>2558</v>
          </cell>
          <cell r="P1042">
            <v>0.04</v>
          </cell>
          <cell r="Q1042">
            <v>2153</v>
          </cell>
        </row>
        <row r="1043">
          <cell r="B1043" t="str">
            <v>ELK 1101CB</v>
          </cell>
          <cell r="C1043">
            <v>42981101</v>
          </cell>
          <cell r="D1043" t="str">
            <v>ELK 1101</v>
          </cell>
          <cell r="E1043" t="str">
            <v>CB</v>
          </cell>
          <cell r="F1043" t="b">
            <v>1</v>
          </cell>
          <cell r="G1043">
            <v>39.919788056041199</v>
          </cell>
          <cell r="H1043">
            <v>39.919788056041199</v>
          </cell>
          <cell r="I1043">
            <v>1</v>
          </cell>
          <cell r="J1043">
            <v>1.4439832011703399E-4</v>
          </cell>
          <cell r="K1043">
            <v>807</v>
          </cell>
          <cell r="L1043">
            <v>6.51475899323882E-2</v>
          </cell>
          <cell r="M1043">
            <v>3597</v>
          </cell>
          <cell r="N1043">
            <v>9.4072025459102603E-6</v>
          </cell>
          <cell r="O1043">
            <v>3082</v>
          </cell>
          <cell r="P1043">
            <v>0.01</v>
          </cell>
          <cell r="Q1043">
            <v>2574</v>
          </cell>
        </row>
        <row r="1044">
          <cell r="B1044" t="str">
            <v>ELK CREEK 11012002</v>
          </cell>
          <cell r="C1044">
            <v>102781101</v>
          </cell>
          <cell r="D1044" t="str">
            <v>ELK CREEK 1101</v>
          </cell>
          <cell r="E1044">
            <v>2002</v>
          </cell>
          <cell r="F1044" t="b">
            <v>0</v>
          </cell>
          <cell r="G1044">
            <v>48391.759318502998</v>
          </cell>
          <cell r="H1044">
            <v>35045.772870807203</v>
          </cell>
          <cell r="I1044">
            <v>109</v>
          </cell>
          <cell r="J1044">
            <v>5.5059459246310599E-5</v>
          </cell>
          <cell r="K1044">
            <v>2908</v>
          </cell>
          <cell r="L1044">
            <v>4261.2834749077501</v>
          </cell>
          <cell r="M1044">
            <v>130</v>
          </cell>
          <cell r="N1044">
            <v>0.20472944224276701</v>
          </cell>
          <cell r="O1044">
            <v>315</v>
          </cell>
          <cell r="P1044">
            <v>0.05</v>
          </cell>
          <cell r="Q1044">
            <v>1965</v>
          </cell>
        </row>
        <row r="1045">
          <cell r="B1045" t="str">
            <v>ELK CREEK 11012004</v>
          </cell>
          <cell r="C1045">
            <v>102781101</v>
          </cell>
          <cell r="D1045" t="str">
            <v>ELK CREEK 1101</v>
          </cell>
          <cell r="E1045">
            <v>2004</v>
          </cell>
          <cell r="F1045" t="b">
            <v>0</v>
          </cell>
          <cell r="G1045">
            <v>86935.243107710907</v>
          </cell>
          <cell r="H1045">
            <v>40225.0600201337</v>
          </cell>
          <cell r="I1045">
            <v>174</v>
          </cell>
          <cell r="J1045">
            <v>5.0473334987003302E-5</v>
          </cell>
          <cell r="K1045">
            <v>3024</v>
          </cell>
          <cell r="L1045">
            <v>1960.2216030234399</v>
          </cell>
          <cell r="M1045">
            <v>462</v>
          </cell>
          <cell r="N1045">
            <v>8.5174917492537805E-2</v>
          </cell>
          <cell r="O1045">
            <v>862</v>
          </cell>
          <cell r="P1045">
            <v>0.02</v>
          </cell>
          <cell r="Q1045">
            <v>2549</v>
          </cell>
        </row>
        <row r="1046">
          <cell r="B1046" t="str">
            <v>ELK CREEK 11012008</v>
          </cell>
          <cell r="C1046">
            <v>102781101</v>
          </cell>
          <cell r="D1046" t="str">
            <v>ELK CREEK 1101</v>
          </cell>
          <cell r="E1046">
            <v>2008</v>
          </cell>
          <cell r="F1046" t="b">
            <v>0</v>
          </cell>
          <cell r="G1046">
            <v>29196.2282085406</v>
          </cell>
          <cell r="H1046">
            <v>9225.9589273977799</v>
          </cell>
          <cell r="I1046">
            <v>154</v>
          </cell>
          <cell r="J1046">
            <v>5.6038004105276802E-5</v>
          </cell>
          <cell r="K1046">
            <v>2886</v>
          </cell>
          <cell r="L1046">
            <v>2966.34450114638</v>
          </cell>
          <cell r="M1046">
            <v>274</v>
          </cell>
          <cell r="N1046">
            <v>0.14517323518165401</v>
          </cell>
          <cell r="O1046">
            <v>546</v>
          </cell>
          <cell r="P1046">
            <v>2.46</v>
          </cell>
          <cell r="Q1046">
            <v>601</v>
          </cell>
        </row>
        <row r="1047">
          <cell r="B1047" t="str">
            <v>ELK CREEK 11012032</v>
          </cell>
          <cell r="C1047">
            <v>102781101</v>
          </cell>
          <cell r="D1047" t="str">
            <v>ELK CREEK 1101</v>
          </cell>
          <cell r="E1047">
            <v>2032</v>
          </cell>
          <cell r="F1047" t="b">
            <v>0</v>
          </cell>
          <cell r="G1047">
            <v>15248.671298576301</v>
          </cell>
          <cell r="H1047">
            <v>14097.676047032601</v>
          </cell>
          <cell r="I1047">
            <v>52</v>
          </cell>
          <cell r="J1047">
            <v>6.4620699192221497E-5</v>
          </cell>
          <cell r="K1047">
            <v>2618</v>
          </cell>
          <cell r="L1047">
            <v>3297.36467007486</v>
          </cell>
          <cell r="M1047">
            <v>225</v>
          </cell>
          <cell r="N1047">
            <v>0.19236712966676001</v>
          </cell>
          <cell r="O1047">
            <v>360</v>
          </cell>
          <cell r="P1047">
            <v>0.06</v>
          </cell>
          <cell r="Q1047">
            <v>1841</v>
          </cell>
        </row>
        <row r="1048">
          <cell r="B1048" t="str">
            <v>ELK CREEK 11012106</v>
          </cell>
          <cell r="C1048">
            <v>102781101</v>
          </cell>
          <cell r="D1048" t="str">
            <v>ELK CREEK 1101</v>
          </cell>
          <cell r="E1048">
            <v>2106</v>
          </cell>
          <cell r="F1048" t="b">
            <v>0</v>
          </cell>
          <cell r="G1048">
            <v>21303.458147057401</v>
          </cell>
          <cell r="H1048">
            <v>21303.458147057401</v>
          </cell>
          <cell r="I1048">
            <v>67</v>
          </cell>
          <cell r="J1048">
            <v>3.77520804022424E-5</v>
          </cell>
          <cell r="K1048">
            <v>3302</v>
          </cell>
          <cell r="L1048">
            <v>5722.5440582405399</v>
          </cell>
          <cell r="M1048">
            <v>40</v>
          </cell>
          <cell r="N1048">
            <v>0.19610204009422499</v>
          </cell>
          <cell r="O1048">
            <v>340</v>
          </cell>
          <cell r="P1048">
            <v>0.03</v>
          </cell>
          <cell r="Q1048">
            <v>2286</v>
          </cell>
        </row>
        <row r="1049">
          <cell r="B1049" t="str">
            <v>ELK CREEK 11012212</v>
          </cell>
          <cell r="C1049">
            <v>102781101</v>
          </cell>
          <cell r="D1049" t="str">
            <v>ELK CREEK 1101</v>
          </cell>
          <cell r="E1049">
            <v>2212</v>
          </cell>
          <cell r="F1049" t="b">
            <v>0</v>
          </cell>
          <cell r="G1049">
            <v>54144.630877806499</v>
          </cell>
          <cell r="H1049">
            <v>25107.519636401601</v>
          </cell>
          <cell r="I1049">
            <v>136</v>
          </cell>
          <cell r="J1049">
            <v>5.0478617465289802E-5</v>
          </cell>
          <cell r="K1049">
            <v>3023</v>
          </cell>
          <cell r="L1049">
            <v>1941.90647492833</v>
          </cell>
          <cell r="M1049">
            <v>465</v>
          </cell>
          <cell r="N1049">
            <v>0.10222434281510399</v>
          </cell>
          <cell r="O1049">
            <v>749</v>
          </cell>
          <cell r="P1049">
            <v>0.05</v>
          </cell>
          <cell r="Q1049">
            <v>2020</v>
          </cell>
        </row>
        <row r="1050">
          <cell r="B1050" t="str">
            <v>ELK CREEK 11012228</v>
          </cell>
          <cell r="C1050">
            <v>102781101</v>
          </cell>
          <cell r="D1050" t="str">
            <v>ELK CREEK 1101</v>
          </cell>
          <cell r="E1050">
            <v>2228</v>
          </cell>
          <cell r="F1050" t="b">
            <v>0</v>
          </cell>
          <cell r="G1050">
            <v>16654.618981305299</v>
          </cell>
          <cell r="H1050">
            <v>5410.2105013533301</v>
          </cell>
          <cell r="I1050">
            <v>80</v>
          </cell>
          <cell r="J1050">
            <v>5.6416076127973103E-5</v>
          </cell>
          <cell r="K1050">
            <v>2878</v>
          </cell>
          <cell r="L1050">
            <v>1582.2638668285999</v>
          </cell>
          <cell r="M1050">
            <v>568</v>
          </cell>
          <cell r="N1050">
            <v>8.2954625068690599E-2</v>
          </cell>
          <cell r="O1050">
            <v>875</v>
          </cell>
          <cell r="P1050">
            <v>0.03</v>
          </cell>
          <cell r="Q1050">
            <v>2232</v>
          </cell>
        </row>
        <row r="1051">
          <cell r="B1051" t="str">
            <v>ELK CREEK 110137334</v>
          </cell>
          <cell r="C1051">
            <v>102781101</v>
          </cell>
          <cell r="D1051" t="str">
            <v>ELK CREEK 1101</v>
          </cell>
          <cell r="E1051">
            <v>37334</v>
          </cell>
          <cell r="F1051" t="b">
            <v>0</v>
          </cell>
          <cell r="G1051">
            <v>15392.984776257101</v>
          </cell>
          <cell r="H1051">
            <v>15392.984776257101</v>
          </cell>
          <cell r="I1051">
            <v>70</v>
          </cell>
          <cell r="J1051">
            <v>5.2877473752965598E-5</v>
          </cell>
          <cell r="K1051">
            <v>2973</v>
          </cell>
          <cell r="L1051">
            <v>4838.4242436187897</v>
          </cell>
          <cell r="M1051">
            <v>87</v>
          </cell>
          <cell r="N1051">
            <v>0.233107132972068</v>
          </cell>
          <cell r="O1051">
            <v>253</v>
          </cell>
          <cell r="P1051">
            <v>7.0000000000000007E-2</v>
          </cell>
          <cell r="Q1051">
            <v>1730</v>
          </cell>
        </row>
        <row r="1052">
          <cell r="B1052" t="str">
            <v>ELK CREEK 110193504</v>
          </cell>
          <cell r="C1052">
            <v>102781101</v>
          </cell>
          <cell r="D1052" t="str">
            <v>ELK CREEK 1101</v>
          </cell>
          <cell r="E1052">
            <v>93504</v>
          </cell>
          <cell r="F1052" t="b">
            <v>0</v>
          </cell>
          <cell r="G1052">
            <v>4036.8011059815099</v>
          </cell>
          <cell r="H1052">
            <v>3461.2366123735001</v>
          </cell>
          <cell r="I1052">
            <v>15</v>
          </cell>
          <cell r="J1052">
            <v>6.0932558231538E-5</v>
          </cell>
          <cell r="K1052">
            <v>2750</v>
          </cell>
          <cell r="L1052">
            <v>4082.5968296455799</v>
          </cell>
          <cell r="M1052">
            <v>144</v>
          </cell>
          <cell r="N1052">
            <v>0.25426125139804101</v>
          </cell>
          <cell r="O1052">
            <v>206</v>
          </cell>
          <cell r="P1052">
            <v>0.06</v>
          </cell>
          <cell r="Q1052">
            <v>1896</v>
          </cell>
        </row>
        <row r="1053">
          <cell r="B1053" t="str">
            <v>ELK CREEK 1101CB</v>
          </cell>
          <cell r="C1053">
            <v>102781101</v>
          </cell>
          <cell r="D1053" t="str">
            <v>ELK CREEK 1101</v>
          </cell>
          <cell r="E1053" t="str">
            <v>CB</v>
          </cell>
          <cell r="F1053" t="b">
            <v>1</v>
          </cell>
          <cell r="G1053">
            <v>135.53401795137299</v>
          </cell>
          <cell r="H1053">
            <v>135.53401795137299</v>
          </cell>
          <cell r="I1053">
            <v>1</v>
          </cell>
          <cell r="J1053">
            <v>9.9283301096875193E-5</v>
          </cell>
          <cell r="K1053">
            <v>1662</v>
          </cell>
          <cell r="L1053">
            <v>6756.3685100879502</v>
          </cell>
          <cell r="M1053">
            <v>11</v>
          </cell>
          <cell r="N1053">
            <v>0.67079456910850799</v>
          </cell>
          <cell r="O1053">
            <v>17</v>
          </cell>
          <cell r="P1053">
            <v>2.37</v>
          </cell>
          <cell r="Q1053">
            <v>609</v>
          </cell>
        </row>
        <row r="1054">
          <cell r="B1054" t="str">
            <v>EMERALD LAKE 0401CB</v>
          </cell>
          <cell r="C1054">
            <v>24080401</v>
          </cell>
          <cell r="D1054" t="str">
            <v>EMERALD LAKE 0401</v>
          </cell>
          <cell r="E1054" t="str">
            <v>CB</v>
          </cell>
          <cell r="F1054" t="b">
            <v>0</v>
          </cell>
          <cell r="G1054">
            <v>21117.954925624799</v>
          </cell>
          <cell r="H1054">
            <v>15035.2162609222</v>
          </cell>
          <cell r="I1054">
            <v>130</v>
          </cell>
          <cell r="J1054">
            <v>6.8162420956109206E-5</v>
          </cell>
          <cell r="K1054">
            <v>2531</v>
          </cell>
          <cell r="L1054">
            <v>7.7385726957757104</v>
          </cell>
          <cell r="M1054">
            <v>2673</v>
          </cell>
          <cell r="N1054">
            <v>9.4726320607087602E-4</v>
          </cell>
          <cell r="O1054">
            <v>2648</v>
          </cell>
          <cell r="P1054">
            <v>0.52</v>
          </cell>
          <cell r="Q1054">
            <v>887</v>
          </cell>
        </row>
        <row r="1055">
          <cell r="B1055" t="str">
            <v>EMERALD LAKE 04028858</v>
          </cell>
          <cell r="C1055">
            <v>24080402</v>
          </cell>
          <cell r="D1055" t="str">
            <v>EMERALD LAKE 0402</v>
          </cell>
          <cell r="E1055">
            <v>8858</v>
          </cell>
          <cell r="F1055" t="b">
            <v>0</v>
          </cell>
          <cell r="G1055">
            <v>3073.62255187037</v>
          </cell>
          <cell r="H1055">
            <v>3073.62255187037</v>
          </cell>
          <cell r="I1055">
            <v>27</v>
          </cell>
          <cell r="J1055">
            <v>7.5166513313349595E-5</v>
          </cell>
          <cell r="K1055">
            <v>2327</v>
          </cell>
          <cell r="L1055">
            <v>6.6431909799575806E-2</v>
          </cell>
          <cell r="M1055">
            <v>2966</v>
          </cell>
          <cell r="N1055">
            <v>4.9934550323810497E-6</v>
          </cell>
          <cell r="O1055">
            <v>3266</v>
          </cell>
          <cell r="P1055">
            <v>0.08</v>
          </cell>
          <cell r="Q1055">
            <v>1631</v>
          </cell>
        </row>
        <row r="1056">
          <cell r="B1056" t="str">
            <v>EMERALD LAKE 04028872</v>
          </cell>
          <cell r="C1056">
            <v>24080402</v>
          </cell>
          <cell r="D1056" t="str">
            <v>EMERALD LAKE 0402</v>
          </cell>
          <cell r="E1056">
            <v>8872</v>
          </cell>
          <cell r="F1056" t="b">
            <v>0</v>
          </cell>
          <cell r="G1056">
            <v>9042.2667352489698</v>
          </cell>
          <cell r="H1056">
            <v>7244.0551728754599</v>
          </cell>
          <cell r="I1056">
            <v>77</v>
          </cell>
          <cell r="J1056">
            <v>3.3182934894284697E-5</v>
          </cell>
          <cell r="K1056">
            <v>3382</v>
          </cell>
          <cell r="L1056">
            <v>6.6164913502606407E-2</v>
          </cell>
          <cell r="M1056">
            <v>3180</v>
          </cell>
          <cell r="N1056">
            <v>2.2015383453627602E-6</v>
          </cell>
          <cell r="O1056">
            <v>3490</v>
          </cell>
          <cell r="P1056">
            <v>0.09</v>
          </cell>
          <cell r="Q1056">
            <v>1565</v>
          </cell>
        </row>
        <row r="1057">
          <cell r="B1057" t="str">
            <v>EMERALD LAKE 0402CB</v>
          </cell>
          <cell r="C1057">
            <v>24080402</v>
          </cell>
          <cell r="D1057" t="str">
            <v>EMERALD LAKE 0402</v>
          </cell>
          <cell r="E1057" t="str">
            <v>CB</v>
          </cell>
          <cell r="F1057" t="b">
            <v>0</v>
          </cell>
          <cell r="G1057">
            <v>3052.0290986595901</v>
          </cell>
          <cell r="H1057">
            <v>3052.0290986595901</v>
          </cell>
          <cell r="I1057">
            <v>23</v>
          </cell>
          <cell r="J1057">
            <v>7.2317961657181897E-5</v>
          </cell>
          <cell r="K1057">
            <v>2409</v>
          </cell>
          <cell r="L1057">
            <v>6.6431909799575806E-2</v>
          </cell>
          <cell r="M1057">
            <v>2962</v>
          </cell>
          <cell r="N1057">
            <v>4.8042203056990901E-6</v>
          </cell>
          <cell r="O1057">
            <v>3275</v>
          </cell>
          <cell r="P1057">
            <v>0.1</v>
          </cell>
          <cell r="Q1057">
            <v>1457</v>
          </cell>
        </row>
        <row r="1058">
          <cell r="B1058" t="str">
            <v>ESTUDILLO 0401850884</v>
          </cell>
          <cell r="C1058">
            <v>13480401</v>
          </cell>
          <cell r="D1058" t="str">
            <v>ESTUDILLO 0401</v>
          </cell>
          <cell r="E1058">
            <v>850884</v>
          </cell>
          <cell r="F1058" t="b">
            <v>0</v>
          </cell>
          <cell r="G1058">
            <v>2534.3349951100899</v>
          </cell>
          <cell r="H1058">
            <v>1368.17110610396</v>
          </cell>
          <cell r="I1058">
            <v>19</v>
          </cell>
          <cell r="J1058">
            <v>2.3486330532149501E-5</v>
          </cell>
          <cell r="K1058">
            <v>3510</v>
          </cell>
          <cell r="L1058">
            <v>6.5755636284225802E-2</v>
          </cell>
          <cell r="M1058">
            <v>3294</v>
          </cell>
          <cell r="N1058">
            <v>1.55520400139848E-6</v>
          </cell>
          <cell r="O1058">
            <v>3547</v>
          </cell>
          <cell r="Q1058">
            <v>3036</v>
          </cell>
        </row>
        <row r="1059">
          <cell r="B1059" t="str">
            <v>EUREKA E 110435934</v>
          </cell>
          <cell r="C1059">
            <v>192331104</v>
          </cell>
          <cell r="D1059" t="str">
            <v>EUREKA E 1104</v>
          </cell>
          <cell r="E1059">
            <v>35934</v>
          </cell>
          <cell r="F1059" t="b">
            <v>1</v>
          </cell>
          <cell r="G1059">
            <v>5459.9113471656401</v>
          </cell>
          <cell r="H1059">
            <v>78.410882180623403</v>
          </cell>
          <cell r="I1059">
            <v>46</v>
          </cell>
          <cell r="J1059">
            <v>1.3282393193430399E-4</v>
          </cell>
          <cell r="K1059">
            <v>962</v>
          </cell>
          <cell r="L1059">
            <v>6.5202856193417993E-2</v>
          </cell>
          <cell r="M1059">
            <v>3509</v>
          </cell>
          <cell r="N1059">
            <v>8.6657679570878998E-6</v>
          </cell>
          <cell r="O1059">
            <v>3100</v>
          </cell>
          <cell r="Q1059">
            <v>2806</v>
          </cell>
        </row>
        <row r="1060">
          <cell r="B1060" t="str">
            <v>FAIRMOUNT 0401395180</v>
          </cell>
          <cell r="C1060">
            <v>12650401</v>
          </cell>
          <cell r="D1060" t="str">
            <v>FAIRMOUNT 0401</v>
          </cell>
          <cell r="E1060">
            <v>395180</v>
          </cell>
          <cell r="F1060" t="b">
            <v>0</v>
          </cell>
          <cell r="G1060">
            <v>2394.7505244763202</v>
          </cell>
          <cell r="H1060">
            <v>2263.8751869493699</v>
          </cell>
          <cell r="I1060">
            <v>20</v>
          </cell>
          <cell r="J1060">
            <v>1.6162461315616301E-5</v>
          </cell>
          <cell r="K1060">
            <v>3578</v>
          </cell>
          <cell r="L1060">
            <v>2.4420556213706699</v>
          </cell>
          <cell r="M1060">
            <v>2827</v>
          </cell>
          <cell r="N1060">
            <v>2.9412075003780299E-5</v>
          </cell>
          <cell r="O1060">
            <v>2937</v>
          </cell>
          <cell r="Q1060">
            <v>3059</v>
          </cell>
        </row>
        <row r="1061">
          <cell r="B1061" t="str">
            <v>FAIRVIEW 220799096</v>
          </cell>
          <cell r="C1061">
            <v>13432207</v>
          </cell>
          <cell r="D1061" t="str">
            <v>FAIRVIEW 2207</v>
          </cell>
          <cell r="E1061">
            <v>99096</v>
          </cell>
          <cell r="F1061" t="b">
            <v>0</v>
          </cell>
          <cell r="G1061">
            <v>15944.1649762652</v>
          </cell>
          <cell r="H1061">
            <v>15895.824396842099</v>
          </cell>
          <cell r="I1061">
            <v>56</v>
          </cell>
          <cell r="J1061">
            <v>9.3840017110447996E-5</v>
          </cell>
          <cell r="K1061">
            <v>1796</v>
          </cell>
          <cell r="L1061">
            <v>20.997170650497999</v>
          </cell>
          <cell r="M1061">
            <v>2437</v>
          </cell>
          <cell r="N1061">
            <v>1.9603222165135701E-3</v>
          </cell>
          <cell r="O1061">
            <v>2483</v>
          </cell>
          <cell r="P1061">
            <v>0.05</v>
          </cell>
          <cell r="Q1061">
            <v>2008</v>
          </cell>
        </row>
        <row r="1062">
          <cell r="B1062" t="str">
            <v>FAIRVIEW 2207CB</v>
          </cell>
          <cell r="C1062">
            <v>13432207</v>
          </cell>
          <cell r="D1062" t="str">
            <v>FAIRVIEW 2207</v>
          </cell>
          <cell r="E1062" t="str">
            <v>CB</v>
          </cell>
          <cell r="F1062" t="b">
            <v>1</v>
          </cell>
          <cell r="G1062">
            <v>8128.5866791325398</v>
          </cell>
          <cell r="H1062">
            <v>387.14963696593401</v>
          </cell>
          <cell r="I1062">
            <v>57</v>
          </cell>
          <cell r="J1062">
            <v>3.8448049579326601E-5</v>
          </cell>
          <cell r="K1062">
            <v>3291</v>
          </cell>
          <cell r="L1062">
            <v>6.5193143066579806E-2</v>
          </cell>
          <cell r="M1062">
            <v>3515</v>
          </cell>
          <cell r="N1062">
            <v>2.5111660706277998E-6</v>
          </cell>
          <cell r="O1062">
            <v>3466</v>
          </cell>
          <cell r="P1062">
            <v>0.03</v>
          </cell>
          <cell r="Q1062">
            <v>2279</v>
          </cell>
        </row>
        <row r="1063">
          <cell r="B1063" t="str">
            <v>FAIRVIEW 2207M501R</v>
          </cell>
          <cell r="C1063">
            <v>13432207</v>
          </cell>
          <cell r="D1063" t="str">
            <v>FAIRVIEW 2207</v>
          </cell>
          <cell r="E1063" t="str">
            <v>M501R</v>
          </cell>
          <cell r="F1063" t="b">
            <v>0</v>
          </cell>
          <cell r="G1063">
            <v>7503.1066771993901</v>
          </cell>
          <cell r="H1063">
            <v>4016.4433286999301</v>
          </cell>
          <cell r="I1063">
            <v>60</v>
          </cell>
          <cell r="J1063">
            <v>4.67928879876628E-5</v>
          </cell>
          <cell r="K1063">
            <v>3118</v>
          </cell>
          <cell r="L1063">
            <v>3.64627808461141</v>
          </cell>
          <cell r="M1063">
            <v>2785</v>
          </cell>
          <cell r="N1063">
            <v>3.5750922353601901E-4</v>
          </cell>
          <cell r="O1063">
            <v>2778</v>
          </cell>
          <cell r="P1063">
            <v>0.03</v>
          </cell>
          <cell r="Q1063">
            <v>2319</v>
          </cell>
        </row>
        <row r="1064">
          <cell r="B1064" t="str">
            <v>FAIRVIEW 2207P142</v>
          </cell>
          <cell r="C1064">
            <v>13432207</v>
          </cell>
          <cell r="D1064" t="str">
            <v>FAIRVIEW 2207</v>
          </cell>
          <cell r="E1064" t="str">
            <v>P142</v>
          </cell>
          <cell r="F1064" t="b">
            <v>0</v>
          </cell>
          <cell r="G1064">
            <v>5002.4344058229399</v>
          </cell>
          <cell r="H1064">
            <v>1963.57037265084</v>
          </cell>
          <cell r="I1064">
            <v>41</v>
          </cell>
          <cell r="J1064">
            <v>5.8203651017875599E-5</v>
          </cell>
          <cell r="K1064">
            <v>2828</v>
          </cell>
          <cell r="L1064">
            <v>6.5555175015174896E-2</v>
          </cell>
          <cell r="M1064">
            <v>3351</v>
          </cell>
          <cell r="N1064">
            <v>3.8431611682179802E-6</v>
          </cell>
          <cell r="O1064">
            <v>3346</v>
          </cell>
          <cell r="P1064">
            <v>0.02</v>
          </cell>
          <cell r="Q1064">
            <v>2469</v>
          </cell>
        </row>
        <row r="1065">
          <cell r="B1065" t="str">
            <v>FAIRVIEW 2207P148</v>
          </cell>
          <cell r="C1065">
            <v>13432207</v>
          </cell>
          <cell r="D1065" t="str">
            <v>FAIRVIEW 2207</v>
          </cell>
          <cell r="E1065" t="str">
            <v>P148</v>
          </cell>
          <cell r="F1065" t="b">
            <v>0</v>
          </cell>
          <cell r="G1065">
            <v>7362.5214861936502</v>
          </cell>
          <cell r="H1065">
            <v>1361.9079015248601</v>
          </cell>
          <cell r="I1065">
            <v>54</v>
          </cell>
          <cell r="J1065">
            <v>4.5868481164587898E-5</v>
          </cell>
          <cell r="K1065">
            <v>3143</v>
          </cell>
          <cell r="L1065">
            <v>1.5546731335231201</v>
          </cell>
          <cell r="M1065">
            <v>2859</v>
          </cell>
          <cell r="N1065">
            <v>9.8792475243570095E-5</v>
          </cell>
          <cell r="O1065">
            <v>2877</v>
          </cell>
          <cell r="Q1065">
            <v>2783</v>
          </cell>
        </row>
        <row r="1066">
          <cell r="B1066" t="str">
            <v>FAIRVIEW 2207P150</v>
          </cell>
          <cell r="C1066">
            <v>13432207</v>
          </cell>
          <cell r="D1066" t="str">
            <v>FAIRVIEW 2207</v>
          </cell>
          <cell r="E1066" t="str">
            <v>P150</v>
          </cell>
          <cell r="F1066" t="b">
            <v>0</v>
          </cell>
          <cell r="G1066">
            <v>3652.8381416842199</v>
          </cell>
          <cell r="H1066">
            <v>3652.8381416842199</v>
          </cell>
          <cell r="I1066">
            <v>18</v>
          </cell>
          <cell r="J1066">
            <v>9.5063450822231496E-5</v>
          </cell>
          <cell r="K1066">
            <v>1763</v>
          </cell>
          <cell r="L1066">
            <v>45.039258199718098</v>
          </cell>
          <cell r="M1066">
            <v>2245</v>
          </cell>
          <cell r="N1066">
            <v>5.5205769534738902E-3</v>
          </cell>
          <cell r="O1066">
            <v>2180</v>
          </cell>
          <cell r="P1066">
            <v>0.03</v>
          </cell>
          <cell r="Q1066">
            <v>2243</v>
          </cell>
        </row>
        <row r="1067">
          <cell r="B1067" t="str">
            <v>FAIRVIEW 2207P304</v>
          </cell>
          <cell r="C1067">
            <v>13432207</v>
          </cell>
          <cell r="D1067" t="str">
            <v>FAIRVIEW 2207</v>
          </cell>
          <cell r="E1067" t="str">
            <v>P304</v>
          </cell>
          <cell r="F1067" t="b">
            <v>0</v>
          </cell>
          <cell r="G1067">
            <v>9851.3778695760993</v>
          </cell>
          <cell r="H1067">
            <v>8440.4652080812994</v>
          </cell>
          <cell r="I1067">
            <v>47</v>
          </cell>
          <cell r="J1067">
            <v>9.3563074915436998E-5</v>
          </cell>
          <cell r="K1067">
            <v>1809</v>
          </cell>
          <cell r="L1067">
            <v>31.6902434977236</v>
          </cell>
          <cell r="M1067">
            <v>2333</v>
          </cell>
          <cell r="N1067">
            <v>3.7077030209040798E-3</v>
          </cell>
          <cell r="O1067">
            <v>2276</v>
          </cell>
          <cell r="P1067">
            <v>0.09</v>
          </cell>
          <cell r="Q1067">
            <v>1556</v>
          </cell>
        </row>
        <row r="1068">
          <cell r="B1068" t="str">
            <v>FELTON 0401CB</v>
          </cell>
          <cell r="C1068">
            <v>83140401</v>
          </cell>
          <cell r="D1068" t="str">
            <v>FELTON 0401</v>
          </cell>
          <cell r="E1068" t="str">
            <v>CB</v>
          </cell>
          <cell r="F1068" t="b">
            <v>0</v>
          </cell>
          <cell r="G1068">
            <v>4118.8768375434202</v>
          </cell>
          <cell r="H1068">
            <v>4062.5856913408602</v>
          </cell>
          <cell r="I1068">
            <v>34</v>
          </cell>
          <cell r="J1068">
            <v>4.3163928571362598E-4</v>
          </cell>
          <cell r="K1068">
            <v>58</v>
          </cell>
          <cell r="L1068">
            <v>21.041734994654199</v>
          </cell>
          <cell r="M1068">
            <v>2435</v>
          </cell>
          <cell r="N1068">
            <v>9.9584487109541393E-3</v>
          </cell>
          <cell r="O1068">
            <v>1960</v>
          </cell>
          <cell r="P1068">
            <v>0.39</v>
          </cell>
          <cell r="Q1068">
            <v>952</v>
          </cell>
        </row>
        <row r="1069">
          <cell r="B1069" t="str">
            <v>FITCH MOUNTAIN 1111555644</v>
          </cell>
          <cell r="C1069">
            <v>42751111</v>
          </cell>
          <cell r="D1069" t="str">
            <v>FITCH MOUNTAIN 1111</v>
          </cell>
          <cell r="E1069">
            <v>555644</v>
          </cell>
          <cell r="F1069" t="b">
            <v>1</v>
          </cell>
          <cell r="G1069">
            <v>5004.5279849744202</v>
          </cell>
          <cell r="H1069">
            <v>268.67914485357102</v>
          </cell>
          <cell r="I1069">
            <v>19</v>
          </cell>
          <cell r="J1069">
            <v>1.17325647902601E-4</v>
          </cell>
          <cell r="K1069">
            <v>1240</v>
          </cell>
          <cell r="L1069">
            <v>1847.86203035676</v>
          </cell>
          <cell r="M1069">
            <v>491</v>
          </cell>
          <cell r="N1069">
            <v>0.195392861931659</v>
          </cell>
          <cell r="O1069">
            <v>344</v>
          </cell>
          <cell r="Q1069">
            <v>3453</v>
          </cell>
        </row>
        <row r="1070">
          <cell r="B1070" t="str">
            <v>FITCH MOUNTAIN 1111752596</v>
          </cell>
          <cell r="C1070">
            <v>42751111</v>
          </cell>
          <cell r="D1070" t="str">
            <v>FITCH MOUNTAIN 1111</v>
          </cell>
          <cell r="E1070">
            <v>752596</v>
          </cell>
          <cell r="F1070" t="b">
            <v>1</v>
          </cell>
          <cell r="G1070">
            <v>1041.1395795902599</v>
          </cell>
          <cell r="H1070">
            <v>395.13337876298499</v>
          </cell>
          <cell r="I1070">
            <v>6</v>
          </cell>
          <cell r="J1070">
            <v>1.09627509421746E-4</v>
          </cell>
          <cell r="K1070">
            <v>1418</v>
          </cell>
          <cell r="L1070">
            <v>256.56382841290502</v>
          </cell>
          <cell r="M1070">
            <v>1530</v>
          </cell>
          <cell r="N1070">
            <v>2.0464982625198299E-2</v>
          </cell>
          <cell r="O1070">
            <v>1662</v>
          </cell>
          <cell r="Q1070">
            <v>3606</v>
          </cell>
        </row>
        <row r="1071">
          <cell r="B1071" t="str">
            <v>FITCH MOUNTAIN 1111792628</v>
          </cell>
          <cell r="C1071">
            <v>42751111</v>
          </cell>
          <cell r="D1071" t="str">
            <v>FITCH MOUNTAIN 1111</v>
          </cell>
          <cell r="E1071">
            <v>792628</v>
          </cell>
          <cell r="F1071" t="b">
            <v>1</v>
          </cell>
          <cell r="G1071">
            <v>1482.8090573182801</v>
          </cell>
          <cell r="H1071">
            <v>365.61766645818699</v>
          </cell>
          <cell r="I1071">
            <v>13</v>
          </cell>
          <cell r="J1071">
            <v>7.1975263684483497E-5</v>
          </cell>
          <cell r="K1071">
            <v>2420</v>
          </cell>
          <cell r="L1071">
            <v>145.90536544255599</v>
          </cell>
          <cell r="M1071">
            <v>1789</v>
          </cell>
          <cell r="N1071">
            <v>3.37793944765955E-3</v>
          </cell>
          <cell r="O1071">
            <v>2306</v>
          </cell>
          <cell r="Q1071">
            <v>3408</v>
          </cell>
        </row>
        <row r="1072">
          <cell r="B1072" t="str">
            <v>FITCH MOUNTAIN 1113154</v>
          </cell>
          <cell r="C1072">
            <v>42751113</v>
          </cell>
          <cell r="D1072" t="str">
            <v>FITCH MOUNTAIN 1113</v>
          </cell>
          <cell r="E1072">
            <v>154</v>
          </cell>
          <cell r="F1072" t="b">
            <v>1</v>
          </cell>
          <cell r="G1072">
            <v>15159.685683654699</v>
          </cell>
          <cell r="H1072">
            <v>20.5740915133165</v>
          </cell>
          <cell r="I1072">
            <v>108</v>
          </cell>
          <cell r="J1072">
            <v>1.39772909083191E-4</v>
          </cell>
          <cell r="K1072">
            <v>871</v>
          </cell>
          <cell r="L1072">
            <v>1.0918713416557699</v>
          </cell>
          <cell r="M1072">
            <v>2887</v>
          </cell>
          <cell r="N1072">
            <v>5.1973037943719698E-4</v>
          </cell>
          <cell r="O1072">
            <v>2731</v>
          </cell>
          <cell r="P1072">
            <v>0.03</v>
          </cell>
          <cell r="Q1072">
            <v>2260</v>
          </cell>
        </row>
        <row r="1073">
          <cell r="B1073" t="str">
            <v>FITCH MOUNTAIN 111324550</v>
          </cell>
          <cell r="C1073">
            <v>42751113</v>
          </cell>
          <cell r="D1073" t="str">
            <v>FITCH MOUNTAIN 1113</v>
          </cell>
          <cell r="E1073">
            <v>24550</v>
          </cell>
          <cell r="F1073" t="b">
            <v>0</v>
          </cell>
          <cell r="G1073">
            <v>34688.2787707432</v>
          </cell>
          <cell r="H1073">
            <v>17797.4845685539</v>
          </cell>
          <cell r="I1073">
            <v>203</v>
          </cell>
          <cell r="J1073">
            <v>9.3916758953526097E-5</v>
          </cell>
          <cell r="K1073">
            <v>1795</v>
          </cell>
          <cell r="L1073">
            <v>616.74230923532002</v>
          </cell>
          <cell r="M1073">
            <v>1087</v>
          </cell>
          <cell r="N1073">
            <v>7.7338156629460503E-2</v>
          </cell>
          <cell r="O1073">
            <v>923</v>
          </cell>
          <cell r="P1073">
            <v>7.0000000000000007E-2</v>
          </cell>
          <cell r="Q1073">
            <v>1711</v>
          </cell>
        </row>
        <row r="1074">
          <cell r="B1074" t="str">
            <v>FITCH MOUNTAIN 111324918</v>
          </cell>
          <cell r="C1074">
            <v>42751113</v>
          </cell>
          <cell r="D1074" t="str">
            <v>FITCH MOUNTAIN 1113</v>
          </cell>
          <cell r="E1074">
            <v>24918</v>
          </cell>
          <cell r="F1074" t="b">
            <v>0</v>
          </cell>
          <cell r="G1074">
            <v>8843.8556764480709</v>
          </cell>
          <cell r="H1074">
            <v>8843.8556764480709</v>
          </cell>
          <cell r="I1074">
            <v>49</v>
          </cell>
          <cell r="J1074">
            <v>1.7490757469501201E-4</v>
          </cell>
          <cell r="K1074">
            <v>529</v>
          </cell>
          <cell r="L1074">
            <v>1042.2333346755099</v>
          </cell>
          <cell r="M1074">
            <v>799</v>
          </cell>
          <cell r="N1074">
            <v>0.15750404075906799</v>
          </cell>
          <cell r="O1074">
            <v>481</v>
          </cell>
          <cell r="P1074">
            <v>40.700000000000003</v>
          </cell>
          <cell r="Q1074">
            <v>183</v>
          </cell>
        </row>
        <row r="1075">
          <cell r="B1075" t="str">
            <v>FITCH MOUNTAIN 1113352</v>
          </cell>
          <cell r="C1075">
            <v>42751113</v>
          </cell>
          <cell r="D1075" t="str">
            <v>FITCH MOUNTAIN 1113</v>
          </cell>
          <cell r="E1075">
            <v>352</v>
          </cell>
          <cell r="F1075" t="b">
            <v>0</v>
          </cell>
          <cell r="G1075">
            <v>19238.601865551798</v>
          </cell>
          <cell r="H1075">
            <v>9086.2434464900598</v>
          </cell>
          <cell r="I1075">
            <v>123</v>
          </cell>
          <cell r="J1075">
            <v>1.4867080442751201E-4</v>
          </cell>
          <cell r="K1075">
            <v>757</v>
          </cell>
          <cell r="L1075">
            <v>547.94397667510998</v>
          </cell>
          <cell r="M1075">
            <v>1149</v>
          </cell>
          <cell r="N1075">
            <v>5.4876220174131601E-2</v>
          </cell>
          <cell r="O1075">
            <v>1126</v>
          </cell>
          <cell r="P1075">
            <v>0.04</v>
          </cell>
          <cell r="Q1075">
            <v>2196</v>
          </cell>
        </row>
        <row r="1076">
          <cell r="B1076" t="str">
            <v>FITCH MOUNTAIN 1113356</v>
          </cell>
          <cell r="C1076">
            <v>42751113</v>
          </cell>
          <cell r="D1076" t="str">
            <v>FITCH MOUNTAIN 1113</v>
          </cell>
          <cell r="E1076">
            <v>356</v>
          </cell>
          <cell r="F1076" t="b">
            <v>0</v>
          </cell>
          <cell r="G1076">
            <v>24352.0151886559</v>
          </cell>
          <cell r="H1076">
            <v>17245.148536989102</v>
          </cell>
          <cell r="I1076">
            <v>136</v>
          </cell>
          <cell r="J1076">
            <v>1.29219025425367E-4</v>
          </cell>
          <cell r="K1076">
            <v>1022</v>
          </cell>
          <cell r="L1076">
            <v>991.11229988475998</v>
          </cell>
          <cell r="M1076">
            <v>839</v>
          </cell>
          <cell r="N1076">
            <v>0.128472494250952</v>
          </cell>
          <cell r="O1076">
            <v>612</v>
          </cell>
          <cell r="P1076">
            <v>8.5399999999999991</v>
          </cell>
          <cell r="Q1076">
            <v>423</v>
          </cell>
        </row>
        <row r="1077">
          <cell r="B1077" t="str">
            <v>FITCH MOUNTAIN 1113443164</v>
          </cell>
          <cell r="C1077">
            <v>42751113</v>
          </cell>
          <cell r="D1077" t="str">
            <v>FITCH MOUNTAIN 1113</v>
          </cell>
          <cell r="E1077">
            <v>443164</v>
          </cell>
          <cell r="F1077" t="b">
            <v>0</v>
          </cell>
          <cell r="G1077">
            <v>15151.447535641</v>
          </cell>
          <cell r="H1077">
            <v>4499.58717413877</v>
          </cell>
          <cell r="I1077">
            <v>111</v>
          </cell>
          <cell r="J1077">
            <v>1.2906986212164899E-4</v>
          </cell>
          <cell r="K1077">
            <v>1027</v>
          </cell>
          <cell r="L1077">
            <v>720.98834882880203</v>
          </cell>
          <cell r="M1077">
            <v>997</v>
          </cell>
          <cell r="N1077">
            <v>9.9321092497716701E-2</v>
          </cell>
          <cell r="O1077">
            <v>770</v>
          </cell>
          <cell r="Q1077">
            <v>2651</v>
          </cell>
        </row>
        <row r="1078">
          <cell r="B1078" t="str">
            <v>FITCH MOUNTAIN 11134566</v>
          </cell>
          <cell r="C1078">
            <v>42751113</v>
          </cell>
          <cell r="D1078" t="str">
            <v>FITCH MOUNTAIN 1113</v>
          </cell>
          <cell r="E1078">
            <v>4566</v>
          </cell>
          <cell r="F1078" t="b">
            <v>0</v>
          </cell>
          <cell r="G1078">
            <v>28160.2777887956</v>
          </cell>
          <cell r="H1078">
            <v>20128.086350319401</v>
          </cell>
          <cell r="I1078">
            <v>180</v>
          </cell>
          <cell r="J1078">
            <v>1.14060997566411E-4</v>
          </cell>
          <cell r="K1078">
            <v>1319</v>
          </cell>
          <cell r="L1078">
            <v>393.97655383715602</v>
          </cell>
          <cell r="M1078">
            <v>1301</v>
          </cell>
          <cell r="N1078">
            <v>4.1760672035284802E-2</v>
          </cell>
          <cell r="O1078">
            <v>1279</v>
          </cell>
          <cell r="P1078">
            <v>0.11</v>
          </cell>
          <cell r="Q1078">
            <v>1420</v>
          </cell>
        </row>
        <row r="1079">
          <cell r="B1079" t="str">
            <v>FITCH MOUNTAIN 1113583202</v>
          </cell>
          <cell r="C1079">
            <v>42751113</v>
          </cell>
          <cell r="D1079" t="str">
            <v>FITCH MOUNTAIN 1113</v>
          </cell>
          <cell r="E1079">
            <v>583202</v>
          </cell>
          <cell r="F1079" t="b">
            <v>0</v>
          </cell>
          <cell r="G1079">
            <v>15783.847232841399</v>
          </cell>
          <cell r="H1079">
            <v>7874.8461346968497</v>
          </cell>
          <cell r="I1079">
            <v>106</v>
          </cell>
          <cell r="J1079">
            <v>1.00663406178596E-4</v>
          </cell>
          <cell r="K1079">
            <v>1631</v>
          </cell>
          <cell r="L1079">
            <v>594.65140417525504</v>
          </cell>
          <cell r="M1079">
            <v>1106</v>
          </cell>
          <cell r="N1079">
            <v>7.5100666022349202E-2</v>
          </cell>
          <cell r="O1079">
            <v>936</v>
          </cell>
          <cell r="P1079">
            <v>0.05</v>
          </cell>
          <cell r="Q1079">
            <v>2004</v>
          </cell>
        </row>
        <row r="1080">
          <cell r="B1080" t="str">
            <v>FITCH MOUNTAIN 11136751</v>
          </cell>
          <cell r="C1080">
            <v>42751113</v>
          </cell>
          <cell r="D1080" t="str">
            <v>FITCH MOUNTAIN 1113</v>
          </cell>
          <cell r="E1080">
            <v>6751</v>
          </cell>
          <cell r="F1080" t="b">
            <v>0</v>
          </cell>
          <cell r="G1080">
            <v>36483.920229629497</v>
          </cell>
          <cell r="H1080">
            <v>36483.920229629497</v>
          </cell>
          <cell r="I1080">
            <v>139</v>
          </cell>
          <cell r="J1080">
            <v>1.81849040097364E-4</v>
          </cell>
          <cell r="K1080">
            <v>499</v>
          </cell>
          <cell r="L1080">
            <v>410.65445165566598</v>
          </cell>
          <cell r="M1080">
            <v>1284</v>
          </cell>
          <cell r="N1080">
            <v>7.3927379298794102E-2</v>
          </cell>
          <cell r="O1080">
            <v>945</v>
          </cell>
          <cell r="P1080">
            <v>39.14</v>
          </cell>
          <cell r="Q1080">
            <v>190</v>
          </cell>
        </row>
        <row r="1081">
          <cell r="B1081" t="str">
            <v>FITCH MOUNTAIN 1113775992</v>
          </cell>
          <cell r="C1081">
            <v>42751113</v>
          </cell>
          <cell r="D1081" t="str">
            <v>FITCH MOUNTAIN 1113</v>
          </cell>
          <cell r="E1081">
            <v>775992</v>
          </cell>
          <cell r="F1081" t="b">
            <v>0</v>
          </cell>
          <cell r="G1081">
            <v>5059.1290597962197</v>
          </cell>
          <cell r="H1081">
            <v>3381.5311127763898</v>
          </cell>
          <cell r="I1081">
            <v>34</v>
          </cell>
          <cell r="J1081">
            <v>1.24185178826926E-4</v>
          </cell>
          <cell r="K1081">
            <v>1115</v>
          </cell>
          <cell r="L1081">
            <v>374.148866412507</v>
          </cell>
          <cell r="M1081">
            <v>1330</v>
          </cell>
          <cell r="N1081">
            <v>5.6250517483516102E-2</v>
          </cell>
          <cell r="O1081">
            <v>1106</v>
          </cell>
          <cell r="Q1081">
            <v>2954</v>
          </cell>
        </row>
        <row r="1082">
          <cell r="B1082" t="str">
            <v>FLINT 110140666</v>
          </cell>
          <cell r="C1082">
            <v>152531101</v>
          </cell>
          <cell r="D1082" t="str">
            <v>FLINT 1101</v>
          </cell>
          <cell r="E1082">
            <v>40666</v>
          </cell>
          <cell r="F1082" t="b">
            <v>1</v>
          </cell>
          <cell r="G1082">
            <v>2641.9290264961501</v>
          </cell>
          <cell r="H1082">
            <v>575.17343628176695</v>
          </cell>
          <cell r="I1082">
            <v>18</v>
          </cell>
          <cell r="J1082">
            <v>1.8607147204521501E-4</v>
          </cell>
          <cell r="K1082">
            <v>467</v>
          </cell>
          <cell r="L1082">
            <v>44.543894439600599</v>
          </cell>
          <cell r="M1082">
            <v>2250</v>
          </cell>
          <cell r="N1082">
            <v>1.25638565767143E-2</v>
          </cell>
          <cell r="O1082">
            <v>1859</v>
          </cell>
          <cell r="P1082">
            <v>0.03</v>
          </cell>
          <cell r="Q1082">
            <v>2374</v>
          </cell>
        </row>
        <row r="1083">
          <cell r="B1083" t="str">
            <v>FLINT 1101750</v>
          </cell>
          <cell r="C1083">
            <v>152531101</v>
          </cell>
          <cell r="D1083" t="str">
            <v>FLINT 1101</v>
          </cell>
          <cell r="E1083">
            <v>750</v>
          </cell>
          <cell r="F1083" t="b">
            <v>0</v>
          </cell>
          <cell r="G1083">
            <v>14900.5271782891</v>
          </cell>
          <cell r="H1083">
            <v>7342.9024901304301</v>
          </cell>
          <cell r="I1083">
            <v>93</v>
          </cell>
          <cell r="J1083">
            <v>1.5288429534373999E-4</v>
          </cell>
          <cell r="K1083">
            <v>720</v>
          </cell>
          <cell r="L1083">
            <v>2183.6202129701201</v>
          </cell>
          <cell r="M1083">
            <v>404</v>
          </cell>
          <cell r="N1083">
            <v>0.28317589841792201</v>
          </cell>
          <cell r="O1083">
            <v>152</v>
          </cell>
          <cell r="P1083">
            <v>3.16</v>
          </cell>
          <cell r="Q1083">
            <v>559</v>
          </cell>
        </row>
        <row r="1084">
          <cell r="B1084" t="str">
            <v>FLINT 1101958726</v>
          </cell>
          <cell r="C1084">
            <v>152531101</v>
          </cell>
          <cell r="D1084" t="str">
            <v>FLINT 1101</v>
          </cell>
          <cell r="E1084">
            <v>958726</v>
          </cell>
          <cell r="F1084" t="b">
            <v>0</v>
          </cell>
          <cell r="G1084">
            <v>1647.4395228426899</v>
          </cell>
          <cell r="H1084">
            <v>1605.46531601877</v>
          </cell>
          <cell r="I1084">
            <v>13</v>
          </cell>
          <cell r="J1084">
            <v>2.6565551524981802E-4</v>
          </cell>
          <cell r="K1084">
            <v>180</v>
          </cell>
          <cell r="L1084">
            <v>6.6332951776883198E-2</v>
          </cell>
          <cell r="M1084">
            <v>3140</v>
          </cell>
          <cell r="N1084">
            <v>1.7618618437471901E-5</v>
          </cell>
          <cell r="O1084">
            <v>2980</v>
          </cell>
          <cell r="Q1084">
            <v>2975</v>
          </cell>
        </row>
        <row r="1085">
          <cell r="B1085" t="str">
            <v>FLINT 1101CB</v>
          </cell>
          <cell r="C1085">
            <v>152531101</v>
          </cell>
          <cell r="D1085" t="str">
            <v>FLINT 1101</v>
          </cell>
          <cell r="E1085" t="str">
            <v>CB</v>
          </cell>
          <cell r="F1085" t="b">
            <v>0</v>
          </cell>
          <cell r="G1085">
            <v>4176.91510662162</v>
          </cell>
          <cell r="H1085">
            <v>1037.2766311187499</v>
          </cell>
          <cell r="I1085">
            <v>36</v>
          </cell>
          <cell r="J1085">
            <v>2.12263233801682E-4</v>
          </cell>
          <cell r="K1085">
            <v>350</v>
          </cell>
          <cell r="L1085">
            <v>8.6500827306370898</v>
          </cell>
          <cell r="M1085">
            <v>2651</v>
          </cell>
          <cell r="N1085">
            <v>1.5071936567094301E-3</v>
          </cell>
          <cell r="O1085">
            <v>2555</v>
          </cell>
          <cell r="P1085">
            <v>0.03</v>
          </cell>
          <cell r="Q1085">
            <v>2345</v>
          </cell>
        </row>
        <row r="1086">
          <cell r="B1086" t="str">
            <v>FLINT 1102CB</v>
          </cell>
          <cell r="C1086">
            <v>152531102</v>
          </cell>
          <cell r="D1086" t="str">
            <v>FLINT 1102</v>
          </cell>
          <cell r="E1086" t="str">
            <v>CB</v>
          </cell>
          <cell r="F1086" t="b">
            <v>1</v>
          </cell>
          <cell r="G1086">
            <v>149.41783197025799</v>
          </cell>
          <cell r="H1086">
            <v>149.41783197025799</v>
          </cell>
          <cell r="I1086">
            <v>2</v>
          </cell>
          <cell r="J1086">
            <v>3.3387764415237998E-4</v>
          </cell>
          <cell r="K1086">
            <v>100</v>
          </cell>
          <cell r="L1086">
            <v>6.6431531992944007E-2</v>
          </cell>
          <cell r="M1086">
            <v>3002</v>
          </cell>
          <cell r="N1086">
            <v>2.2180003399237602E-5</v>
          </cell>
          <cell r="O1086">
            <v>2958</v>
          </cell>
          <cell r="P1086">
            <v>0.05</v>
          </cell>
          <cell r="Q1086">
            <v>1937</v>
          </cell>
        </row>
        <row r="1087">
          <cell r="B1087" t="str">
            <v>FLORENCE 0401CB</v>
          </cell>
          <cell r="C1087">
            <v>12690401</v>
          </cell>
          <cell r="D1087" t="str">
            <v>FLORENCE 0401</v>
          </cell>
          <cell r="E1087" t="str">
            <v>CB</v>
          </cell>
          <cell r="F1087" t="b">
            <v>0</v>
          </cell>
          <cell r="G1087">
            <v>4654.0754930293297</v>
          </cell>
          <cell r="H1087">
            <v>1041.2536866278399</v>
          </cell>
          <cell r="I1087">
            <v>39</v>
          </cell>
          <cell r="J1087">
            <v>4.0080983174113102E-5</v>
          </cell>
          <cell r="K1087">
            <v>3266</v>
          </cell>
          <cell r="L1087">
            <v>6.54105633879319E-2</v>
          </cell>
          <cell r="M1087">
            <v>3410</v>
          </cell>
          <cell r="N1087">
            <v>2.6230849936959299E-6</v>
          </cell>
          <cell r="O1087">
            <v>3452</v>
          </cell>
          <cell r="P1087">
            <v>0.04</v>
          </cell>
          <cell r="Q1087">
            <v>2160</v>
          </cell>
        </row>
        <row r="1088">
          <cell r="B1088" t="str">
            <v>FLORENCE 0401CR220</v>
          </cell>
          <cell r="C1088">
            <v>12690401</v>
          </cell>
          <cell r="D1088" t="str">
            <v>FLORENCE 0401</v>
          </cell>
          <cell r="E1088" t="str">
            <v>CR220</v>
          </cell>
          <cell r="F1088" t="b">
            <v>1</v>
          </cell>
          <cell r="G1088">
            <v>2216.0779498165498</v>
          </cell>
          <cell r="H1088">
            <v>325.39920219195102</v>
          </cell>
          <cell r="I1088">
            <v>19</v>
          </cell>
          <cell r="J1088">
            <v>6.9057193993810598E-5</v>
          </cell>
          <cell r="K1088">
            <v>2505</v>
          </cell>
          <cell r="L1088">
            <v>6.5417499526550807E-2</v>
          </cell>
          <cell r="M1088">
            <v>3408</v>
          </cell>
          <cell r="N1088">
            <v>4.5099548206568402E-6</v>
          </cell>
          <cell r="O1088">
            <v>3296</v>
          </cell>
          <cell r="P1088">
            <v>0.06</v>
          </cell>
          <cell r="Q1088">
            <v>1884</v>
          </cell>
        </row>
        <row r="1089">
          <cell r="B1089" t="str">
            <v>FOOTHILL 1101251688</v>
          </cell>
          <cell r="C1089">
            <v>182951101</v>
          </cell>
          <cell r="D1089" t="str">
            <v>FOOTHILL 1101</v>
          </cell>
          <cell r="E1089">
            <v>251688</v>
          </cell>
          <cell r="F1089" t="b">
            <v>0</v>
          </cell>
          <cell r="G1089">
            <v>12475.4445231101</v>
          </cell>
          <cell r="H1089">
            <v>11233.710142788401</v>
          </cell>
          <cell r="I1089">
            <v>68</v>
          </cell>
          <cell r="J1089">
            <v>7.4100689877976697E-5</v>
          </cell>
          <cell r="K1089">
            <v>2355</v>
          </cell>
          <cell r="L1089">
            <v>394.40348199678198</v>
          </cell>
          <cell r="M1089">
            <v>1300</v>
          </cell>
          <cell r="N1089">
            <v>2.24863380454275E-2</v>
          </cell>
          <cell r="O1089">
            <v>1619</v>
          </cell>
          <cell r="Q1089">
            <v>3207</v>
          </cell>
        </row>
        <row r="1090">
          <cell r="B1090" t="str">
            <v>FOOTHILL 1101386844</v>
          </cell>
          <cell r="C1090">
            <v>182951101</v>
          </cell>
          <cell r="D1090" t="str">
            <v>FOOTHILL 1101</v>
          </cell>
          <cell r="E1090">
            <v>386844</v>
          </cell>
          <cell r="F1090" t="b">
            <v>1</v>
          </cell>
          <cell r="G1090">
            <v>2561.2261896886498</v>
          </cell>
          <cell r="H1090">
            <v>615.60192797065304</v>
          </cell>
          <cell r="I1090">
            <v>19</v>
          </cell>
          <cell r="J1090">
            <v>4.5617273419913101E-5</v>
          </cell>
          <cell r="K1090">
            <v>3150</v>
          </cell>
          <cell r="L1090">
            <v>232.47949362114801</v>
          </cell>
          <cell r="M1090">
            <v>1583</v>
          </cell>
          <cell r="N1090">
            <v>1.1830476768094299E-2</v>
          </cell>
          <cell r="O1090">
            <v>1890</v>
          </cell>
          <cell r="Q1090">
            <v>3226</v>
          </cell>
        </row>
        <row r="1091">
          <cell r="B1091" t="str">
            <v>FOOTHILL 1101549904</v>
          </cell>
          <cell r="C1091">
            <v>182951101</v>
          </cell>
          <cell r="D1091" t="str">
            <v>FOOTHILL 1101</v>
          </cell>
          <cell r="E1091">
            <v>549904</v>
          </cell>
          <cell r="F1091" t="b">
            <v>1</v>
          </cell>
          <cell r="G1091">
            <v>8119.1518723900199</v>
          </cell>
          <cell r="H1091">
            <v>250.443387946396</v>
          </cell>
          <cell r="I1091">
            <v>54</v>
          </cell>
          <cell r="J1091">
            <v>6.4657008099149797E-5</v>
          </cell>
          <cell r="K1091">
            <v>2616</v>
          </cell>
          <cell r="L1091">
            <v>224.28200395129301</v>
          </cell>
          <cell r="M1091">
            <v>1596</v>
          </cell>
          <cell r="N1091">
            <v>1.4902463840271E-2</v>
          </cell>
          <cell r="O1091">
            <v>1785</v>
          </cell>
          <cell r="P1091">
            <v>1.1499999999999999</v>
          </cell>
          <cell r="Q1091">
            <v>708</v>
          </cell>
        </row>
        <row r="1092">
          <cell r="B1092" t="str">
            <v>FOOTHILL 1101645910</v>
          </cell>
          <cell r="C1092">
            <v>182951101</v>
          </cell>
          <cell r="D1092" t="str">
            <v>FOOTHILL 1101</v>
          </cell>
          <cell r="E1092">
            <v>645910</v>
          </cell>
          <cell r="F1092" t="b">
            <v>1</v>
          </cell>
          <cell r="G1092">
            <v>3990.9244342673801</v>
          </cell>
          <cell r="H1092">
            <v>774.62770488262902</v>
          </cell>
          <cell r="I1092">
            <v>14</v>
          </cell>
          <cell r="J1092">
            <v>1.2447224448156399E-4</v>
          </cell>
          <cell r="K1092">
            <v>1110</v>
          </cell>
          <cell r="L1092">
            <v>1323.27976633821</v>
          </cell>
          <cell r="M1092">
            <v>673</v>
          </cell>
          <cell r="N1092">
            <v>0.191344603388615</v>
          </cell>
          <cell r="O1092">
            <v>366</v>
          </cell>
          <cell r="Q1092">
            <v>3245</v>
          </cell>
        </row>
        <row r="1093">
          <cell r="B1093" t="str">
            <v>FOOTHILL 1101722270</v>
          </cell>
          <cell r="C1093">
            <v>182951101</v>
          </cell>
          <cell r="D1093" t="str">
            <v>FOOTHILL 1101</v>
          </cell>
          <cell r="E1093">
            <v>722270</v>
          </cell>
          <cell r="F1093" t="b">
            <v>1</v>
          </cell>
          <cell r="G1093">
            <v>712.80562960876898</v>
          </cell>
          <cell r="H1093">
            <v>283.55736446676298</v>
          </cell>
          <cell r="I1093">
            <v>5</v>
          </cell>
          <cell r="J1093">
            <v>3.3230431654374102E-5</v>
          </cell>
          <cell r="K1093">
            <v>3380</v>
          </cell>
          <cell r="L1093">
            <v>133.03626531809499</v>
          </cell>
          <cell r="M1093">
            <v>1839</v>
          </cell>
          <cell r="N1093">
            <v>7.0957196361197596E-3</v>
          </cell>
          <cell r="O1093">
            <v>2089</v>
          </cell>
          <cell r="Q1093">
            <v>3434</v>
          </cell>
        </row>
        <row r="1094">
          <cell r="B1094" t="str">
            <v>FOOTHILL 1101798137</v>
          </cell>
          <cell r="C1094">
            <v>182951101</v>
          </cell>
          <cell r="D1094" t="str">
            <v>FOOTHILL 1101</v>
          </cell>
          <cell r="E1094">
            <v>798137</v>
          </cell>
          <cell r="F1094" t="b">
            <v>1</v>
          </cell>
          <cell r="G1094">
            <v>581.82283638822605</v>
          </cell>
          <cell r="H1094">
            <v>68.014926949327602</v>
          </cell>
          <cell r="I1094">
            <v>5</v>
          </cell>
          <cell r="J1094">
            <v>4.0802273724693797E-5</v>
          </cell>
          <cell r="K1094">
            <v>3250</v>
          </cell>
          <cell r="L1094">
            <v>6.5403974056243902E-2</v>
          </cell>
          <cell r="M1094">
            <v>3417</v>
          </cell>
          <cell r="N1094">
            <v>2.6637227323377602E-6</v>
          </cell>
          <cell r="O1094">
            <v>3444</v>
          </cell>
          <cell r="Q1094">
            <v>3045</v>
          </cell>
        </row>
        <row r="1095">
          <cell r="B1095" t="str">
            <v>FOOTHILL 1101CB</v>
          </cell>
          <cell r="C1095">
            <v>182951101</v>
          </cell>
          <cell r="D1095" t="str">
            <v>FOOTHILL 1101</v>
          </cell>
          <cell r="E1095" t="str">
            <v>CB</v>
          </cell>
          <cell r="F1095" t="b">
            <v>0</v>
          </cell>
          <cell r="G1095">
            <v>35256.717382639901</v>
          </cell>
          <cell r="H1095">
            <v>21554.471264808501</v>
          </cell>
          <cell r="I1095">
            <v>149</v>
          </cell>
          <cell r="J1095">
            <v>5.7417506772671403E-5</v>
          </cell>
          <cell r="K1095">
            <v>2852</v>
          </cell>
          <cell r="L1095">
            <v>1255.3202306369701</v>
          </cell>
          <cell r="M1095">
            <v>698</v>
          </cell>
          <cell r="N1095">
            <v>7.9315774825810204E-2</v>
          </cell>
          <cell r="O1095">
            <v>908</v>
          </cell>
          <cell r="P1095">
            <v>3.17</v>
          </cell>
          <cell r="Q1095">
            <v>557</v>
          </cell>
        </row>
        <row r="1096">
          <cell r="B1096" t="str">
            <v>FOOTHILL 110299432</v>
          </cell>
          <cell r="C1096">
            <v>182951102</v>
          </cell>
          <cell r="D1096" t="str">
            <v>FOOTHILL 1102</v>
          </cell>
          <cell r="E1096">
            <v>99432</v>
          </cell>
          <cell r="F1096" t="b">
            <v>0</v>
          </cell>
          <cell r="G1096">
            <v>13966.7809766968</v>
          </cell>
          <cell r="H1096">
            <v>2359.0159090785801</v>
          </cell>
          <cell r="I1096">
            <v>115</v>
          </cell>
          <cell r="J1096">
            <v>2.7225520090979101E-5</v>
          </cell>
          <cell r="K1096">
            <v>3470</v>
          </cell>
          <cell r="L1096">
            <v>10.8779896793158</v>
          </cell>
          <cell r="M1096">
            <v>2612</v>
          </cell>
          <cell r="N1096">
            <v>3.9549093182712297E-4</v>
          </cell>
          <cell r="O1096">
            <v>2765</v>
          </cell>
          <cell r="P1096">
            <v>7.0000000000000007E-2</v>
          </cell>
          <cell r="Q1096">
            <v>1745</v>
          </cell>
        </row>
        <row r="1097">
          <cell r="B1097" t="str">
            <v>FOOTHILL 1102CB</v>
          </cell>
          <cell r="C1097">
            <v>182951102</v>
          </cell>
          <cell r="D1097" t="str">
            <v>FOOTHILL 1102</v>
          </cell>
          <cell r="E1097" t="str">
            <v>CB</v>
          </cell>
          <cell r="F1097" t="b">
            <v>0</v>
          </cell>
          <cell r="G1097">
            <v>15763.111397566699</v>
          </cell>
          <cell r="H1097">
            <v>12699.3510232959</v>
          </cell>
          <cell r="I1097">
            <v>97</v>
          </cell>
          <cell r="J1097">
            <v>5.9508645893767602E-5</v>
          </cell>
          <cell r="K1097">
            <v>2789</v>
          </cell>
          <cell r="L1097">
            <v>274.142828966769</v>
          </cell>
          <cell r="M1097">
            <v>1486</v>
          </cell>
          <cell r="N1097">
            <v>2.3626728625695401E-2</v>
          </cell>
          <cell r="O1097">
            <v>1586</v>
          </cell>
          <cell r="P1097">
            <v>0.1</v>
          </cell>
          <cell r="Q1097">
            <v>1488</v>
          </cell>
        </row>
        <row r="1098">
          <cell r="B1098" t="str">
            <v>FOOTHILL 1102V06</v>
          </cell>
          <cell r="C1098">
            <v>182951102</v>
          </cell>
          <cell r="D1098" t="str">
            <v>FOOTHILL 1102</v>
          </cell>
          <cell r="E1098" t="str">
            <v>V06</v>
          </cell>
          <cell r="F1098" t="b">
            <v>0</v>
          </cell>
          <cell r="G1098">
            <v>10508.937616950599</v>
          </cell>
          <cell r="H1098">
            <v>3602.7995406027899</v>
          </cell>
          <cell r="I1098">
            <v>66</v>
          </cell>
          <cell r="J1098">
            <v>4.6125191954249001E-5</v>
          </cell>
          <cell r="K1098">
            <v>3135</v>
          </cell>
          <cell r="L1098">
            <v>94.471350155206295</v>
          </cell>
          <cell r="M1098">
            <v>1983</v>
          </cell>
          <cell r="N1098">
            <v>7.6059794005505802E-3</v>
          </cell>
          <cell r="O1098">
            <v>2066</v>
          </cell>
          <cell r="P1098">
            <v>0.87</v>
          </cell>
          <cell r="Q1098">
            <v>757</v>
          </cell>
        </row>
        <row r="1099">
          <cell r="B1099" t="str">
            <v>FORESTHILL 11011802</v>
          </cell>
          <cell r="C1099">
            <v>152181101</v>
          </cell>
          <cell r="D1099" t="str">
            <v>FORESTHILL 1101</v>
          </cell>
          <cell r="E1099">
            <v>1802</v>
          </cell>
          <cell r="F1099" t="b">
            <v>0</v>
          </cell>
          <cell r="G1099">
            <v>35771.022931005202</v>
          </cell>
          <cell r="H1099">
            <v>35771.022931005202</v>
          </cell>
          <cell r="I1099">
            <v>259</v>
          </cell>
          <cell r="J1099">
            <v>1.56806132052287E-4</v>
          </cell>
          <cell r="K1099">
            <v>674</v>
          </cell>
          <cell r="L1099">
            <v>79.811026063432607</v>
          </cell>
          <cell r="M1099">
            <v>2049</v>
          </cell>
          <cell r="N1099">
            <v>1.2496064949307399E-2</v>
          </cell>
          <cell r="O1099">
            <v>1865</v>
          </cell>
          <cell r="P1099">
            <v>95.5</v>
          </cell>
          <cell r="Q1099">
            <v>25</v>
          </cell>
        </row>
        <row r="1100">
          <cell r="B1100" t="str">
            <v>FORESTHILL 11011820</v>
          </cell>
          <cell r="C1100">
            <v>152181101</v>
          </cell>
          <cell r="D1100" t="str">
            <v>FORESTHILL 1101</v>
          </cell>
          <cell r="E1100">
            <v>1820</v>
          </cell>
          <cell r="F1100" t="b">
            <v>0</v>
          </cell>
          <cell r="G1100">
            <v>9227.6621796480995</v>
          </cell>
          <cell r="H1100">
            <v>9227.6621796480995</v>
          </cell>
          <cell r="I1100">
            <v>51</v>
          </cell>
          <cell r="J1100">
            <v>7.9051640425984406E-5</v>
          </cell>
          <cell r="K1100">
            <v>2234</v>
          </cell>
          <cell r="L1100">
            <v>127.80016290252399</v>
          </cell>
          <cell r="M1100">
            <v>1850</v>
          </cell>
          <cell r="N1100">
            <v>8.0276299575977508E-3</v>
          </cell>
          <cell r="O1100">
            <v>2045</v>
          </cell>
          <cell r="P1100">
            <v>46.68</v>
          </cell>
          <cell r="Q1100">
            <v>139</v>
          </cell>
        </row>
        <row r="1101">
          <cell r="B1101" t="str">
            <v>FORESTHILL 110137238</v>
          </cell>
          <cell r="C1101">
            <v>152181101</v>
          </cell>
          <cell r="D1101" t="str">
            <v>FORESTHILL 1101</v>
          </cell>
          <cell r="E1101">
            <v>37238</v>
          </cell>
          <cell r="F1101" t="b">
            <v>0</v>
          </cell>
          <cell r="G1101">
            <v>18384.281288983399</v>
          </cell>
          <cell r="H1101">
            <v>18384.281288983399</v>
          </cell>
          <cell r="I1101">
            <v>79</v>
          </cell>
          <cell r="J1101">
            <v>9.0760121374363405E-5</v>
          </cell>
          <cell r="K1101">
            <v>1890</v>
          </cell>
          <cell r="L1101">
            <v>274.181672758893</v>
          </cell>
          <cell r="M1101">
            <v>1485</v>
          </cell>
          <cell r="N1101">
            <v>3.1693082566799598E-2</v>
          </cell>
          <cell r="O1101">
            <v>1434</v>
          </cell>
          <cell r="P1101">
            <v>39.57</v>
          </cell>
          <cell r="Q1101">
            <v>188</v>
          </cell>
        </row>
        <row r="1102">
          <cell r="B1102" t="str">
            <v>FORESTHILL 110150486</v>
          </cell>
          <cell r="C1102">
            <v>152181101</v>
          </cell>
          <cell r="D1102" t="str">
            <v>FORESTHILL 1101</v>
          </cell>
          <cell r="E1102">
            <v>50486</v>
          </cell>
          <cell r="F1102" t="b">
            <v>0</v>
          </cell>
          <cell r="G1102">
            <v>18786.574973068498</v>
          </cell>
          <cell r="H1102">
            <v>18786.574973068498</v>
          </cell>
          <cell r="I1102">
            <v>163</v>
          </cell>
          <cell r="J1102">
            <v>1.0931955350393601E-4</v>
          </cell>
          <cell r="K1102">
            <v>1425</v>
          </cell>
          <cell r="L1102">
            <v>43.079010291500602</v>
          </cell>
          <cell r="M1102">
            <v>2261</v>
          </cell>
          <cell r="N1102">
            <v>3.76225014680755E-3</v>
          </cell>
          <cell r="O1102">
            <v>2270</v>
          </cell>
          <cell r="P1102">
            <v>86.95</v>
          </cell>
          <cell r="Q1102">
            <v>38</v>
          </cell>
        </row>
        <row r="1103">
          <cell r="B1103" t="str">
            <v>FORESTHILL 110175340</v>
          </cell>
          <cell r="C1103">
            <v>152181101</v>
          </cell>
          <cell r="D1103" t="str">
            <v>FORESTHILL 1101</v>
          </cell>
          <cell r="E1103">
            <v>75340</v>
          </cell>
          <cell r="F1103" t="b">
            <v>0</v>
          </cell>
          <cell r="G1103">
            <v>7696.0179108012399</v>
          </cell>
          <cell r="H1103">
            <v>7696.0179108012399</v>
          </cell>
          <cell r="I1103">
            <v>62</v>
          </cell>
          <cell r="J1103">
            <v>2.21109668399871E-4</v>
          </cell>
          <cell r="K1103">
            <v>314</v>
          </cell>
          <cell r="L1103">
            <v>112.785285067861</v>
          </cell>
          <cell r="M1103">
            <v>1902</v>
          </cell>
          <cell r="N1103">
            <v>1.96798911795418E-2</v>
          </cell>
          <cell r="O1103">
            <v>1676</v>
          </cell>
          <cell r="P1103">
            <v>43.45</v>
          </cell>
          <cell r="Q1103">
            <v>168</v>
          </cell>
        </row>
        <row r="1104">
          <cell r="B1104" t="str">
            <v>FORESTHILL 1101CB</v>
          </cell>
          <cell r="C1104">
            <v>152181101</v>
          </cell>
          <cell r="D1104" t="str">
            <v>FORESTHILL 1101</v>
          </cell>
          <cell r="E1104" t="str">
            <v>CB</v>
          </cell>
          <cell r="F1104" t="b">
            <v>0</v>
          </cell>
          <cell r="G1104">
            <v>14659.752168425999</v>
          </cell>
          <cell r="H1104">
            <v>14659.752168425999</v>
          </cell>
          <cell r="I1104">
            <v>110</v>
          </cell>
          <cell r="J1104">
            <v>2.3141434083465099E-4</v>
          </cell>
          <cell r="K1104">
            <v>282</v>
          </cell>
          <cell r="L1104">
            <v>46.734763589580297</v>
          </cell>
          <cell r="M1104">
            <v>2235</v>
          </cell>
          <cell r="N1104">
            <v>7.7431089031759701E-3</v>
          </cell>
          <cell r="O1104">
            <v>2058</v>
          </cell>
          <cell r="P1104">
            <v>50.51</v>
          </cell>
          <cell r="Q1104">
            <v>118</v>
          </cell>
        </row>
        <row r="1105">
          <cell r="B1105" t="str">
            <v>FORESTHILL 11022106</v>
          </cell>
          <cell r="C1105">
            <v>152181102</v>
          </cell>
          <cell r="D1105" t="str">
            <v>FORESTHILL 1102</v>
          </cell>
          <cell r="E1105">
            <v>2106</v>
          </cell>
          <cell r="F1105" t="b">
            <v>0</v>
          </cell>
          <cell r="G1105">
            <v>44861.554298871102</v>
          </cell>
          <cell r="H1105">
            <v>44861.554298871102</v>
          </cell>
          <cell r="I1105">
            <v>264</v>
          </cell>
          <cell r="J1105">
            <v>1.21152497671532E-4</v>
          </cell>
          <cell r="K1105">
            <v>1162</v>
          </cell>
          <cell r="L1105">
            <v>368.59696171882598</v>
          </cell>
          <cell r="M1105">
            <v>1341</v>
          </cell>
          <cell r="N1105">
            <v>4.0195856728479099E-2</v>
          </cell>
          <cell r="O1105">
            <v>1301</v>
          </cell>
          <cell r="P1105">
            <v>51.56</v>
          </cell>
          <cell r="Q1105">
            <v>115</v>
          </cell>
        </row>
        <row r="1106">
          <cell r="B1106" t="str">
            <v>FORESTHILL 1102CB</v>
          </cell>
          <cell r="C1106">
            <v>152181102</v>
          </cell>
          <cell r="D1106" t="str">
            <v>FORESTHILL 1102</v>
          </cell>
          <cell r="E1106" t="str">
            <v>CB</v>
          </cell>
          <cell r="F1106" t="b">
            <v>0</v>
          </cell>
          <cell r="G1106">
            <v>2646.4634093219602</v>
          </cell>
          <cell r="H1106">
            <v>2646.4634093219602</v>
          </cell>
          <cell r="I1106">
            <v>13</v>
          </cell>
          <cell r="J1106">
            <v>2.8983305128349397E-4</v>
          </cell>
          <cell r="K1106">
            <v>139</v>
          </cell>
          <cell r="L1106">
            <v>1109.8091042974499</v>
          </cell>
          <cell r="M1106">
            <v>772</v>
          </cell>
          <cell r="N1106">
            <v>0.30872948116728099</v>
          </cell>
          <cell r="O1106">
            <v>129</v>
          </cell>
          <cell r="P1106">
            <v>5.34</v>
          </cell>
          <cell r="Q1106">
            <v>489</v>
          </cell>
        </row>
        <row r="1107">
          <cell r="B1107" t="str">
            <v>FORT BRAGG A 11013100</v>
          </cell>
          <cell r="C1107">
            <v>42761101</v>
          </cell>
          <cell r="D1107" t="str">
            <v>FORT BRAGG A 1101</v>
          </cell>
          <cell r="E1107">
            <v>3100</v>
          </cell>
          <cell r="F1107" t="b">
            <v>0</v>
          </cell>
          <cell r="G1107">
            <v>23694.172671643799</v>
          </cell>
          <cell r="H1107">
            <v>19636.327202124299</v>
          </cell>
          <cell r="I1107">
            <v>198</v>
          </cell>
          <cell r="J1107">
            <v>6.4543809723529406E-5</v>
          </cell>
          <cell r="K1107">
            <v>2625</v>
          </cell>
          <cell r="L1107">
            <v>14.969687582710799</v>
          </cell>
          <cell r="M1107">
            <v>2532</v>
          </cell>
          <cell r="N1107">
            <v>6.1510923899684496E-4</v>
          </cell>
          <cell r="O1107">
            <v>2703</v>
          </cell>
          <cell r="P1107">
            <v>0.06</v>
          </cell>
          <cell r="Q1107">
            <v>1863</v>
          </cell>
        </row>
        <row r="1108">
          <cell r="B1108" t="str">
            <v>FORT BRAGG A 11013113</v>
          </cell>
          <cell r="C1108">
            <v>42761101</v>
          </cell>
          <cell r="D1108" t="str">
            <v>FORT BRAGG A 1101</v>
          </cell>
          <cell r="E1108">
            <v>3113</v>
          </cell>
          <cell r="F1108" t="b">
            <v>0</v>
          </cell>
          <cell r="G1108">
            <v>16133.3329761117</v>
          </cell>
          <cell r="H1108">
            <v>16133.3329761117</v>
          </cell>
          <cell r="I1108">
            <v>68</v>
          </cell>
          <cell r="J1108">
            <v>8.36433992470333E-5</v>
          </cell>
          <cell r="K1108">
            <v>2106</v>
          </cell>
          <cell r="L1108">
            <v>76.242152648949201</v>
          </cell>
          <cell r="M1108">
            <v>2061</v>
          </cell>
          <cell r="N1108">
            <v>6.2346972384128199E-3</v>
          </cell>
          <cell r="O1108">
            <v>2140</v>
          </cell>
          <cell r="P1108">
            <v>0.05</v>
          </cell>
          <cell r="Q1108">
            <v>1961</v>
          </cell>
        </row>
        <row r="1109">
          <cell r="B1109" t="str">
            <v>FORT BRAGG A 11014622</v>
          </cell>
          <cell r="C1109">
            <v>42761101</v>
          </cell>
          <cell r="D1109" t="str">
            <v>FORT BRAGG A 1101</v>
          </cell>
          <cell r="E1109">
            <v>4622</v>
          </cell>
          <cell r="F1109" t="b">
            <v>0</v>
          </cell>
          <cell r="G1109">
            <v>21650.664821123199</v>
          </cell>
          <cell r="H1109">
            <v>21650.664821123199</v>
          </cell>
          <cell r="I1109">
            <v>109</v>
          </cell>
          <cell r="J1109">
            <v>2.8634997728978998E-4</v>
          </cell>
          <cell r="K1109">
            <v>145</v>
          </cell>
          <cell r="L1109">
            <v>73.589115140930701</v>
          </cell>
          <cell r="M1109">
            <v>2077</v>
          </cell>
          <cell r="N1109">
            <v>1.1135681008034E-2</v>
          </cell>
          <cell r="O1109">
            <v>1913</v>
          </cell>
          <cell r="P1109">
            <v>0.1</v>
          </cell>
          <cell r="Q1109">
            <v>1454</v>
          </cell>
        </row>
        <row r="1110">
          <cell r="B1110" t="str">
            <v>FORT BRAGG A 11014698</v>
          </cell>
          <cell r="C1110">
            <v>42761101</v>
          </cell>
          <cell r="D1110" t="str">
            <v>FORT BRAGG A 1101</v>
          </cell>
          <cell r="E1110">
            <v>4698</v>
          </cell>
          <cell r="F1110" t="b">
            <v>0</v>
          </cell>
          <cell r="G1110">
            <v>12883.0061528894</v>
          </cell>
          <cell r="H1110">
            <v>12883.0061528894</v>
          </cell>
          <cell r="I1110">
            <v>101</v>
          </cell>
          <cell r="J1110">
            <v>1.8389004127480901E-4</v>
          </cell>
          <cell r="K1110">
            <v>481</v>
          </cell>
          <cell r="L1110">
            <v>12.0639133209049</v>
          </cell>
          <cell r="M1110">
            <v>2584</v>
          </cell>
          <cell r="N1110">
            <v>9.7756043501149898E-4</v>
          </cell>
          <cell r="O1110">
            <v>2638</v>
          </cell>
          <cell r="P1110">
            <v>0.05</v>
          </cell>
          <cell r="Q1110">
            <v>1998</v>
          </cell>
        </row>
        <row r="1111">
          <cell r="B1111" t="str">
            <v>FORT BRAGG A 110195294</v>
          </cell>
          <cell r="C1111">
            <v>42761101</v>
          </cell>
          <cell r="D1111" t="str">
            <v>FORT BRAGG A 1101</v>
          </cell>
          <cell r="E1111">
            <v>95294</v>
          </cell>
          <cell r="F1111" t="b">
            <v>0</v>
          </cell>
          <cell r="G1111">
            <v>43494.719356383401</v>
          </cell>
          <cell r="H1111">
            <v>43494.719356383401</v>
          </cell>
          <cell r="I1111">
            <v>186</v>
          </cell>
          <cell r="J1111">
            <v>1.2236573470698599E-4</v>
          </cell>
          <cell r="K1111">
            <v>1142</v>
          </cell>
          <cell r="L1111">
            <v>194.725632911536</v>
          </cell>
          <cell r="M1111">
            <v>1654</v>
          </cell>
          <cell r="N1111">
            <v>2.3448932580153199E-2</v>
          </cell>
          <cell r="O1111">
            <v>1589</v>
          </cell>
          <cell r="P1111">
            <v>0.05</v>
          </cell>
          <cell r="Q1111">
            <v>2049</v>
          </cell>
        </row>
        <row r="1112">
          <cell r="B1112" t="str">
            <v>FORT BRAGG A 11021226</v>
          </cell>
          <cell r="C1112">
            <v>42761102</v>
          </cell>
          <cell r="D1112" t="str">
            <v>FORT BRAGG A 1102</v>
          </cell>
          <cell r="E1112">
            <v>1226</v>
          </cell>
          <cell r="F1112" t="b">
            <v>0</v>
          </cell>
          <cell r="G1112">
            <v>12686.937088763299</v>
          </cell>
          <cell r="H1112">
            <v>2717.74242764665</v>
          </cell>
          <cell r="I1112">
            <v>102</v>
          </cell>
          <cell r="J1112">
            <v>7.3175208417167398E-5</v>
          </cell>
          <cell r="K1112">
            <v>2391</v>
          </cell>
          <cell r="L1112">
            <v>0.99720338319828705</v>
          </cell>
          <cell r="M1112">
            <v>2892</v>
          </cell>
          <cell r="N1112">
            <v>7.0365820097090099E-5</v>
          </cell>
          <cell r="O1112">
            <v>2888</v>
          </cell>
          <cell r="P1112">
            <v>0.01</v>
          </cell>
          <cell r="Q1112">
            <v>2602</v>
          </cell>
        </row>
        <row r="1113">
          <cell r="B1113" t="str">
            <v>FORT BRAGG A 110231304</v>
          </cell>
          <cell r="C1113">
            <v>42761102</v>
          </cell>
          <cell r="D1113" t="str">
            <v>FORT BRAGG A 1102</v>
          </cell>
          <cell r="E1113">
            <v>31304</v>
          </cell>
          <cell r="F1113" t="b">
            <v>0</v>
          </cell>
          <cell r="G1113">
            <v>34880.316182849601</v>
          </cell>
          <cell r="H1113">
            <v>34880.316182849601</v>
          </cell>
          <cell r="I1113">
            <v>119</v>
          </cell>
          <cell r="J1113">
            <v>1.0967965499730699E-4</v>
          </cell>
          <cell r="K1113">
            <v>1417</v>
          </cell>
          <cell r="L1113">
            <v>25.822764504824502</v>
          </cell>
          <cell r="M1113">
            <v>2381</v>
          </cell>
          <cell r="N1113">
            <v>3.3856586678599099E-3</v>
          </cell>
          <cell r="O1113">
            <v>2305</v>
          </cell>
          <cell r="P1113">
            <v>0.23</v>
          </cell>
          <cell r="Q1113">
            <v>1121</v>
          </cell>
        </row>
        <row r="1114">
          <cell r="B1114" t="str">
            <v>FORT BRAGG A 110233064</v>
          </cell>
          <cell r="C1114">
            <v>42761102</v>
          </cell>
          <cell r="D1114" t="str">
            <v>FORT BRAGG A 1102</v>
          </cell>
          <cell r="E1114">
            <v>33064</v>
          </cell>
          <cell r="F1114" t="b">
            <v>1</v>
          </cell>
          <cell r="G1114">
            <v>5902.0297419758499</v>
          </cell>
          <cell r="H1114">
            <v>0</v>
          </cell>
          <cell r="I1114">
            <v>49</v>
          </cell>
          <cell r="J1114">
            <v>4.8351062235139702E-5</v>
          </cell>
          <cell r="K1114">
            <v>3084</v>
          </cell>
          <cell r="L1114">
            <v>6.5147589932388297E-2</v>
          </cell>
          <cell r="M1114">
            <v>3593</v>
          </cell>
          <cell r="N1114">
            <v>3.14995517529026E-6</v>
          </cell>
          <cell r="O1114">
            <v>3394</v>
          </cell>
          <cell r="Q1114">
            <v>3017</v>
          </cell>
        </row>
        <row r="1115">
          <cell r="B1115" t="str">
            <v>FORT BRAGG A 110235592</v>
          </cell>
          <cell r="C1115">
            <v>42761102</v>
          </cell>
          <cell r="D1115" t="str">
            <v>FORT BRAGG A 1102</v>
          </cell>
          <cell r="E1115">
            <v>35592</v>
          </cell>
          <cell r="F1115" t="b">
            <v>0</v>
          </cell>
          <cell r="G1115">
            <v>21129.6387640963</v>
          </cell>
          <cell r="H1115">
            <v>21129.6387640963</v>
          </cell>
          <cell r="I1115">
            <v>149</v>
          </cell>
          <cell r="J1115">
            <v>1.44291141885869E-4</v>
          </cell>
          <cell r="K1115">
            <v>808</v>
          </cell>
          <cell r="L1115">
            <v>0.385354229901476</v>
          </cell>
          <cell r="M1115">
            <v>2920</v>
          </cell>
          <cell r="N1115">
            <v>3.1961357243629299E-5</v>
          </cell>
          <cell r="O1115">
            <v>2927</v>
          </cell>
          <cell r="P1115">
            <v>0.14000000000000001</v>
          </cell>
          <cell r="Q1115">
            <v>1329</v>
          </cell>
        </row>
        <row r="1116">
          <cell r="B1116" t="str">
            <v>FORT BRAGG A 1102418</v>
          </cell>
          <cell r="C1116">
            <v>42761102</v>
          </cell>
          <cell r="D1116" t="str">
            <v>FORT BRAGG A 1102</v>
          </cell>
          <cell r="E1116">
            <v>418</v>
          </cell>
          <cell r="F1116" t="b">
            <v>0</v>
          </cell>
          <cell r="G1116">
            <v>22746.330241068699</v>
          </cell>
          <cell r="H1116">
            <v>22539.294477894699</v>
          </cell>
          <cell r="I1116">
            <v>178</v>
          </cell>
          <cell r="J1116">
            <v>9.9715577892890296E-5</v>
          </cell>
          <cell r="K1116">
            <v>1655</v>
          </cell>
          <cell r="L1116">
            <v>6.6381330247951495E-2</v>
          </cell>
          <cell r="M1116">
            <v>3126</v>
          </cell>
          <cell r="N1116">
            <v>6.6205435788197999E-6</v>
          </cell>
          <cell r="O1116">
            <v>3184</v>
          </cell>
          <cell r="P1116">
            <v>0.17</v>
          </cell>
          <cell r="Q1116">
            <v>1236</v>
          </cell>
        </row>
        <row r="1117">
          <cell r="B1117" t="str">
            <v>FORT BRAGG A 1102816</v>
          </cell>
          <cell r="C1117">
            <v>42761102</v>
          </cell>
          <cell r="D1117" t="str">
            <v>FORT BRAGG A 1102</v>
          </cell>
          <cell r="E1117">
            <v>816</v>
          </cell>
          <cell r="F1117" t="b">
            <v>0</v>
          </cell>
          <cell r="G1117">
            <v>4123.7572302511699</v>
          </cell>
          <cell r="H1117">
            <v>3941.7419416140101</v>
          </cell>
          <cell r="I1117">
            <v>29</v>
          </cell>
          <cell r="J1117">
            <v>1.2426667697205799E-4</v>
          </cell>
          <cell r="K1117">
            <v>1112</v>
          </cell>
          <cell r="L1117">
            <v>6.6298981378330499E-2</v>
          </cell>
          <cell r="M1117">
            <v>3150</v>
          </cell>
          <cell r="N1117">
            <v>8.2406765623738795E-6</v>
          </cell>
          <cell r="O1117">
            <v>3115</v>
          </cell>
          <cell r="P1117">
            <v>0.05</v>
          </cell>
          <cell r="Q1117">
            <v>2024</v>
          </cell>
        </row>
        <row r="1118">
          <cell r="B1118" t="str">
            <v>FORT BRAGG A 1102956</v>
          </cell>
          <cell r="C1118">
            <v>42761102</v>
          </cell>
          <cell r="D1118" t="str">
            <v>FORT BRAGG A 1102</v>
          </cell>
          <cell r="E1118">
            <v>956</v>
          </cell>
          <cell r="F1118" t="b">
            <v>0</v>
          </cell>
          <cell r="G1118">
            <v>19682.088271915301</v>
          </cell>
          <cell r="H1118">
            <v>18278.726736359498</v>
          </cell>
          <cell r="I1118">
            <v>145</v>
          </cell>
          <cell r="J1118">
            <v>8.7665127265891302E-5</v>
          </cell>
          <cell r="K1118">
            <v>1994</v>
          </cell>
          <cell r="L1118">
            <v>0.39403693083504698</v>
          </cell>
          <cell r="M1118">
            <v>2918</v>
          </cell>
          <cell r="N1118">
            <v>4.09075598833445E-5</v>
          </cell>
          <cell r="O1118">
            <v>2913</v>
          </cell>
          <cell r="P1118">
            <v>0.15</v>
          </cell>
          <cell r="Q1118">
            <v>1277</v>
          </cell>
        </row>
        <row r="1119">
          <cell r="B1119" t="str">
            <v>FORT BRAGG A 1102CB</v>
          </cell>
          <cell r="C1119">
            <v>42761102</v>
          </cell>
          <cell r="D1119" t="str">
            <v>FORT BRAGG A 1102</v>
          </cell>
          <cell r="E1119" t="str">
            <v>CB</v>
          </cell>
          <cell r="F1119" t="b">
            <v>0</v>
          </cell>
          <cell r="G1119">
            <v>9310.1864742693906</v>
          </cell>
          <cell r="H1119">
            <v>3594.4278887854698</v>
          </cell>
          <cell r="I1119">
            <v>73</v>
          </cell>
          <cell r="J1119">
            <v>6.7929232936377997E-5</v>
          </cell>
          <cell r="K1119">
            <v>2538</v>
          </cell>
          <cell r="L1119">
            <v>6.5429068136243398E-2</v>
          </cell>
          <cell r="M1119">
            <v>3407</v>
          </cell>
          <cell r="N1119">
            <v>4.4533132755543002E-6</v>
          </cell>
          <cell r="O1119">
            <v>3300</v>
          </cell>
          <cell r="P1119">
            <v>0.03</v>
          </cell>
          <cell r="Q1119">
            <v>2291</v>
          </cell>
        </row>
        <row r="1120">
          <cell r="B1120" t="str">
            <v>FORT BRAGG A 1103284356</v>
          </cell>
          <cell r="C1120">
            <v>42761103</v>
          </cell>
          <cell r="D1120" t="str">
            <v>FORT BRAGG A 1103</v>
          </cell>
          <cell r="E1120">
            <v>284356</v>
          </cell>
          <cell r="F1120" t="b">
            <v>1</v>
          </cell>
          <cell r="G1120">
            <v>325.87745488176603</v>
          </cell>
          <cell r="H1120">
            <v>218.126972985072</v>
          </cell>
          <cell r="I1120">
            <v>4</v>
          </cell>
          <cell r="J1120">
            <v>1.21581651910673E-4</v>
          </cell>
          <cell r="K1120">
            <v>1155</v>
          </cell>
          <cell r="L1120">
            <v>6.6110773161205297E-2</v>
          </cell>
          <cell r="M1120">
            <v>3192</v>
          </cell>
          <cell r="N1120">
            <v>7.9902155915988299E-6</v>
          </cell>
          <cell r="O1120">
            <v>3125</v>
          </cell>
          <cell r="Q1120">
            <v>3341</v>
          </cell>
        </row>
        <row r="1121">
          <cell r="B1121" t="str">
            <v>FORT BRAGG A 1103CB</v>
          </cell>
          <cell r="C1121">
            <v>42761103</v>
          </cell>
          <cell r="D1121" t="str">
            <v>FORT BRAGG A 1103</v>
          </cell>
          <cell r="E1121" t="str">
            <v>CB</v>
          </cell>
          <cell r="F1121" t="b">
            <v>1</v>
          </cell>
          <cell r="G1121">
            <v>3993.2278078291001</v>
          </cell>
          <cell r="H1121">
            <v>151.46931018347499</v>
          </cell>
          <cell r="I1121">
            <v>40</v>
          </cell>
          <cell r="J1121">
            <v>2.54910195572404E-5</v>
          </cell>
          <cell r="K1121">
            <v>3491</v>
          </cell>
          <cell r="L1121">
            <v>6.51796960400155E-2</v>
          </cell>
          <cell r="M1121">
            <v>3537</v>
          </cell>
          <cell r="N1121">
            <v>1.6633386787455501E-6</v>
          </cell>
          <cell r="O1121">
            <v>3539</v>
          </cell>
          <cell r="Q1121">
            <v>3157</v>
          </cell>
        </row>
        <row r="1122">
          <cell r="B1122" t="str">
            <v>FORT BRAGG A 11041316</v>
          </cell>
          <cell r="C1122">
            <v>42761104</v>
          </cell>
          <cell r="D1122" t="str">
            <v>FORT BRAGG A 1104</v>
          </cell>
          <cell r="E1122">
            <v>1316</v>
          </cell>
          <cell r="F1122" t="b">
            <v>0</v>
          </cell>
          <cell r="G1122">
            <v>22645.668453864</v>
          </cell>
          <cell r="H1122">
            <v>22101.068796394102</v>
          </cell>
          <cell r="I1122">
            <v>166</v>
          </cell>
          <cell r="J1122">
            <v>7.7968299376329997E-5</v>
          </cell>
          <cell r="K1122">
            <v>2260</v>
          </cell>
          <cell r="L1122">
            <v>13.3542116504505</v>
          </cell>
          <cell r="M1122">
            <v>2565</v>
          </cell>
          <cell r="N1122">
            <v>1.3124279929684799E-3</v>
          </cell>
          <cell r="O1122">
            <v>2581</v>
          </cell>
          <cell r="P1122">
            <v>0.12</v>
          </cell>
          <cell r="Q1122">
            <v>1400</v>
          </cell>
        </row>
        <row r="1123">
          <cell r="B1123" t="str">
            <v>FORT BRAGG A 110436526</v>
          </cell>
          <cell r="C1123">
            <v>42761104</v>
          </cell>
          <cell r="D1123" t="str">
            <v>FORT BRAGG A 1104</v>
          </cell>
          <cell r="E1123">
            <v>36526</v>
          </cell>
          <cell r="F1123" t="b">
            <v>1</v>
          </cell>
          <cell r="G1123">
            <v>10589.235749879899</v>
          </cell>
          <cell r="H1123">
            <v>72.264479420827101</v>
          </cell>
          <cell r="I1123">
            <v>84</v>
          </cell>
          <cell r="J1123">
            <v>5.5601908823316696E-6</v>
          </cell>
          <cell r="K1123">
            <v>3633</v>
          </cell>
          <cell r="L1123">
            <v>6.5162878555067805E-2</v>
          </cell>
          <cell r="M1123">
            <v>3552</v>
          </cell>
          <cell r="N1123">
            <v>3.6398106789292198E-7</v>
          </cell>
          <cell r="O1123">
            <v>3633</v>
          </cell>
          <cell r="P1123">
            <v>0.02</v>
          </cell>
          <cell r="Q1123">
            <v>2418</v>
          </cell>
        </row>
        <row r="1124">
          <cell r="B1124" t="str">
            <v>FORT BRAGG A 11044690</v>
          </cell>
          <cell r="C1124">
            <v>42761104</v>
          </cell>
          <cell r="D1124" t="str">
            <v>FORT BRAGG A 1104</v>
          </cell>
          <cell r="E1124">
            <v>4690</v>
          </cell>
          <cell r="F1124" t="b">
            <v>0</v>
          </cell>
          <cell r="G1124">
            <v>23028.367099520699</v>
          </cell>
          <cell r="H1124">
            <v>18710.8642904966</v>
          </cell>
          <cell r="I1124">
            <v>161</v>
          </cell>
          <cell r="J1124">
            <v>8.9068315179474596E-5</v>
          </cell>
          <cell r="K1124">
            <v>1944</v>
          </cell>
          <cell r="L1124">
            <v>4.3458214520117497</v>
          </cell>
          <cell r="M1124">
            <v>2772</v>
          </cell>
          <cell r="N1124">
            <v>2.9438695756763602E-4</v>
          </cell>
          <cell r="O1124">
            <v>2800</v>
          </cell>
          <cell r="P1124">
            <v>0.16</v>
          </cell>
          <cell r="Q1124">
            <v>1260</v>
          </cell>
        </row>
        <row r="1125">
          <cell r="B1125" t="str">
            <v>FORT BRAGG A 110465894</v>
          </cell>
          <cell r="C1125">
            <v>42761104</v>
          </cell>
          <cell r="D1125" t="str">
            <v>FORT BRAGG A 1104</v>
          </cell>
          <cell r="E1125">
            <v>65894</v>
          </cell>
          <cell r="F1125" t="b">
            <v>1</v>
          </cell>
          <cell r="G1125">
            <v>1441.63909393533</v>
          </cell>
          <cell r="H1125">
            <v>0</v>
          </cell>
          <cell r="I1125">
            <v>12</v>
          </cell>
          <cell r="J1125">
            <v>4.0627021216247701E-5</v>
          </cell>
          <cell r="K1125">
            <v>3255</v>
          </cell>
          <cell r="L1125">
            <v>6.51475899323882E-2</v>
          </cell>
          <cell r="M1125">
            <v>3601</v>
          </cell>
          <cell r="N1125">
            <v>2.6467525183705402E-6</v>
          </cell>
          <cell r="O1125">
            <v>3449</v>
          </cell>
          <cell r="Q1125">
            <v>3031</v>
          </cell>
        </row>
        <row r="1126">
          <cell r="B1126" t="str">
            <v>FORT BRAGG A 1104920850</v>
          </cell>
          <cell r="C1126">
            <v>42761104</v>
          </cell>
          <cell r="D1126" t="str">
            <v>FORT BRAGG A 1104</v>
          </cell>
          <cell r="E1126">
            <v>920850</v>
          </cell>
          <cell r="F1126" t="b">
            <v>1</v>
          </cell>
          <cell r="G1126">
            <v>514.64250845601202</v>
          </cell>
          <cell r="H1126">
            <v>322.19944605384399</v>
          </cell>
          <cell r="I1126">
            <v>3</v>
          </cell>
          <cell r="J1126">
            <v>2.15141932130791E-4</v>
          </cell>
          <cell r="K1126">
            <v>340</v>
          </cell>
          <cell r="L1126">
            <v>6.5575671367418001E-2</v>
          </cell>
          <cell r="M1126">
            <v>3348</v>
          </cell>
          <cell r="N1126">
            <v>1.40602737689514E-5</v>
          </cell>
          <cell r="O1126">
            <v>3018</v>
          </cell>
          <cell r="Q1126">
            <v>3600</v>
          </cell>
        </row>
        <row r="1127">
          <cell r="B1127" t="str">
            <v>FORT BRAGG A 1104CB</v>
          </cell>
          <cell r="C1127">
            <v>42761104</v>
          </cell>
          <cell r="D1127" t="str">
            <v>FORT BRAGG A 1104</v>
          </cell>
          <cell r="E1127" t="str">
            <v>CB</v>
          </cell>
          <cell r="F1127" t="b">
            <v>1</v>
          </cell>
          <cell r="G1127">
            <v>4613.0306235068201</v>
          </cell>
          <cell r="H1127">
            <v>118.744337025137</v>
          </cell>
          <cell r="I1127">
            <v>41</v>
          </cell>
          <cell r="J1127">
            <v>1.93339826864757E-5</v>
          </cell>
          <cell r="K1127">
            <v>3548</v>
          </cell>
          <cell r="L1127">
            <v>6.5147589932388297E-2</v>
          </cell>
          <cell r="M1127">
            <v>3592</v>
          </cell>
          <cell r="N1127">
            <v>1.25956237581841E-6</v>
          </cell>
          <cell r="O1127">
            <v>3566</v>
          </cell>
          <cell r="P1127">
            <v>0.02</v>
          </cell>
          <cell r="Q1127">
            <v>2443</v>
          </cell>
        </row>
        <row r="1128">
          <cell r="B1128" t="str">
            <v>FORT ORD 210637286</v>
          </cell>
          <cell r="C1128">
            <v>182402106</v>
          </cell>
          <cell r="D1128" t="str">
            <v>FORT ORD 2106</v>
          </cell>
          <cell r="E1128">
            <v>37286</v>
          </cell>
          <cell r="F1128" t="b">
            <v>0</v>
          </cell>
          <cell r="G1128">
            <v>5924.4604872132804</v>
          </cell>
          <cell r="H1128">
            <v>4150.8287037582804</v>
          </cell>
          <cell r="I1128">
            <v>25</v>
          </cell>
          <cell r="J1128">
            <v>7.3809471186472094E-5</v>
          </cell>
          <cell r="K1128">
            <v>2365</v>
          </cell>
          <cell r="L1128">
            <v>26.971242523064902</v>
          </cell>
          <cell r="M1128">
            <v>2368</v>
          </cell>
          <cell r="N1128">
            <v>2.6542757440984502E-3</v>
          </cell>
          <cell r="O1128">
            <v>2391</v>
          </cell>
          <cell r="P1128">
            <v>0.03</v>
          </cell>
          <cell r="Q1128">
            <v>2256</v>
          </cell>
        </row>
        <row r="1129">
          <cell r="B1129" t="str">
            <v>FORT ORD 21069656</v>
          </cell>
          <cell r="C1129">
            <v>182402106</v>
          </cell>
          <cell r="D1129" t="str">
            <v>FORT ORD 2106</v>
          </cell>
          <cell r="E1129">
            <v>9656</v>
          </cell>
          <cell r="F1129" t="b">
            <v>1</v>
          </cell>
          <cell r="G1129">
            <v>188.98829727100701</v>
          </cell>
          <cell r="H1129">
            <v>188.98829727100701</v>
          </cell>
          <cell r="I1129">
            <v>2</v>
          </cell>
          <cell r="J1129">
            <v>5.8277016250940499E-5</v>
          </cell>
          <cell r="K1129">
            <v>2826</v>
          </cell>
          <cell r="L1129">
            <v>6.6431834237477602E-2</v>
          </cell>
          <cell r="M1129">
            <v>2981</v>
          </cell>
          <cell r="N1129">
            <v>3.8714490834372699E-6</v>
          </cell>
          <cell r="O1129">
            <v>3344</v>
          </cell>
          <cell r="Q1129">
            <v>3621</v>
          </cell>
        </row>
        <row r="1130">
          <cell r="B1130" t="str">
            <v>FORT ORD 21069658</v>
          </cell>
          <cell r="C1130">
            <v>182402106</v>
          </cell>
          <cell r="D1130" t="str">
            <v>FORT ORD 2106</v>
          </cell>
          <cell r="E1130">
            <v>9658</v>
          </cell>
          <cell r="F1130" t="b">
            <v>1</v>
          </cell>
          <cell r="G1130">
            <v>156.01246532479999</v>
          </cell>
          <cell r="H1130">
            <v>156.01246532479999</v>
          </cell>
          <cell r="I1130">
            <v>3</v>
          </cell>
          <cell r="J1130">
            <v>1.2787319671285E-4</v>
          </cell>
          <cell r="K1130">
            <v>1049</v>
          </cell>
          <cell r="L1130">
            <v>6.6431834237477602E-2</v>
          </cell>
          <cell r="M1130">
            <v>2984</v>
          </cell>
          <cell r="N1130">
            <v>8.4948510074444403E-6</v>
          </cell>
          <cell r="O1130">
            <v>3107</v>
          </cell>
          <cell r="P1130">
            <v>0.04</v>
          </cell>
          <cell r="Q1130">
            <v>2071</v>
          </cell>
        </row>
        <row r="1131">
          <cell r="B1131" t="str">
            <v>FORT ORD 210736596</v>
          </cell>
          <cell r="C1131">
            <v>182402107</v>
          </cell>
          <cell r="D1131" t="str">
            <v>FORT ORD 2107</v>
          </cell>
          <cell r="E1131">
            <v>36596</v>
          </cell>
          <cell r="F1131" t="b">
            <v>0</v>
          </cell>
          <cell r="G1131">
            <v>20043.761925103801</v>
          </cell>
          <cell r="H1131">
            <v>6572.3951000747702</v>
          </cell>
          <cell r="I1131">
            <v>145</v>
          </cell>
          <cell r="J1131">
            <v>1.7190210766310701E-5</v>
          </cell>
          <cell r="K1131">
            <v>3570</v>
          </cell>
          <cell r="L1131">
            <v>17.052014602777099</v>
          </cell>
          <cell r="M1131">
            <v>2503</v>
          </cell>
          <cell r="N1131">
            <v>1.3847296572902399E-3</v>
          </cell>
          <cell r="O1131">
            <v>2578</v>
          </cell>
          <cell r="P1131">
            <v>0.03</v>
          </cell>
          <cell r="Q1131">
            <v>2397</v>
          </cell>
        </row>
        <row r="1132">
          <cell r="B1132" t="str">
            <v>FORT ROSS 1121124</v>
          </cell>
          <cell r="C1132">
            <v>42851121</v>
          </cell>
          <cell r="D1132" t="str">
            <v>FORT ROSS 1121</v>
          </cell>
          <cell r="E1132">
            <v>124</v>
          </cell>
          <cell r="F1132" t="b">
            <v>0</v>
          </cell>
          <cell r="G1132">
            <v>29762.438438341898</v>
          </cell>
          <cell r="H1132">
            <v>29762.438438341898</v>
          </cell>
          <cell r="I1132">
            <v>99</v>
          </cell>
          <cell r="J1132">
            <v>1.15636973699723E-4</v>
          </cell>
          <cell r="K1132">
            <v>1282</v>
          </cell>
          <cell r="L1132">
            <v>546.74060464575905</v>
          </cell>
          <cell r="M1132">
            <v>1151</v>
          </cell>
          <cell r="N1132">
            <v>6.45969877703398E-2</v>
          </cell>
          <cell r="O1132">
            <v>1022</v>
          </cell>
          <cell r="P1132">
            <v>4.6399999999999997</v>
          </cell>
          <cell r="Q1132">
            <v>511</v>
          </cell>
        </row>
        <row r="1133">
          <cell r="B1133" t="str">
            <v>FORT ROSS 1121134</v>
          </cell>
          <cell r="C1133">
            <v>42851121</v>
          </cell>
          <cell r="D1133" t="str">
            <v>FORT ROSS 1121</v>
          </cell>
          <cell r="E1133">
            <v>134</v>
          </cell>
          <cell r="F1133" t="b">
            <v>0</v>
          </cell>
          <cell r="G1133">
            <v>13416.4815688294</v>
          </cell>
          <cell r="H1133">
            <v>13272.540894527699</v>
          </cell>
          <cell r="I1133">
            <v>99</v>
          </cell>
          <cell r="J1133">
            <v>9.5753838843048601E-5</v>
          </cell>
          <cell r="K1133">
            <v>1735</v>
          </cell>
          <cell r="L1133">
            <v>24.545285904188699</v>
          </cell>
          <cell r="M1133">
            <v>2393</v>
          </cell>
          <cell r="N1133">
            <v>1.9671301572968401E-3</v>
          </cell>
          <cell r="O1133">
            <v>2481</v>
          </cell>
          <cell r="P1133">
            <v>0.04</v>
          </cell>
          <cell r="Q1133">
            <v>2145</v>
          </cell>
        </row>
        <row r="1134">
          <cell r="B1134" t="str">
            <v>FORT ROSS 1121204</v>
          </cell>
          <cell r="C1134">
            <v>42851121</v>
          </cell>
          <cell r="D1134" t="str">
            <v>FORT ROSS 1121</v>
          </cell>
          <cell r="E1134">
            <v>204</v>
          </cell>
          <cell r="F1134" t="b">
            <v>0</v>
          </cell>
          <cell r="G1134">
            <v>31553.8481901427</v>
          </cell>
          <cell r="H1134">
            <v>31553.8481901427</v>
          </cell>
          <cell r="I1134">
            <v>107</v>
          </cell>
          <cell r="J1134">
            <v>1.7265624851111499E-4</v>
          </cell>
          <cell r="K1134">
            <v>545</v>
          </cell>
          <cell r="L1134">
            <v>673.96591364480696</v>
          </cell>
          <cell r="M1134">
            <v>1039</v>
          </cell>
          <cell r="N1134">
            <v>0.10066641211684101</v>
          </cell>
          <cell r="O1134">
            <v>760</v>
          </cell>
          <cell r="P1134">
            <v>11.03</v>
          </cell>
          <cell r="Q1134">
            <v>390</v>
          </cell>
        </row>
        <row r="1135">
          <cell r="B1135" t="str">
            <v>FORT ROSS 11212987</v>
          </cell>
          <cell r="C1135">
            <v>42851121</v>
          </cell>
          <cell r="D1135" t="str">
            <v>FORT ROSS 1121</v>
          </cell>
          <cell r="E1135">
            <v>2987</v>
          </cell>
          <cell r="F1135" t="b">
            <v>0</v>
          </cell>
          <cell r="G1135">
            <v>3171.95830516155</v>
          </cell>
          <cell r="H1135">
            <v>3171.95830516155</v>
          </cell>
          <cell r="I1135">
            <v>18</v>
          </cell>
          <cell r="J1135">
            <v>2.6359993434097199E-4</v>
          </cell>
          <cell r="K1135">
            <v>186</v>
          </cell>
          <cell r="L1135">
            <v>74.106997191986395</v>
          </cell>
          <cell r="M1135">
            <v>2072</v>
          </cell>
          <cell r="N1135">
            <v>1.8602658356271E-2</v>
          </cell>
          <cell r="O1135">
            <v>1692</v>
          </cell>
          <cell r="P1135">
            <v>15.92</v>
          </cell>
          <cell r="Q1135">
            <v>343</v>
          </cell>
        </row>
        <row r="1136">
          <cell r="B1136" t="str">
            <v>FORT ROSS 112137326</v>
          </cell>
          <cell r="C1136">
            <v>42851121</v>
          </cell>
          <cell r="D1136" t="str">
            <v>FORT ROSS 1121</v>
          </cell>
          <cell r="E1136">
            <v>37326</v>
          </cell>
          <cell r="F1136" t="b">
            <v>0</v>
          </cell>
          <cell r="G1136">
            <v>8213.2529929817701</v>
          </cell>
          <cell r="H1136">
            <v>8213.2529929817701</v>
          </cell>
          <cell r="I1136">
            <v>31</v>
          </cell>
          <cell r="J1136">
            <v>5.9994149523845401E-5</v>
          </cell>
          <cell r="K1136">
            <v>2777</v>
          </cell>
          <cell r="L1136">
            <v>369.11629256798301</v>
          </cell>
          <cell r="M1136">
            <v>1338</v>
          </cell>
          <cell r="N1136">
            <v>2.6358024286718899E-2</v>
          </cell>
          <cell r="O1136">
            <v>1528</v>
          </cell>
          <cell r="P1136">
            <v>0.04</v>
          </cell>
          <cell r="Q1136">
            <v>2195</v>
          </cell>
        </row>
        <row r="1137">
          <cell r="B1137" t="str">
            <v>FORT ROSS 11214614</v>
          </cell>
          <cell r="C1137">
            <v>42851121</v>
          </cell>
          <cell r="D1137" t="str">
            <v>FORT ROSS 1121</v>
          </cell>
          <cell r="E1137">
            <v>4614</v>
          </cell>
          <cell r="F1137" t="b">
            <v>0</v>
          </cell>
          <cell r="G1137">
            <v>20206.897221101499</v>
          </cell>
          <cell r="H1137">
            <v>20206.897221101499</v>
          </cell>
          <cell r="I1137">
            <v>95</v>
          </cell>
          <cell r="J1137">
            <v>1.10709248876542E-4</v>
          </cell>
          <cell r="K1137">
            <v>1396</v>
          </cell>
          <cell r="L1137">
            <v>701.25644508250298</v>
          </cell>
          <cell r="M1137">
            <v>1022</v>
          </cell>
          <cell r="N1137">
            <v>7.5773444029742995E-2</v>
          </cell>
          <cell r="O1137">
            <v>933</v>
          </cell>
          <cell r="Q1137">
            <v>3306</v>
          </cell>
        </row>
        <row r="1138">
          <cell r="B1138" t="str">
            <v>FORT ROSS 11214947</v>
          </cell>
          <cell r="C1138">
            <v>42851121</v>
          </cell>
          <cell r="D1138" t="str">
            <v>FORT ROSS 1121</v>
          </cell>
          <cell r="E1138">
            <v>4947</v>
          </cell>
          <cell r="F1138" t="b">
            <v>0</v>
          </cell>
          <cell r="G1138">
            <v>16652.800930834499</v>
          </cell>
          <cell r="H1138">
            <v>16652.800930834499</v>
          </cell>
          <cell r="I1138">
            <v>56</v>
          </cell>
          <cell r="J1138">
            <v>1.6311836829255199E-4</v>
          </cell>
          <cell r="K1138">
            <v>611</v>
          </cell>
          <cell r="L1138">
            <v>298.29375152704398</v>
          </cell>
          <cell r="M1138">
            <v>1450</v>
          </cell>
          <cell r="N1138">
            <v>5.2017631950561402E-2</v>
          </cell>
          <cell r="O1138">
            <v>1158</v>
          </cell>
          <cell r="P1138">
            <v>9.0399999999999991</v>
          </cell>
          <cell r="Q1138">
            <v>414</v>
          </cell>
        </row>
        <row r="1139">
          <cell r="B1139" t="str">
            <v>FORT ROSS 1121560</v>
          </cell>
          <cell r="C1139">
            <v>42851121</v>
          </cell>
          <cell r="D1139" t="str">
            <v>FORT ROSS 1121</v>
          </cell>
          <cell r="E1139">
            <v>560</v>
          </cell>
          <cell r="F1139" t="b">
            <v>0</v>
          </cell>
          <cell r="G1139">
            <v>9061.7878224704109</v>
          </cell>
          <cell r="H1139">
            <v>8145.5491277777001</v>
          </cell>
          <cell r="I1139">
            <v>31</v>
          </cell>
          <cell r="J1139">
            <v>9.9933555071812902E-5</v>
          </cell>
          <cell r="K1139">
            <v>1648</v>
          </cell>
          <cell r="L1139">
            <v>60.835124063395597</v>
          </cell>
          <cell r="M1139">
            <v>2148</v>
          </cell>
          <cell r="N1139">
            <v>6.4599132425729802E-3</v>
          </cell>
          <cell r="O1139">
            <v>2129</v>
          </cell>
          <cell r="P1139">
            <v>0.02</v>
          </cell>
          <cell r="Q1139">
            <v>2420</v>
          </cell>
        </row>
        <row r="1140">
          <cell r="B1140" t="str">
            <v>FORT ROSS 112170288</v>
          </cell>
          <cell r="C1140">
            <v>42851121</v>
          </cell>
          <cell r="D1140" t="str">
            <v>FORT ROSS 1121</v>
          </cell>
          <cell r="E1140">
            <v>70288</v>
          </cell>
          <cell r="F1140" t="b">
            <v>0</v>
          </cell>
          <cell r="G1140">
            <v>18879.798378548199</v>
          </cell>
          <cell r="H1140">
            <v>18879.798378548199</v>
          </cell>
          <cell r="I1140">
            <v>94</v>
          </cell>
          <cell r="J1140">
            <v>1.9388465551200599E-4</v>
          </cell>
          <cell r="K1140">
            <v>426</v>
          </cell>
          <cell r="L1140">
            <v>228.600710111187</v>
          </cell>
          <cell r="M1140">
            <v>1590</v>
          </cell>
          <cell r="N1140">
            <v>3.5368883420908603E-2</v>
          </cell>
          <cell r="O1140">
            <v>1366</v>
          </cell>
          <cell r="P1140">
            <v>36.18</v>
          </cell>
          <cell r="Q1140">
            <v>207</v>
          </cell>
        </row>
        <row r="1141">
          <cell r="B1141" t="str">
            <v>FORT ROSS 1121CB</v>
          </cell>
          <cell r="C1141">
            <v>42851121</v>
          </cell>
          <cell r="D1141" t="str">
            <v>FORT ROSS 1121</v>
          </cell>
          <cell r="E1141" t="str">
            <v>CB</v>
          </cell>
          <cell r="F1141" t="b">
            <v>1</v>
          </cell>
          <cell r="G1141">
            <v>25.933359741527699</v>
          </cell>
          <cell r="H1141">
            <v>25.933359741527699</v>
          </cell>
          <cell r="I1141">
            <v>1</v>
          </cell>
          <cell r="J1141">
            <v>1.38553397846408E-4</v>
          </cell>
          <cell r="K1141">
            <v>888</v>
          </cell>
          <cell r="L1141">
            <v>1382.2826683825599</v>
          </cell>
          <cell r="M1141">
            <v>648</v>
          </cell>
          <cell r="N1141">
            <v>0.19151996048860401</v>
          </cell>
          <cell r="O1141">
            <v>365</v>
          </cell>
          <cell r="P1141">
            <v>0.05</v>
          </cell>
          <cell r="Q1141">
            <v>1929</v>
          </cell>
        </row>
        <row r="1142">
          <cell r="B1142" t="str">
            <v>FORT SEWARD 11211602</v>
          </cell>
          <cell r="C1142">
            <v>192321121</v>
          </cell>
          <cell r="D1142" t="str">
            <v>FORT SEWARD 1121</v>
          </cell>
          <cell r="E1142">
            <v>1602</v>
          </cell>
          <cell r="F1142" t="b">
            <v>0</v>
          </cell>
          <cell r="G1142">
            <v>36538.7847621904</v>
          </cell>
          <cell r="H1142">
            <v>29307.754225452201</v>
          </cell>
          <cell r="I1142">
            <v>109</v>
          </cell>
          <cell r="J1142">
            <v>1.42138718145807E-4</v>
          </cell>
          <cell r="K1142">
            <v>837</v>
          </cell>
          <cell r="L1142">
            <v>344.24925428131297</v>
          </cell>
          <cell r="M1142">
            <v>1379</v>
          </cell>
          <cell r="N1142">
            <v>4.8110533028654499E-2</v>
          </cell>
          <cell r="O1142">
            <v>1194</v>
          </cell>
          <cell r="P1142">
            <v>7.0000000000000007E-2</v>
          </cell>
          <cell r="Q1142">
            <v>1681</v>
          </cell>
        </row>
        <row r="1143">
          <cell r="B1143" t="str">
            <v>FORT SEWARD 11211690</v>
          </cell>
          <cell r="C1143">
            <v>192321121</v>
          </cell>
          <cell r="D1143" t="str">
            <v>FORT SEWARD 1121</v>
          </cell>
          <cell r="E1143">
            <v>1690</v>
          </cell>
          <cell r="F1143" t="b">
            <v>0</v>
          </cell>
          <cell r="G1143">
            <v>26217.8201076572</v>
          </cell>
          <cell r="H1143">
            <v>17377.702702536699</v>
          </cell>
          <cell r="I1143">
            <v>77</v>
          </cell>
          <cell r="J1143">
            <v>1.9540007482434001E-4</v>
          </cell>
          <cell r="K1143">
            <v>415</v>
          </cell>
          <cell r="L1143">
            <v>901.066963747008</v>
          </cell>
          <cell r="M1143">
            <v>883</v>
          </cell>
          <cell r="N1143">
            <v>0.17449028217505699</v>
          </cell>
          <cell r="O1143">
            <v>420</v>
          </cell>
          <cell r="P1143">
            <v>7.44</v>
          </cell>
          <cell r="Q1143">
            <v>444</v>
          </cell>
        </row>
        <row r="1144">
          <cell r="B1144" t="str">
            <v>FORT SEWARD 1121CB</v>
          </cell>
          <cell r="C1144">
            <v>192321121</v>
          </cell>
          <cell r="D1144" t="str">
            <v>FORT SEWARD 1121</v>
          </cell>
          <cell r="E1144" t="str">
            <v>CB</v>
          </cell>
          <cell r="F1144" t="b">
            <v>0</v>
          </cell>
          <cell r="G1144">
            <v>14807.5224306853</v>
          </cell>
          <cell r="H1144">
            <v>14807.5224306853</v>
          </cell>
          <cell r="I1144">
            <v>54</v>
          </cell>
          <cell r="J1144">
            <v>1.98543738610614E-4</v>
          </cell>
          <cell r="K1144">
            <v>400</v>
          </cell>
          <cell r="L1144">
            <v>804.63121663117602</v>
          </cell>
          <cell r="M1144">
            <v>935</v>
          </cell>
          <cell r="N1144">
            <v>0.14139378455606999</v>
          </cell>
          <cell r="O1144">
            <v>566</v>
          </cell>
          <cell r="P1144">
            <v>7.0000000000000007E-2</v>
          </cell>
          <cell r="Q1144">
            <v>1742</v>
          </cell>
        </row>
        <row r="1145">
          <cell r="B1145" t="str">
            <v>FORT SEWARD 1122CB</v>
          </cell>
          <cell r="C1145">
            <v>192321122</v>
          </cell>
          <cell r="D1145" t="str">
            <v>FORT SEWARD 1122</v>
          </cell>
          <cell r="E1145" t="str">
            <v>CB</v>
          </cell>
          <cell r="F1145" t="b">
            <v>0</v>
          </cell>
          <cell r="G1145">
            <v>35287.617845341301</v>
          </cell>
          <cell r="H1145">
            <v>28413.103102264799</v>
          </cell>
          <cell r="I1145">
            <v>111</v>
          </cell>
          <cell r="J1145">
            <v>2.2836354526878201E-4</v>
          </cell>
          <cell r="K1145">
            <v>290</v>
          </cell>
          <cell r="L1145">
            <v>382.05235040562002</v>
          </cell>
          <cell r="M1145">
            <v>1317</v>
          </cell>
          <cell r="N1145">
            <v>8.4457394743662206E-2</v>
          </cell>
          <cell r="O1145">
            <v>867</v>
          </cell>
          <cell r="P1145">
            <v>0.06</v>
          </cell>
          <cell r="Q1145">
            <v>1910</v>
          </cell>
        </row>
        <row r="1146">
          <cell r="B1146" t="str">
            <v>FRANKLIN 1101P138</v>
          </cell>
          <cell r="C1146">
            <v>13921101</v>
          </cell>
          <cell r="D1146" t="str">
            <v>FRANKLIN 1101</v>
          </cell>
          <cell r="E1146" t="str">
            <v>P138</v>
          </cell>
          <cell r="F1146" t="b">
            <v>0</v>
          </cell>
          <cell r="G1146">
            <v>2470.0231534182699</v>
          </cell>
          <cell r="H1146">
            <v>2259.0029574934401</v>
          </cell>
          <cell r="I1146">
            <v>15</v>
          </cell>
          <cell r="J1146">
            <v>9.8985798363823295E-5</v>
          </cell>
          <cell r="K1146">
            <v>1670</v>
          </cell>
          <cell r="L1146">
            <v>6.6089473627109097E-2</v>
          </cell>
          <cell r="M1146">
            <v>3200</v>
          </cell>
          <cell r="N1146">
            <v>6.5684403366789497E-6</v>
          </cell>
          <cell r="O1146">
            <v>3185</v>
          </cell>
          <cell r="P1146">
            <v>0.04</v>
          </cell>
          <cell r="Q1146">
            <v>2093</v>
          </cell>
        </row>
        <row r="1147">
          <cell r="B1147" t="str">
            <v>FRANKLIN 1104CB</v>
          </cell>
          <cell r="C1147">
            <v>13921104</v>
          </cell>
          <cell r="D1147" t="str">
            <v>FRANKLIN 1104</v>
          </cell>
          <cell r="E1147" t="str">
            <v>CB</v>
          </cell>
          <cell r="F1147" t="b">
            <v>1</v>
          </cell>
          <cell r="G1147">
            <v>8361.6686398801103</v>
          </cell>
          <cell r="H1147">
            <v>466.264071484883</v>
          </cell>
          <cell r="I1147">
            <v>63</v>
          </cell>
          <cell r="J1147">
            <v>3.1090504702054497E-5</v>
          </cell>
          <cell r="K1147">
            <v>3414</v>
          </cell>
          <cell r="L1147">
            <v>6.5209312074413897E-2</v>
          </cell>
          <cell r="M1147">
            <v>3507</v>
          </cell>
          <cell r="N1147">
            <v>2.0367101996748199E-6</v>
          </cell>
          <cell r="O1147">
            <v>3507</v>
          </cell>
          <cell r="P1147">
            <v>0.03</v>
          </cell>
          <cell r="Q1147">
            <v>2390</v>
          </cell>
        </row>
        <row r="1148">
          <cell r="B1148" t="str">
            <v>FRANKLIN 1104P136</v>
          </cell>
          <cell r="C1148">
            <v>13921104</v>
          </cell>
          <cell r="D1148" t="str">
            <v>FRANKLIN 1104</v>
          </cell>
          <cell r="E1148" t="str">
            <v>P136</v>
          </cell>
          <cell r="F1148" t="b">
            <v>0</v>
          </cell>
          <cell r="G1148">
            <v>9489.9011445599408</v>
          </cell>
          <cell r="H1148">
            <v>7931.4996600460299</v>
          </cell>
          <cell r="I1148">
            <v>43</v>
          </cell>
          <cell r="J1148">
            <v>8.0523129482327598E-5</v>
          </cell>
          <cell r="K1148">
            <v>2191</v>
          </cell>
          <cell r="L1148">
            <v>7.2549643326108304E-2</v>
          </cell>
          <cell r="M1148">
            <v>2940</v>
          </cell>
          <cell r="N1148">
            <v>5.7997338525468996E-6</v>
          </cell>
          <cell r="O1148">
            <v>3221</v>
          </cell>
          <cell r="P1148">
            <v>0.03</v>
          </cell>
          <cell r="Q1148">
            <v>2269</v>
          </cell>
        </row>
        <row r="1149">
          <cell r="B1149" t="str">
            <v>FRANKLIN 1104P146</v>
          </cell>
          <cell r="C1149">
            <v>13921104</v>
          </cell>
          <cell r="D1149" t="str">
            <v>FRANKLIN 1104</v>
          </cell>
          <cell r="E1149" t="str">
            <v>P146</v>
          </cell>
          <cell r="F1149" t="b">
            <v>0</v>
          </cell>
          <cell r="G1149">
            <v>5911.5651280588399</v>
          </cell>
          <cell r="H1149">
            <v>5843.5424604904301</v>
          </cell>
          <cell r="I1149">
            <v>36</v>
          </cell>
          <cell r="J1149">
            <v>1.02882687549156E-4</v>
          </cell>
          <cell r="K1149">
            <v>1572</v>
          </cell>
          <cell r="L1149">
            <v>24.739126447899</v>
          </cell>
          <cell r="M1149">
            <v>2392</v>
          </cell>
          <cell r="N1149">
            <v>3.36742825027755E-3</v>
          </cell>
          <cell r="O1149">
            <v>2307</v>
          </cell>
          <cell r="P1149">
            <v>0.05</v>
          </cell>
          <cell r="Q1149">
            <v>1925</v>
          </cell>
        </row>
        <row r="1150">
          <cell r="B1150" t="str">
            <v>FREMONT 1104MR339</v>
          </cell>
          <cell r="C1150">
            <v>14351104</v>
          </cell>
          <cell r="D1150" t="str">
            <v>FREMONT 1104</v>
          </cell>
          <cell r="E1150" t="str">
            <v>MR339</v>
          </cell>
          <cell r="F1150" t="b">
            <v>0</v>
          </cell>
          <cell r="G1150">
            <v>11213.6735138576</v>
          </cell>
          <cell r="H1150">
            <v>1921.23308930384</v>
          </cell>
          <cell r="I1150">
            <v>73</v>
          </cell>
          <cell r="J1150">
            <v>5.8955763575197497E-5</v>
          </cell>
          <cell r="K1150">
            <v>2809</v>
          </cell>
          <cell r="L1150">
            <v>692.78627477210796</v>
          </cell>
          <cell r="M1150">
            <v>1028</v>
          </cell>
          <cell r="N1150">
            <v>4.6886640743320399E-2</v>
          </cell>
          <cell r="O1150">
            <v>1213</v>
          </cell>
          <cell r="P1150">
            <v>1</v>
          </cell>
          <cell r="Q1150">
            <v>731</v>
          </cell>
        </row>
        <row r="1151">
          <cell r="B1151" t="str">
            <v>FRENCH GULCH 11011464</v>
          </cell>
          <cell r="C1151">
            <v>103381101</v>
          </cell>
          <cell r="D1151" t="str">
            <v>FRENCH GULCH 1101</v>
          </cell>
          <cell r="E1151">
            <v>1464</v>
          </cell>
          <cell r="F1151" t="b">
            <v>0</v>
          </cell>
          <cell r="G1151">
            <v>1371.4853570642299</v>
          </cell>
          <cell r="H1151">
            <v>1371.4853570642299</v>
          </cell>
          <cell r="I1151">
            <v>10</v>
          </cell>
          <cell r="J1151">
            <v>1.1205288355995401E-4</v>
          </cell>
          <cell r="K1151">
            <v>1368</v>
          </cell>
          <cell r="L1151">
            <v>126.581405558886</v>
          </cell>
          <cell r="M1151">
            <v>1854</v>
          </cell>
          <cell r="N1151">
            <v>1.68598683197312E-2</v>
          </cell>
          <cell r="O1151">
            <v>1743</v>
          </cell>
          <cell r="P1151">
            <v>0.09</v>
          </cell>
          <cell r="Q1151">
            <v>1538</v>
          </cell>
        </row>
        <row r="1152">
          <cell r="B1152" t="str">
            <v>FRENCH GULCH 11011892</v>
          </cell>
          <cell r="C1152">
            <v>103381101</v>
          </cell>
          <cell r="D1152" t="str">
            <v>FRENCH GULCH 1101</v>
          </cell>
          <cell r="E1152">
            <v>1892</v>
          </cell>
          <cell r="F1152" t="b">
            <v>0</v>
          </cell>
          <cell r="G1152">
            <v>5154.3446543293303</v>
          </cell>
          <cell r="H1152">
            <v>5154.3446543293303</v>
          </cell>
          <cell r="I1152">
            <v>12</v>
          </cell>
          <cell r="J1152">
            <v>1.1417938148952001E-4</v>
          </cell>
          <cell r="K1152">
            <v>1317</v>
          </cell>
          <cell r="L1152">
            <v>1393.52986699351</v>
          </cell>
          <cell r="M1152">
            <v>640</v>
          </cell>
          <cell r="N1152">
            <v>0.233386061475645</v>
          </cell>
          <cell r="O1152">
            <v>252</v>
          </cell>
          <cell r="P1152">
            <v>0.06</v>
          </cell>
          <cell r="Q1152">
            <v>1887</v>
          </cell>
        </row>
        <row r="1153">
          <cell r="B1153" t="str">
            <v>FRENCH GULCH 11012905</v>
          </cell>
          <cell r="C1153">
            <v>103381101</v>
          </cell>
          <cell r="D1153" t="str">
            <v>FRENCH GULCH 1101</v>
          </cell>
          <cell r="E1153">
            <v>2905</v>
          </cell>
          <cell r="F1153" t="b">
            <v>0</v>
          </cell>
          <cell r="G1153">
            <v>15594.3492084682</v>
          </cell>
          <cell r="H1153">
            <v>15594.3492084682</v>
          </cell>
          <cell r="I1153">
            <v>83</v>
          </cell>
          <cell r="J1153">
            <v>1.13236121606172E-4</v>
          </cell>
          <cell r="K1153">
            <v>1339</v>
          </cell>
          <cell r="L1153">
            <v>142.342099399939</v>
          </cell>
          <cell r="M1153">
            <v>1801</v>
          </cell>
          <cell r="N1153">
            <v>1.4647685919934801E-2</v>
          </cell>
          <cell r="O1153">
            <v>1797</v>
          </cell>
          <cell r="P1153">
            <v>0.04</v>
          </cell>
          <cell r="Q1153">
            <v>2182</v>
          </cell>
        </row>
        <row r="1154">
          <cell r="B1154" t="str">
            <v>FRENCH GULCH 1101CB</v>
          </cell>
          <cell r="C1154">
            <v>103381101</v>
          </cell>
          <cell r="D1154" t="str">
            <v>FRENCH GULCH 1101</v>
          </cell>
          <cell r="E1154" t="str">
            <v>CB</v>
          </cell>
          <cell r="F1154" t="b">
            <v>0</v>
          </cell>
          <cell r="G1154">
            <v>3697.53373911782</v>
          </cell>
          <cell r="H1154">
            <v>3697.53373911782</v>
          </cell>
          <cell r="I1154">
            <v>32</v>
          </cell>
          <cell r="J1154">
            <v>1.25821059668851E-4</v>
          </cell>
          <cell r="K1154">
            <v>1082</v>
          </cell>
          <cell r="L1154">
            <v>762.06038919114599</v>
          </cell>
          <cell r="M1154">
            <v>962</v>
          </cell>
          <cell r="N1154">
            <v>6.7292750707214799E-2</v>
          </cell>
          <cell r="O1154">
            <v>1001</v>
          </cell>
          <cell r="P1154">
            <v>0.05</v>
          </cell>
          <cell r="Q1154">
            <v>1960</v>
          </cell>
        </row>
        <row r="1155">
          <cell r="B1155" t="str">
            <v>FRENCH GULCH 11021462</v>
          </cell>
          <cell r="C1155">
            <v>103381102</v>
          </cell>
          <cell r="D1155" t="str">
            <v>FRENCH GULCH 1102</v>
          </cell>
          <cell r="E1155">
            <v>1462</v>
          </cell>
          <cell r="F1155" t="b">
            <v>0</v>
          </cell>
          <cell r="G1155">
            <v>16147.087422115599</v>
          </cell>
          <cell r="H1155">
            <v>16116.067594088299</v>
          </cell>
          <cell r="I1155">
            <v>51</v>
          </cell>
          <cell r="J1155">
            <v>1.91514385126841E-4</v>
          </cell>
          <cell r="K1155">
            <v>435</v>
          </cell>
          <cell r="L1155">
            <v>137.321377639925</v>
          </cell>
          <cell r="M1155">
            <v>1821</v>
          </cell>
          <cell r="N1155">
            <v>1.49499342173971E-2</v>
          </cell>
          <cell r="O1155">
            <v>1782</v>
          </cell>
          <cell r="P1155">
            <v>7.0000000000000007E-2</v>
          </cell>
          <cell r="Q1155">
            <v>1710</v>
          </cell>
        </row>
        <row r="1156">
          <cell r="B1156" t="str">
            <v>FRENCH GULCH 11022902</v>
          </cell>
          <cell r="C1156">
            <v>103381102</v>
          </cell>
          <cell r="D1156" t="str">
            <v>FRENCH GULCH 1102</v>
          </cell>
          <cell r="E1156">
            <v>2902</v>
          </cell>
          <cell r="F1156" t="b">
            <v>0</v>
          </cell>
          <cell r="G1156">
            <v>11242.822827440399</v>
          </cell>
          <cell r="H1156">
            <v>11242.822827440399</v>
          </cell>
          <cell r="I1156">
            <v>8</v>
          </cell>
          <cell r="J1156">
            <v>1.21463336351249E-4</v>
          </cell>
          <cell r="K1156">
            <v>1158</v>
          </cell>
          <cell r="L1156">
            <v>50.593349211977198</v>
          </cell>
          <cell r="M1156">
            <v>2209</v>
          </cell>
          <cell r="N1156">
            <v>1.6953764966411899E-3</v>
          </cell>
          <cell r="O1156">
            <v>2518</v>
          </cell>
          <cell r="P1156">
            <v>0.04</v>
          </cell>
          <cell r="Q1156">
            <v>2100</v>
          </cell>
        </row>
        <row r="1157">
          <cell r="B1157" t="str">
            <v>FRENCH GULCH 1102CB</v>
          </cell>
          <cell r="C1157">
            <v>103381102</v>
          </cell>
          <cell r="D1157" t="str">
            <v>FRENCH GULCH 1102</v>
          </cell>
          <cell r="E1157" t="str">
            <v>CB</v>
          </cell>
          <cell r="F1157" t="b">
            <v>0</v>
          </cell>
          <cell r="G1157">
            <v>2729.0128879213999</v>
          </cell>
          <cell r="H1157">
            <v>2729.0128879213999</v>
          </cell>
          <cell r="I1157">
            <v>12</v>
          </cell>
          <cell r="J1157">
            <v>1.8833160053569899E-4</v>
          </cell>
          <cell r="K1157">
            <v>451</v>
          </cell>
          <cell r="L1157">
            <v>298.79925072191401</v>
          </cell>
          <cell r="M1157">
            <v>1449</v>
          </cell>
          <cell r="N1157">
            <v>6.4740498892683504E-2</v>
          </cell>
          <cell r="O1157">
            <v>1021</v>
          </cell>
          <cell r="P1157">
            <v>0.03</v>
          </cell>
          <cell r="Q1157">
            <v>2234</v>
          </cell>
        </row>
        <row r="1158">
          <cell r="B1158" t="str">
            <v>FROGTOWN 170113412</v>
          </cell>
          <cell r="C1158">
            <v>163451701</v>
          </cell>
          <cell r="D1158" t="str">
            <v>FROGTOWN 1701</v>
          </cell>
          <cell r="E1158">
            <v>13412</v>
          </cell>
          <cell r="F1158" t="b">
            <v>0</v>
          </cell>
          <cell r="G1158">
            <v>62439.7254802803</v>
          </cell>
          <cell r="H1158">
            <v>62439.7254802803</v>
          </cell>
          <cell r="I1158">
            <v>333</v>
          </cell>
          <cell r="J1158">
            <v>1.1910702959893001E-4</v>
          </cell>
          <cell r="K1158">
            <v>1202</v>
          </cell>
          <cell r="L1158">
            <v>811.19054753134196</v>
          </cell>
          <cell r="M1158">
            <v>930</v>
          </cell>
          <cell r="N1158">
            <v>5.50181206940255E-2</v>
          </cell>
          <cell r="O1158">
            <v>1123</v>
          </cell>
          <cell r="P1158">
            <v>0.87</v>
          </cell>
          <cell r="Q1158">
            <v>756</v>
          </cell>
        </row>
        <row r="1159">
          <cell r="B1159" t="str">
            <v>FROGTOWN 17011623</v>
          </cell>
          <cell r="C1159">
            <v>163451701</v>
          </cell>
          <cell r="D1159" t="str">
            <v>FROGTOWN 1701</v>
          </cell>
          <cell r="E1159">
            <v>1623</v>
          </cell>
          <cell r="F1159" t="b">
            <v>0</v>
          </cell>
          <cell r="G1159">
            <v>24554.211113376001</v>
          </cell>
          <cell r="H1159">
            <v>24554.211113376001</v>
          </cell>
          <cell r="I1159">
            <v>152</v>
          </cell>
          <cell r="J1159">
            <v>7.6286374343525397E-5</v>
          </cell>
          <cell r="K1159">
            <v>2301</v>
          </cell>
          <cell r="L1159">
            <v>1590.8241592900499</v>
          </cell>
          <cell r="M1159">
            <v>564</v>
          </cell>
          <cell r="N1159">
            <v>0.10759584344398899</v>
          </cell>
          <cell r="O1159">
            <v>721</v>
          </cell>
          <cell r="P1159">
            <v>0.2</v>
          </cell>
          <cell r="Q1159">
            <v>1165</v>
          </cell>
        </row>
        <row r="1160">
          <cell r="B1160" t="str">
            <v>FROGTOWN 17016807</v>
          </cell>
          <cell r="C1160">
            <v>163451701</v>
          </cell>
          <cell r="D1160" t="str">
            <v>FROGTOWN 1701</v>
          </cell>
          <cell r="E1160">
            <v>6807</v>
          </cell>
          <cell r="F1160" t="b">
            <v>0</v>
          </cell>
          <cell r="G1160">
            <v>7894.5526843992102</v>
          </cell>
          <cell r="H1160">
            <v>7894.5526843992102</v>
          </cell>
          <cell r="I1160">
            <v>49</v>
          </cell>
          <cell r="J1160">
            <v>1.48369101819354E-4</v>
          </cell>
          <cell r="K1160">
            <v>759</v>
          </cell>
          <cell r="L1160">
            <v>586.65233245309503</v>
          </cell>
          <cell r="M1160">
            <v>1116</v>
          </cell>
          <cell r="N1160">
            <v>5.4516652438027301E-2</v>
          </cell>
          <cell r="O1160">
            <v>1128</v>
          </cell>
          <cell r="P1160">
            <v>0.08</v>
          </cell>
          <cell r="Q1160">
            <v>1650</v>
          </cell>
        </row>
        <row r="1161">
          <cell r="B1161" t="str">
            <v>FROGTOWN 1701CB</v>
          </cell>
          <cell r="C1161">
            <v>163451701</v>
          </cell>
          <cell r="D1161" t="str">
            <v>FROGTOWN 1701</v>
          </cell>
          <cell r="E1161" t="str">
            <v>CB</v>
          </cell>
          <cell r="F1161" t="b">
            <v>0</v>
          </cell>
          <cell r="G1161">
            <v>18045.047282006301</v>
          </cell>
          <cell r="H1161">
            <v>16189.788127576599</v>
          </cell>
          <cell r="I1161">
            <v>76</v>
          </cell>
          <cell r="J1161">
            <v>1.4572628103786301E-4</v>
          </cell>
          <cell r="K1161">
            <v>792</v>
          </cell>
          <cell r="L1161">
            <v>355.21752396823899</v>
          </cell>
          <cell r="M1161">
            <v>1365</v>
          </cell>
          <cell r="N1161">
            <v>3.6334452607590197E-2</v>
          </cell>
          <cell r="O1161">
            <v>1347</v>
          </cell>
          <cell r="P1161">
            <v>0.04</v>
          </cell>
          <cell r="Q1161">
            <v>2159</v>
          </cell>
        </row>
        <row r="1162">
          <cell r="B1162" t="str">
            <v>FROGTOWN 1701L3361</v>
          </cell>
          <cell r="C1162">
            <v>163451701</v>
          </cell>
          <cell r="D1162" t="str">
            <v>FROGTOWN 1701</v>
          </cell>
          <cell r="E1162" t="str">
            <v>L3361</v>
          </cell>
          <cell r="F1162" t="b">
            <v>0</v>
          </cell>
          <cell r="G1162">
            <v>3015.68381330498</v>
          </cell>
          <cell r="H1162">
            <v>3015.68381330498</v>
          </cell>
          <cell r="I1162">
            <v>21</v>
          </cell>
          <cell r="J1162">
            <v>6.3649228104622999E-5</v>
          </cell>
          <cell r="K1162">
            <v>2658</v>
          </cell>
          <cell r="L1162">
            <v>377.93438641230199</v>
          </cell>
          <cell r="M1162">
            <v>1325</v>
          </cell>
          <cell r="N1162">
            <v>2.36164286562962E-2</v>
          </cell>
          <cell r="O1162">
            <v>1587</v>
          </cell>
          <cell r="P1162">
            <v>0.09</v>
          </cell>
          <cell r="Q1162">
            <v>1563</v>
          </cell>
        </row>
        <row r="1163">
          <cell r="B1163" t="str">
            <v>FROGTOWN 170211212</v>
          </cell>
          <cell r="C1163">
            <v>163451702</v>
          </cell>
          <cell r="D1163" t="str">
            <v>FROGTOWN 1702</v>
          </cell>
          <cell r="E1163">
            <v>11212</v>
          </cell>
          <cell r="F1163" t="b">
            <v>0</v>
          </cell>
          <cell r="G1163">
            <v>35943.995417502403</v>
          </cell>
          <cell r="H1163">
            <v>35943.995417502403</v>
          </cell>
          <cell r="I1163">
            <v>155</v>
          </cell>
          <cell r="J1163">
            <v>8.8499808712625804E-5</v>
          </cell>
          <cell r="K1163">
            <v>1974</v>
          </cell>
          <cell r="L1163">
            <v>349.31345308403797</v>
          </cell>
          <cell r="M1163">
            <v>1372</v>
          </cell>
          <cell r="N1163">
            <v>3.0264377580290502E-2</v>
          </cell>
          <cell r="O1163">
            <v>1457</v>
          </cell>
          <cell r="P1163">
            <v>0.06</v>
          </cell>
          <cell r="Q1163">
            <v>1822</v>
          </cell>
        </row>
        <row r="1164">
          <cell r="B1164" t="str">
            <v>FROGTOWN 170212282</v>
          </cell>
          <cell r="C1164">
            <v>163451702</v>
          </cell>
          <cell r="D1164" t="str">
            <v>FROGTOWN 1702</v>
          </cell>
          <cell r="E1164">
            <v>12282</v>
          </cell>
          <cell r="F1164" t="b">
            <v>0</v>
          </cell>
          <cell r="G1164">
            <v>58482.1142683363</v>
          </cell>
          <cell r="H1164">
            <v>58482.1142683363</v>
          </cell>
          <cell r="I1164">
            <v>261</v>
          </cell>
          <cell r="J1164">
            <v>1.19858072019466E-4</v>
          </cell>
          <cell r="K1164">
            <v>1190</v>
          </cell>
          <cell r="L1164">
            <v>718.44027308266095</v>
          </cell>
          <cell r="M1164">
            <v>1004</v>
          </cell>
          <cell r="N1164">
            <v>6.1927612524908401E-2</v>
          </cell>
          <cell r="O1164">
            <v>1044</v>
          </cell>
          <cell r="P1164">
            <v>0.18</v>
          </cell>
          <cell r="Q1164">
            <v>1206</v>
          </cell>
        </row>
        <row r="1165">
          <cell r="B1165" t="str">
            <v>FROGTOWN 17021573</v>
          </cell>
          <cell r="C1165">
            <v>163451702</v>
          </cell>
          <cell r="D1165" t="str">
            <v>FROGTOWN 1702</v>
          </cell>
          <cell r="E1165">
            <v>1573</v>
          </cell>
          <cell r="F1165" t="b">
            <v>0</v>
          </cell>
          <cell r="G1165">
            <v>29066.996982152799</v>
          </cell>
          <cell r="H1165">
            <v>29066.996982152799</v>
          </cell>
          <cell r="I1165">
            <v>156</v>
          </cell>
          <cell r="J1165">
            <v>6.9196999692604298E-5</v>
          </cell>
          <cell r="K1165">
            <v>2500</v>
          </cell>
          <cell r="L1165">
            <v>1984.69364731672</v>
          </cell>
          <cell r="M1165">
            <v>458</v>
          </cell>
          <cell r="N1165">
            <v>0.15282149961993799</v>
          </cell>
          <cell r="O1165">
            <v>504</v>
          </cell>
          <cell r="P1165">
            <v>0.09</v>
          </cell>
          <cell r="Q1165">
            <v>1514</v>
          </cell>
        </row>
        <row r="1166">
          <cell r="B1166" t="str">
            <v>FROGTOWN 1702204480</v>
          </cell>
          <cell r="C1166">
            <v>163451702</v>
          </cell>
          <cell r="D1166" t="str">
            <v>FROGTOWN 1702</v>
          </cell>
          <cell r="E1166">
            <v>204480</v>
          </cell>
          <cell r="F1166" t="b">
            <v>1</v>
          </cell>
          <cell r="G1166">
            <v>3182.9165346069099</v>
          </cell>
          <cell r="H1166">
            <v>807.67996370195601</v>
          </cell>
          <cell r="I1166">
            <v>28</v>
          </cell>
          <cell r="J1166">
            <v>1.54591689611801E-4</v>
          </cell>
          <cell r="K1166">
            <v>699</v>
          </cell>
          <cell r="L1166">
            <v>296.13299789918301</v>
          </cell>
          <cell r="M1166">
            <v>1455</v>
          </cell>
          <cell r="N1166">
            <v>4.2089672990142102E-2</v>
          </cell>
          <cell r="O1166">
            <v>1275</v>
          </cell>
          <cell r="Q1166">
            <v>3169</v>
          </cell>
        </row>
        <row r="1167">
          <cell r="B1167" t="str">
            <v>FROGTOWN 1702224708</v>
          </cell>
          <cell r="C1167">
            <v>163451702</v>
          </cell>
          <cell r="D1167" t="str">
            <v>FROGTOWN 1702</v>
          </cell>
          <cell r="E1167">
            <v>224708</v>
          </cell>
          <cell r="F1167" t="b">
            <v>0</v>
          </cell>
          <cell r="G1167">
            <v>1049.16034875531</v>
          </cell>
          <cell r="H1167">
            <v>1033.1582411289</v>
          </cell>
          <cell r="I1167">
            <v>9</v>
          </cell>
          <cell r="J1167">
            <v>1.5635804609498999E-4</v>
          </cell>
          <cell r="K1167">
            <v>681</v>
          </cell>
          <cell r="L1167">
            <v>235.019444882041</v>
          </cell>
          <cell r="M1167">
            <v>1578</v>
          </cell>
          <cell r="N1167">
            <v>2.3990127539096202E-2</v>
          </cell>
          <cell r="O1167">
            <v>1579</v>
          </cell>
          <cell r="Q1167">
            <v>3374</v>
          </cell>
        </row>
        <row r="1168">
          <cell r="B1168" t="str">
            <v>FROGTOWN 1702307998</v>
          </cell>
          <cell r="C1168">
            <v>163451702</v>
          </cell>
          <cell r="D1168" t="str">
            <v>FROGTOWN 1702</v>
          </cell>
          <cell r="E1168">
            <v>307998</v>
          </cell>
          <cell r="F1168" t="b">
            <v>1</v>
          </cell>
          <cell r="G1168">
            <v>911.47745479687399</v>
          </cell>
          <cell r="H1168">
            <v>895.40258705329404</v>
          </cell>
          <cell r="I1168">
            <v>6</v>
          </cell>
          <cell r="J1168">
            <v>1.025071554371E-4</v>
          </cell>
          <cell r="K1168">
            <v>1588</v>
          </cell>
          <cell r="L1168">
            <v>237.84284693126801</v>
          </cell>
          <cell r="M1168">
            <v>1573</v>
          </cell>
          <cell r="N1168">
            <v>2.3314451003778599E-2</v>
          </cell>
          <cell r="O1168">
            <v>1594</v>
          </cell>
          <cell r="Q1168">
            <v>3235</v>
          </cell>
        </row>
        <row r="1169">
          <cell r="B1169" t="str">
            <v>FROGTOWN 170232556</v>
          </cell>
          <cell r="C1169">
            <v>163451702</v>
          </cell>
          <cell r="D1169" t="str">
            <v>FROGTOWN 1702</v>
          </cell>
          <cell r="E1169">
            <v>32556</v>
          </cell>
          <cell r="F1169" t="b">
            <v>1</v>
          </cell>
          <cell r="G1169">
            <v>2113.2756278430002</v>
          </cell>
          <cell r="H1169">
            <v>188.099904915108</v>
          </cell>
          <cell r="I1169">
            <v>19</v>
          </cell>
          <cell r="J1169">
            <v>1.73125426954356E-4</v>
          </cell>
          <cell r="K1169">
            <v>540</v>
          </cell>
          <cell r="L1169">
            <v>58.909795004286202</v>
          </cell>
          <cell r="M1169">
            <v>2162</v>
          </cell>
          <cell r="N1169">
            <v>1.8146518681295899E-2</v>
          </cell>
          <cell r="O1169">
            <v>1702</v>
          </cell>
          <cell r="P1169">
            <v>0.05</v>
          </cell>
          <cell r="Q1169">
            <v>2039</v>
          </cell>
        </row>
        <row r="1170">
          <cell r="B1170" t="str">
            <v>FROGTOWN 170236870</v>
          </cell>
          <cell r="C1170">
            <v>163451702</v>
          </cell>
          <cell r="D1170" t="str">
            <v>FROGTOWN 1702</v>
          </cell>
          <cell r="E1170">
            <v>36870</v>
          </cell>
          <cell r="F1170" t="b">
            <v>1</v>
          </cell>
          <cell r="G1170">
            <v>3829.36814661069</v>
          </cell>
          <cell r="H1170">
            <v>541.29223378635299</v>
          </cell>
          <cell r="I1170">
            <v>29</v>
          </cell>
          <cell r="J1170">
            <v>1.19921972798002E-4</v>
          </cell>
          <cell r="K1170">
            <v>1188</v>
          </cell>
          <cell r="L1170">
            <v>41.837294120726902</v>
          </cell>
          <cell r="M1170">
            <v>2269</v>
          </cell>
          <cell r="N1170">
            <v>6.24826773718405E-3</v>
          </cell>
          <cell r="O1170">
            <v>2139</v>
          </cell>
          <cell r="P1170">
            <v>0.04</v>
          </cell>
          <cell r="Q1170">
            <v>2157</v>
          </cell>
        </row>
        <row r="1171">
          <cell r="B1171" t="str">
            <v>FROGTOWN 1702390720</v>
          </cell>
          <cell r="C1171">
            <v>163451702</v>
          </cell>
          <cell r="D1171" t="str">
            <v>FROGTOWN 1702</v>
          </cell>
          <cell r="E1171">
            <v>390720</v>
          </cell>
          <cell r="F1171" t="b">
            <v>1</v>
          </cell>
          <cell r="G1171">
            <v>218.44687539765599</v>
          </cell>
          <cell r="H1171">
            <v>202.44482876285099</v>
          </cell>
          <cell r="I1171">
            <v>2</v>
          </cell>
          <cell r="J1171">
            <v>1.58807793923188E-4</v>
          </cell>
          <cell r="K1171">
            <v>655</v>
          </cell>
          <cell r="L1171">
            <v>6.6431909799575806E-2</v>
          </cell>
          <cell r="M1171">
            <v>2955</v>
          </cell>
          <cell r="N1171">
            <v>1.0549905041374801E-5</v>
          </cell>
          <cell r="O1171">
            <v>3057</v>
          </cell>
          <cell r="Q1171">
            <v>3617</v>
          </cell>
        </row>
        <row r="1172">
          <cell r="B1172" t="str">
            <v>FROGTOWN 1702411508</v>
          </cell>
          <cell r="C1172">
            <v>163451702</v>
          </cell>
          <cell r="D1172" t="str">
            <v>FROGTOWN 1702</v>
          </cell>
          <cell r="E1172">
            <v>411508</v>
          </cell>
          <cell r="F1172" t="b">
            <v>1</v>
          </cell>
          <cell r="G1172">
            <v>731.36956749512296</v>
          </cell>
          <cell r="H1172">
            <v>726.79767796613601</v>
          </cell>
          <cell r="I1172">
            <v>6</v>
          </cell>
          <cell r="J1172">
            <v>1.459197216415E-4</v>
          </cell>
          <cell r="K1172">
            <v>790</v>
          </cell>
          <cell r="L1172">
            <v>114.8975610435</v>
          </cell>
          <cell r="M1172">
            <v>1896</v>
          </cell>
          <cell r="N1172">
            <v>1.2026229204656701E-2</v>
          </cell>
          <cell r="O1172">
            <v>1881</v>
          </cell>
          <cell r="Q1172">
            <v>3464</v>
          </cell>
        </row>
        <row r="1173">
          <cell r="B1173" t="str">
            <v>FROGTOWN 1702592404</v>
          </cell>
          <cell r="C1173">
            <v>163451702</v>
          </cell>
          <cell r="D1173" t="str">
            <v>FROGTOWN 1702</v>
          </cell>
          <cell r="E1173">
            <v>592404</v>
          </cell>
          <cell r="F1173" t="b">
            <v>0</v>
          </cell>
          <cell r="G1173">
            <v>2658.3381033720202</v>
          </cell>
          <cell r="H1173">
            <v>2642.3360837187702</v>
          </cell>
          <cell r="I1173">
            <v>20</v>
          </cell>
          <cell r="J1173">
            <v>1.7008505365083599E-4</v>
          </cell>
          <cell r="K1173">
            <v>563</v>
          </cell>
          <cell r="L1173">
            <v>1297.0483332689801</v>
          </cell>
          <cell r="M1173">
            <v>685</v>
          </cell>
          <cell r="N1173">
            <v>0.15963074925697901</v>
          </cell>
          <cell r="O1173">
            <v>472</v>
          </cell>
          <cell r="Q1173">
            <v>3024</v>
          </cell>
        </row>
        <row r="1174">
          <cell r="B1174" t="str">
            <v>FROGTOWN 1702694042</v>
          </cell>
          <cell r="C1174">
            <v>163451702</v>
          </cell>
          <cell r="D1174" t="str">
            <v>FROGTOWN 1702</v>
          </cell>
          <cell r="E1174">
            <v>694042</v>
          </cell>
          <cell r="F1174" t="b">
            <v>1</v>
          </cell>
          <cell r="G1174">
            <v>972.04708386424295</v>
          </cell>
          <cell r="H1174">
            <v>972.04708386424295</v>
          </cell>
          <cell r="I1174">
            <v>8</v>
          </cell>
          <cell r="J1174">
            <v>1.18831967938604E-4</v>
          </cell>
          <cell r="K1174">
            <v>1210</v>
          </cell>
          <cell r="L1174">
            <v>338.836259658448</v>
          </cell>
          <cell r="M1174">
            <v>1389</v>
          </cell>
          <cell r="N1174">
            <v>5.3395339947376101E-2</v>
          </cell>
          <cell r="O1174">
            <v>1142</v>
          </cell>
          <cell r="Q1174">
            <v>3427</v>
          </cell>
        </row>
        <row r="1175">
          <cell r="B1175" t="str">
            <v>FROGTOWN 17027108</v>
          </cell>
          <cell r="C1175">
            <v>163451702</v>
          </cell>
          <cell r="D1175" t="str">
            <v>FROGTOWN 1702</v>
          </cell>
          <cell r="E1175">
            <v>7108</v>
          </cell>
          <cell r="F1175" t="b">
            <v>0</v>
          </cell>
          <cell r="G1175">
            <v>20715.9427325219</v>
          </cell>
          <cell r="H1175">
            <v>15478.9307431991</v>
          </cell>
          <cell r="I1175">
            <v>99</v>
          </cell>
          <cell r="J1175">
            <v>5.1439698570057499E-5</v>
          </cell>
          <cell r="K1175">
            <v>3007</v>
          </cell>
          <cell r="L1175">
            <v>993.48871932244697</v>
          </cell>
          <cell r="M1175">
            <v>838</v>
          </cell>
          <cell r="N1175">
            <v>5.1859935705482897E-2</v>
          </cell>
          <cell r="O1175">
            <v>1159</v>
          </cell>
          <cell r="P1175">
            <v>0.06</v>
          </cell>
          <cell r="Q1175">
            <v>1876</v>
          </cell>
        </row>
        <row r="1176">
          <cell r="B1176" t="str">
            <v>FROGTOWN 17027134</v>
          </cell>
          <cell r="C1176">
            <v>163451702</v>
          </cell>
          <cell r="D1176" t="str">
            <v>FROGTOWN 1702</v>
          </cell>
          <cell r="E1176">
            <v>7134</v>
          </cell>
          <cell r="F1176" t="b">
            <v>0</v>
          </cell>
          <cell r="G1176">
            <v>37777.901208581497</v>
          </cell>
          <cell r="H1176">
            <v>32518.124310004499</v>
          </cell>
          <cell r="I1176">
            <v>172</v>
          </cell>
          <cell r="J1176">
            <v>9.5255737704915094E-5</v>
          </cell>
          <cell r="K1176">
            <v>1759</v>
          </cell>
          <cell r="L1176">
            <v>696.694888586611</v>
          </cell>
          <cell r="M1176">
            <v>1025</v>
          </cell>
          <cell r="N1176">
            <v>7.1296888637464098E-2</v>
          </cell>
          <cell r="O1176">
            <v>970</v>
          </cell>
          <cell r="P1176">
            <v>0.09</v>
          </cell>
          <cell r="Q1176">
            <v>1546</v>
          </cell>
        </row>
        <row r="1177">
          <cell r="B1177" t="str">
            <v>FROGTOWN 1702737236</v>
          </cell>
          <cell r="C1177">
            <v>163451702</v>
          </cell>
          <cell r="D1177" t="str">
            <v>FROGTOWN 1702</v>
          </cell>
          <cell r="E1177">
            <v>737236</v>
          </cell>
          <cell r="F1177" t="b">
            <v>0</v>
          </cell>
          <cell r="G1177">
            <v>14223.4404769876</v>
          </cell>
          <cell r="H1177">
            <v>14101.6239426623</v>
          </cell>
          <cell r="I1177">
            <v>88</v>
          </cell>
          <cell r="J1177">
            <v>1.2644705024782E-4</v>
          </cell>
          <cell r="K1177">
            <v>1074</v>
          </cell>
          <cell r="L1177">
            <v>720.34458358340305</v>
          </cell>
          <cell r="M1177">
            <v>999</v>
          </cell>
          <cell r="N1177">
            <v>8.2425048741885706E-2</v>
          </cell>
          <cell r="O1177">
            <v>880</v>
          </cell>
          <cell r="Q1177">
            <v>2868</v>
          </cell>
        </row>
        <row r="1178">
          <cell r="B1178" t="str">
            <v>FROGTOWN 1702739858</v>
          </cell>
          <cell r="C1178">
            <v>163451702</v>
          </cell>
          <cell r="D1178" t="str">
            <v>FROGTOWN 1702</v>
          </cell>
          <cell r="E1178">
            <v>739858</v>
          </cell>
          <cell r="F1178" t="b">
            <v>0</v>
          </cell>
          <cell r="G1178">
            <v>8002.90284433541</v>
          </cell>
          <cell r="H1178">
            <v>7850.7224524457697</v>
          </cell>
          <cell r="I1178">
            <v>46</v>
          </cell>
          <cell r="J1178">
            <v>1.03686823018102E-4</v>
          </cell>
          <cell r="K1178">
            <v>1557</v>
          </cell>
          <cell r="L1178">
            <v>204.17003359451201</v>
          </cell>
          <cell r="M1178">
            <v>1632</v>
          </cell>
          <cell r="N1178">
            <v>1.7426335393210601E-2</v>
          </cell>
          <cell r="O1178">
            <v>1727</v>
          </cell>
          <cell r="Q1178">
            <v>3225</v>
          </cell>
        </row>
        <row r="1179">
          <cell r="B1179" t="str">
            <v>FROGTOWN 170274648</v>
          </cell>
          <cell r="C1179">
            <v>163451702</v>
          </cell>
          <cell r="D1179" t="str">
            <v>FROGTOWN 1702</v>
          </cell>
          <cell r="E1179">
            <v>74648</v>
          </cell>
          <cell r="F1179" t="b">
            <v>1</v>
          </cell>
          <cell r="G1179">
            <v>7581.2034451384197</v>
          </cell>
          <cell r="H1179">
            <v>262.19863303749099</v>
          </cell>
          <cell r="I1179">
            <v>63</v>
          </cell>
          <cell r="J1179">
            <v>8.4795126317730395E-5</v>
          </cell>
          <cell r="K1179">
            <v>2069</v>
          </cell>
          <cell r="L1179">
            <v>1.0706655632645301</v>
          </cell>
          <cell r="M1179">
            <v>2889</v>
          </cell>
          <cell r="N1179">
            <v>1.1105785371239399E-4</v>
          </cell>
          <cell r="O1179">
            <v>2870</v>
          </cell>
          <cell r="P1179">
            <v>0.42</v>
          </cell>
          <cell r="Q1179">
            <v>932</v>
          </cell>
        </row>
        <row r="1180">
          <cell r="B1180" t="str">
            <v>FROGTOWN 170275252</v>
          </cell>
          <cell r="C1180">
            <v>163451702</v>
          </cell>
          <cell r="D1180" t="str">
            <v>FROGTOWN 1702</v>
          </cell>
          <cell r="E1180">
            <v>75252</v>
          </cell>
          <cell r="F1180" t="b">
            <v>0</v>
          </cell>
          <cell r="G1180">
            <v>98047.145647294004</v>
          </cell>
          <cell r="H1180">
            <v>93174.099578256995</v>
          </cell>
          <cell r="I1180">
            <v>401</v>
          </cell>
          <cell r="J1180">
            <v>7.7650958151449204E-5</v>
          </cell>
          <cell r="K1180">
            <v>2271</v>
          </cell>
          <cell r="L1180">
            <v>1110.9654066887499</v>
          </cell>
          <cell r="M1180">
            <v>770</v>
          </cell>
          <cell r="N1180">
            <v>8.8153157920718303E-2</v>
          </cell>
          <cell r="O1180">
            <v>838</v>
          </cell>
          <cell r="P1180">
            <v>0.18</v>
          </cell>
          <cell r="Q1180">
            <v>1204</v>
          </cell>
        </row>
        <row r="1181">
          <cell r="B1181" t="str">
            <v>FROGTOWN 1702798032</v>
          </cell>
          <cell r="C1181">
            <v>163451702</v>
          </cell>
          <cell r="D1181" t="str">
            <v>FROGTOWN 1702</v>
          </cell>
          <cell r="E1181">
            <v>798032</v>
          </cell>
          <cell r="F1181" t="b">
            <v>1</v>
          </cell>
          <cell r="G1181">
            <v>259.83045129210097</v>
          </cell>
          <cell r="H1181">
            <v>244.50647264793099</v>
          </cell>
          <cell r="I1181">
            <v>2</v>
          </cell>
          <cell r="J1181">
            <v>1.2449308997020101E-4</v>
          </cell>
          <cell r="K1181">
            <v>1108</v>
          </cell>
          <cell r="L1181">
            <v>6.5789449959993307E-2</v>
          </cell>
          <cell r="M1181">
            <v>3287</v>
          </cell>
          <cell r="N1181">
            <v>8.1969474672867297E-6</v>
          </cell>
          <cell r="O1181">
            <v>3117</v>
          </cell>
          <cell r="Q1181">
            <v>3569</v>
          </cell>
        </row>
        <row r="1182">
          <cell r="B1182" t="str">
            <v>FROGTOWN 1702812366</v>
          </cell>
          <cell r="C1182">
            <v>163451702</v>
          </cell>
          <cell r="D1182" t="str">
            <v>FROGTOWN 1702</v>
          </cell>
          <cell r="E1182">
            <v>812366</v>
          </cell>
          <cell r="F1182" t="b">
            <v>0</v>
          </cell>
          <cell r="G1182">
            <v>4450.8968701917101</v>
          </cell>
          <cell r="H1182">
            <v>4421.1037804670104</v>
          </cell>
          <cell r="I1182">
            <v>28</v>
          </cell>
          <cell r="J1182">
            <v>8.5129293698368405E-5</v>
          </cell>
          <cell r="K1182">
            <v>2055</v>
          </cell>
          <cell r="L1182">
            <v>149.74365591497201</v>
          </cell>
          <cell r="M1182">
            <v>1778</v>
          </cell>
          <cell r="N1182">
            <v>2.0595678920123699E-2</v>
          </cell>
          <cell r="O1182">
            <v>1659</v>
          </cell>
          <cell r="Q1182">
            <v>2843</v>
          </cell>
        </row>
        <row r="1183">
          <cell r="B1183" t="str">
            <v>FROGTOWN 1702814784</v>
          </cell>
          <cell r="C1183">
            <v>163451702</v>
          </cell>
          <cell r="D1183" t="str">
            <v>FROGTOWN 1702</v>
          </cell>
          <cell r="E1183">
            <v>814784</v>
          </cell>
          <cell r="F1183" t="b">
            <v>1</v>
          </cell>
          <cell r="G1183">
            <v>296.05724809771698</v>
          </cell>
          <cell r="H1183">
            <v>280.055177395442</v>
          </cell>
          <cell r="I1183">
            <v>3</v>
          </cell>
          <cell r="J1183">
            <v>1.13544825580902E-4</v>
          </cell>
          <cell r="K1183">
            <v>1332</v>
          </cell>
          <cell r="L1183">
            <v>6.6003603239854103E-2</v>
          </cell>
          <cell r="M1183">
            <v>3223</v>
          </cell>
          <cell r="N1183">
            <v>7.4474543355395103E-6</v>
          </cell>
          <cell r="O1183">
            <v>3147</v>
          </cell>
          <cell r="Q1183">
            <v>3559</v>
          </cell>
        </row>
        <row r="1184">
          <cell r="B1184" t="str">
            <v>FROGTOWN 1702832694</v>
          </cell>
          <cell r="C1184">
            <v>163451702</v>
          </cell>
          <cell r="D1184" t="str">
            <v>FROGTOWN 1702</v>
          </cell>
          <cell r="E1184">
            <v>832694</v>
          </cell>
          <cell r="F1184" t="b">
            <v>1</v>
          </cell>
          <cell r="G1184">
            <v>477.56545543636702</v>
          </cell>
          <cell r="H1184">
            <v>461.56341890928798</v>
          </cell>
          <cell r="I1184">
            <v>5</v>
          </cell>
          <cell r="J1184">
            <v>1.16901584260631E-4</v>
          </cell>
          <cell r="K1184">
            <v>1251</v>
          </cell>
          <cell r="L1184">
            <v>7.38045498728752E-2</v>
          </cell>
          <cell r="M1184">
            <v>2937</v>
          </cell>
          <cell r="N1184">
            <v>8.7057092911477296E-6</v>
          </cell>
          <cell r="O1184">
            <v>3099</v>
          </cell>
          <cell r="Q1184">
            <v>3535</v>
          </cell>
        </row>
        <row r="1185">
          <cell r="B1185" t="str">
            <v>FROGTOWN 1702835115</v>
          </cell>
          <cell r="C1185">
            <v>163451702</v>
          </cell>
          <cell r="D1185" t="str">
            <v>FROGTOWN 1702</v>
          </cell>
          <cell r="E1185">
            <v>835115</v>
          </cell>
          <cell r="F1185" t="b">
            <v>0</v>
          </cell>
          <cell r="G1185">
            <v>29192.1081084545</v>
          </cell>
          <cell r="H1185">
            <v>29192.1081084545</v>
          </cell>
          <cell r="I1185">
            <v>191</v>
          </cell>
          <cell r="J1185">
            <v>7.8182470319178207E-5</v>
          </cell>
          <cell r="K1185">
            <v>2253</v>
          </cell>
          <cell r="L1185">
            <v>868.48825656782503</v>
          </cell>
          <cell r="M1185">
            <v>902</v>
          </cell>
          <cell r="N1185">
            <v>6.8397573862893399E-2</v>
          </cell>
          <cell r="O1185">
            <v>991</v>
          </cell>
          <cell r="Q1185">
            <v>2775</v>
          </cell>
        </row>
        <row r="1186">
          <cell r="B1186" t="str">
            <v>FROGTOWN 17028482</v>
          </cell>
          <cell r="C1186">
            <v>163451702</v>
          </cell>
          <cell r="D1186" t="str">
            <v>FROGTOWN 1702</v>
          </cell>
          <cell r="E1186">
            <v>8482</v>
          </cell>
          <cell r="F1186" t="b">
            <v>0</v>
          </cell>
          <cell r="G1186">
            <v>23390.992894160099</v>
          </cell>
          <cell r="H1186">
            <v>23390.992894160099</v>
          </cell>
          <cell r="I1186">
            <v>117</v>
          </cell>
          <cell r="J1186">
            <v>1.0251990573559101E-4</v>
          </cell>
          <cell r="K1186">
            <v>1587</v>
          </cell>
          <cell r="L1186">
            <v>2287.3259428152401</v>
          </cell>
          <cell r="M1186">
            <v>386</v>
          </cell>
          <cell r="N1186">
            <v>0.234371319403093</v>
          </cell>
          <cell r="O1186">
            <v>249</v>
          </cell>
          <cell r="P1186">
            <v>0.05</v>
          </cell>
          <cell r="Q1186">
            <v>2057</v>
          </cell>
        </row>
        <row r="1187">
          <cell r="B1187" t="str">
            <v>FROGTOWN 1702CB</v>
          </cell>
          <cell r="C1187">
            <v>163451702</v>
          </cell>
          <cell r="D1187" t="str">
            <v>FROGTOWN 1702</v>
          </cell>
          <cell r="E1187" t="str">
            <v>CB</v>
          </cell>
          <cell r="F1187" t="b">
            <v>0</v>
          </cell>
          <cell r="G1187">
            <v>6932.7551306576797</v>
          </cell>
          <cell r="H1187">
            <v>2351.36135750518</v>
          </cell>
          <cell r="I1187">
            <v>47</v>
          </cell>
          <cell r="J1187">
            <v>1.6197224613279099E-4</v>
          </cell>
          <cell r="K1187">
            <v>622</v>
          </cell>
          <cell r="L1187">
            <v>176.74452274451201</v>
          </cell>
          <cell r="M1187">
            <v>1692</v>
          </cell>
          <cell r="N1187">
            <v>3.92339229972457E-2</v>
          </cell>
          <cell r="O1187">
            <v>1316</v>
          </cell>
          <cell r="P1187">
            <v>0.02</v>
          </cell>
          <cell r="Q1187">
            <v>2556</v>
          </cell>
        </row>
        <row r="1188">
          <cell r="B1188" t="str">
            <v>FROGTOWN 1702L5407</v>
          </cell>
          <cell r="C1188">
            <v>163451702</v>
          </cell>
          <cell r="D1188" t="str">
            <v>FROGTOWN 1702</v>
          </cell>
          <cell r="E1188" t="str">
            <v>L5407</v>
          </cell>
          <cell r="F1188" t="b">
            <v>0</v>
          </cell>
          <cell r="G1188">
            <v>29410.8857080817</v>
          </cell>
          <cell r="H1188">
            <v>29410.8857080817</v>
          </cell>
          <cell r="I1188">
            <v>153</v>
          </cell>
          <cell r="J1188">
            <v>4.5894945682639902E-5</v>
          </cell>
          <cell r="K1188">
            <v>3142</v>
          </cell>
          <cell r="L1188">
            <v>1349.9596367274701</v>
          </cell>
          <cell r="M1188">
            <v>663</v>
          </cell>
          <cell r="N1188">
            <v>6.0462595064389203E-2</v>
          </cell>
          <cell r="O1188">
            <v>1061</v>
          </cell>
          <cell r="P1188">
            <v>0.09</v>
          </cell>
          <cell r="Q1188">
            <v>1522</v>
          </cell>
        </row>
        <row r="1189">
          <cell r="B1189" t="str">
            <v>FRUITLAND 1141200856</v>
          </cell>
          <cell r="C1189">
            <v>192311141</v>
          </cell>
          <cell r="D1189" t="str">
            <v>FRUITLAND 1141</v>
          </cell>
          <cell r="E1189">
            <v>200856</v>
          </cell>
          <cell r="F1189" t="b">
            <v>0</v>
          </cell>
          <cell r="G1189">
            <v>4144.4333669058497</v>
          </cell>
          <cell r="H1189">
            <v>4144.4333669058497</v>
          </cell>
          <cell r="I1189">
            <v>31</v>
          </cell>
          <cell r="J1189">
            <v>2.22231973889246E-4</v>
          </cell>
          <cell r="K1189">
            <v>311</v>
          </cell>
          <cell r="L1189">
            <v>73.644911388617004</v>
          </cell>
          <cell r="M1189">
            <v>2076</v>
          </cell>
          <cell r="N1189">
            <v>1.24524006410777E-2</v>
          </cell>
          <cell r="O1189">
            <v>1867</v>
          </cell>
          <cell r="Q1189">
            <v>3102</v>
          </cell>
        </row>
        <row r="1190">
          <cell r="B1190" t="str">
            <v>FRUITLAND 114137410</v>
          </cell>
          <cell r="C1190">
            <v>192311141</v>
          </cell>
          <cell r="D1190" t="str">
            <v>FRUITLAND 1141</v>
          </cell>
          <cell r="E1190">
            <v>37410</v>
          </cell>
          <cell r="F1190" t="b">
            <v>0</v>
          </cell>
          <cell r="G1190">
            <v>8875.6068888858899</v>
          </cell>
          <cell r="H1190">
            <v>8413.1179437795399</v>
          </cell>
          <cell r="I1190">
            <v>42</v>
          </cell>
          <cell r="J1190">
            <v>2.11282038002363E-4</v>
          </cell>
          <cell r="K1190">
            <v>354</v>
          </cell>
          <cell r="L1190">
            <v>348.14216769774703</v>
          </cell>
          <cell r="M1190">
            <v>1375</v>
          </cell>
          <cell r="N1190">
            <v>5.6471855740290698E-2</v>
          </cell>
          <cell r="O1190">
            <v>1103</v>
          </cell>
          <cell r="P1190">
            <v>0.04</v>
          </cell>
          <cell r="Q1190">
            <v>2173</v>
          </cell>
        </row>
        <row r="1191">
          <cell r="B1191" t="str">
            <v>FRUITLAND 11413902</v>
          </cell>
          <cell r="C1191">
            <v>192311141</v>
          </cell>
          <cell r="D1191" t="str">
            <v>FRUITLAND 1141</v>
          </cell>
          <cell r="E1191">
            <v>3902</v>
          </cell>
          <cell r="F1191" t="b">
            <v>0</v>
          </cell>
          <cell r="G1191">
            <v>8223.63442610737</v>
          </cell>
          <cell r="H1191">
            <v>8223.63442610737</v>
          </cell>
          <cell r="I1191">
            <v>9</v>
          </cell>
          <cell r="J1191">
            <v>1.8187660316471E-4</v>
          </cell>
          <cell r="K1191">
            <v>498</v>
          </cell>
          <cell r="L1191">
            <v>110.94496449821099</v>
          </cell>
          <cell r="M1191">
            <v>1907</v>
          </cell>
          <cell r="N1191">
            <v>2.13889001755493E-2</v>
          </cell>
          <cell r="O1191">
            <v>1641</v>
          </cell>
          <cell r="P1191">
            <v>0.02</v>
          </cell>
          <cell r="Q1191">
            <v>2480</v>
          </cell>
        </row>
        <row r="1192">
          <cell r="B1192" t="str">
            <v>FRUITLAND 11418746</v>
          </cell>
          <cell r="C1192">
            <v>192311141</v>
          </cell>
          <cell r="D1192" t="str">
            <v>FRUITLAND 1141</v>
          </cell>
          <cell r="E1192">
            <v>8746</v>
          </cell>
          <cell r="F1192" t="b">
            <v>1</v>
          </cell>
          <cell r="G1192">
            <v>832.21617599924002</v>
          </cell>
          <cell r="H1192">
            <v>645.69651619626904</v>
          </cell>
          <cell r="I1192">
            <v>8</v>
          </cell>
          <cell r="J1192">
            <v>1.1829015920739E-4</v>
          </cell>
          <cell r="K1192">
            <v>1225</v>
          </cell>
          <cell r="L1192">
            <v>6.5789712084932894E-2</v>
          </cell>
          <cell r="M1192">
            <v>3278</v>
          </cell>
          <cell r="N1192">
            <v>7.8216134686922901E-6</v>
          </cell>
          <cell r="O1192">
            <v>3130</v>
          </cell>
          <cell r="P1192">
            <v>0.55000000000000004</v>
          </cell>
          <cell r="Q1192">
            <v>867</v>
          </cell>
        </row>
        <row r="1193">
          <cell r="B1193" t="str">
            <v>FRUITLAND 11418860</v>
          </cell>
          <cell r="C1193">
            <v>192311141</v>
          </cell>
          <cell r="D1193" t="str">
            <v>FRUITLAND 1141</v>
          </cell>
          <cell r="E1193">
            <v>8860</v>
          </cell>
          <cell r="F1193" t="b">
            <v>0</v>
          </cell>
          <cell r="G1193">
            <v>6108.7784632743096</v>
          </cell>
          <cell r="H1193">
            <v>3211.9110028661598</v>
          </cell>
          <cell r="I1193">
            <v>34</v>
          </cell>
          <cell r="J1193">
            <v>1.5020146234104699E-4</v>
          </cell>
          <cell r="K1193">
            <v>733</v>
          </cell>
          <cell r="L1193">
            <v>173.11289280675399</v>
          </cell>
          <cell r="M1193">
            <v>1705</v>
          </cell>
          <cell r="N1193">
            <v>1.68666916418947E-2</v>
          </cell>
          <cell r="O1193">
            <v>1742</v>
          </cell>
          <cell r="P1193">
            <v>0.03</v>
          </cell>
          <cell r="Q1193">
            <v>2306</v>
          </cell>
        </row>
        <row r="1194">
          <cell r="B1194" t="str">
            <v>FRUITLAND 114195324</v>
          </cell>
          <cell r="C1194">
            <v>192311141</v>
          </cell>
          <cell r="D1194" t="str">
            <v>FRUITLAND 1141</v>
          </cell>
          <cell r="E1194">
            <v>95324</v>
          </cell>
          <cell r="F1194" t="b">
            <v>0</v>
          </cell>
          <cell r="G1194">
            <v>10430.4829869229</v>
          </cell>
          <cell r="H1194">
            <v>10430.4829869229</v>
          </cell>
          <cell r="I1194">
            <v>40</v>
          </cell>
          <cell r="J1194">
            <v>2.4710734291339098E-4</v>
          </cell>
          <cell r="K1194">
            <v>226</v>
          </cell>
          <cell r="L1194">
            <v>97.481590991920896</v>
          </cell>
          <cell r="M1194">
            <v>1970</v>
          </cell>
          <cell r="N1194">
            <v>1.66711603447861E-2</v>
          </cell>
          <cell r="O1194">
            <v>1749</v>
          </cell>
          <cell r="P1194">
            <v>0.05</v>
          </cell>
          <cell r="Q1194">
            <v>1990</v>
          </cell>
        </row>
        <row r="1195">
          <cell r="B1195" t="str">
            <v>FRUITLAND 1141CB</v>
          </cell>
          <cell r="C1195">
            <v>192311141</v>
          </cell>
          <cell r="D1195" t="str">
            <v>FRUITLAND 1141</v>
          </cell>
          <cell r="E1195" t="str">
            <v>CB</v>
          </cell>
          <cell r="F1195" t="b">
            <v>0</v>
          </cell>
          <cell r="G1195">
            <v>5135.5452967638203</v>
          </cell>
          <cell r="H1195">
            <v>5135.5452967638203</v>
          </cell>
          <cell r="I1195">
            <v>17</v>
          </cell>
          <cell r="J1195">
            <v>3.2832542381262998E-4</v>
          </cell>
          <cell r="K1195">
            <v>104</v>
          </cell>
          <cell r="L1195">
            <v>166.38669535292399</v>
          </cell>
          <cell r="M1195">
            <v>1733</v>
          </cell>
          <cell r="N1195">
            <v>7.9299361690348902E-2</v>
          </cell>
          <cell r="O1195">
            <v>909</v>
          </cell>
          <cell r="P1195">
            <v>0.73</v>
          </cell>
          <cell r="Q1195">
            <v>794</v>
          </cell>
        </row>
        <row r="1196">
          <cell r="B1196" t="str">
            <v>FRUITLAND 11422006</v>
          </cell>
          <cell r="C1196">
            <v>192311142</v>
          </cell>
          <cell r="D1196" t="str">
            <v>FRUITLAND 1142</v>
          </cell>
          <cell r="E1196">
            <v>2006</v>
          </cell>
          <cell r="F1196" t="b">
            <v>0</v>
          </cell>
          <cell r="G1196">
            <v>14941.7424484158</v>
          </cell>
          <cell r="H1196">
            <v>13398.0901850557</v>
          </cell>
          <cell r="I1196">
            <v>75</v>
          </cell>
          <cell r="J1196">
            <v>3.4661141832960601E-4</v>
          </cell>
          <cell r="K1196">
            <v>94</v>
          </cell>
          <cell r="L1196">
            <v>97.989118078028298</v>
          </cell>
          <cell r="M1196">
            <v>1968</v>
          </cell>
          <cell r="N1196">
            <v>3.2159914675300202E-2</v>
          </cell>
          <cell r="O1196">
            <v>1426</v>
          </cell>
          <cell r="P1196">
            <v>0.09</v>
          </cell>
          <cell r="Q1196">
            <v>1508</v>
          </cell>
        </row>
        <row r="1197">
          <cell r="B1197" t="str">
            <v>FRUITLAND 11426054</v>
          </cell>
          <cell r="C1197">
            <v>192311142</v>
          </cell>
          <cell r="D1197" t="str">
            <v>FRUITLAND 1142</v>
          </cell>
          <cell r="E1197">
            <v>6054</v>
          </cell>
          <cell r="F1197" t="b">
            <v>0</v>
          </cell>
          <cell r="G1197">
            <v>11579.671989251099</v>
          </cell>
          <cell r="H1197">
            <v>11579.671989251099</v>
          </cell>
          <cell r="I1197">
            <v>58</v>
          </cell>
          <cell r="J1197">
            <v>2.9783962123348798E-4</v>
          </cell>
          <cell r="K1197">
            <v>132</v>
          </cell>
          <cell r="L1197">
            <v>184.003145070801</v>
          </cell>
          <cell r="M1197">
            <v>1677</v>
          </cell>
          <cell r="N1197">
            <v>4.06421879943554E-2</v>
          </cell>
          <cell r="O1197">
            <v>1295</v>
          </cell>
          <cell r="P1197">
            <v>0.09</v>
          </cell>
          <cell r="Q1197">
            <v>1573</v>
          </cell>
        </row>
        <row r="1198">
          <cell r="B1198" t="str">
            <v>FRUITLAND 11426064</v>
          </cell>
          <cell r="C1198">
            <v>192311142</v>
          </cell>
          <cell r="D1198" t="str">
            <v>FRUITLAND 1142</v>
          </cell>
          <cell r="E1198">
            <v>6064</v>
          </cell>
          <cell r="F1198" t="b">
            <v>0</v>
          </cell>
          <cell r="G1198">
            <v>13322.7276025233</v>
          </cell>
          <cell r="H1198">
            <v>10776.935219798899</v>
          </cell>
          <cell r="I1198">
            <v>66</v>
          </cell>
          <cell r="J1198">
            <v>2.7944216913056098E-4</v>
          </cell>
          <cell r="K1198">
            <v>157</v>
          </cell>
          <cell r="L1198">
            <v>244.00421030143701</v>
          </cell>
          <cell r="M1198">
            <v>1557</v>
          </cell>
          <cell r="N1198">
            <v>5.9515021022660403E-2</v>
          </cell>
          <cell r="O1198">
            <v>1065</v>
          </cell>
          <cell r="P1198">
            <v>1.74</v>
          </cell>
          <cell r="Q1198">
            <v>646</v>
          </cell>
        </row>
        <row r="1199">
          <cell r="B1199" t="str">
            <v>FRUITLAND 114263170</v>
          </cell>
          <cell r="C1199">
            <v>192311142</v>
          </cell>
          <cell r="D1199" t="str">
            <v>FRUITLAND 1142</v>
          </cell>
          <cell r="E1199">
            <v>63170</v>
          </cell>
          <cell r="F1199" t="b">
            <v>0</v>
          </cell>
          <cell r="G1199">
            <v>21717.278406156001</v>
          </cell>
          <cell r="H1199">
            <v>20031.3405882958</v>
          </cell>
          <cell r="I1199">
            <v>86</v>
          </cell>
          <cell r="J1199">
            <v>3.2557765405813498E-4</v>
          </cell>
          <cell r="K1199">
            <v>106</v>
          </cell>
          <cell r="L1199">
            <v>126.72810523474401</v>
          </cell>
          <cell r="M1199">
            <v>1853</v>
          </cell>
          <cell r="N1199">
            <v>3.1951025593579999E-2</v>
          </cell>
          <cell r="O1199">
            <v>1429</v>
          </cell>
          <cell r="P1199">
            <v>0.11</v>
          </cell>
          <cell r="Q1199">
            <v>1410</v>
          </cell>
        </row>
        <row r="1200">
          <cell r="B1200" t="str">
            <v>FRUITLAND 1142899734</v>
          </cell>
          <cell r="C1200">
            <v>192311142</v>
          </cell>
          <cell r="D1200" t="str">
            <v>FRUITLAND 1142</v>
          </cell>
          <cell r="E1200">
            <v>899734</v>
          </cell>
          <cell r="F1200" t="b">
            <v>0</v>
          </cell>
          <cell r="G1200">
            <v>5471.5337457960904</v>
          </cell>
          <cell r="H1200">
            <v>5471.5337457960904</v>
          </cell>
          <cell r="I1200">
            <v>36</v>
          </cell>
          <cell r="J1200">
            <v>4.84348571869001E-4</v>
          </cell>
          <cell r="K1200">
            <v>35</v>
          </cell>
          <cell r="L1200">
            <v>103.68731878926</v>
          </cell>
          <cell r="M1200">
            <v>1931</v>
          </cell>
          <cell r="N1200">
            <v>2.8754156745449198E-2</v>
          </cell>
          <cell r="O1200">
            <v>1485</v>
          </cell>
          <cell r="Q1200">
            <v>3329</v>
          </cell>
        </row>
        <row r="1201">
          <cell r="B1201" t="str">
            <v>FRUITLAND 114293234</v>
          </cell>
          <cell r="C1201">
            <v>192311142</v>
          </cell>
          <cell r="D1201" t="str">
            <v>FRUITLAND 1142</v>
          </cell>
          <cell r="E1201">
            <v>93234</v>
          </cell>
          <cell r="F1201" t="b">
            <v>0</v>
          </cell>
          <cell r="G1201">
            <v>18471.727271874199</v>
          </cell>
          <cell r="H1201">
            <v>18471.727271874199</v>
          </cell>
          <cell r="I1201">
            <v>96</v>
          </cell>
          <cell r="J1201">
            <v>2.4810265684512402E-4</v>
          </cell>
          <cell r="K1201">
            <v>222</v>
          </cell>
          <cell r="L1201">
            <v>135.70355770715301</v>
          </cell>
          <cell r="M1201">
            <v>1830</v>
          </cell>
          <cell r="N1201">
            <v>2.5061732048489799E-2</v>
          </cell>
          <cell r="O1201">
            <v>1558</v>
          </cell>
          <cell r="P1201">
            <v>7.72</v>
          </cell>
          <cell r="Q1201">
            <v>442</v>
          </cell>
        </row>
        <row r="1202">
          <cell r="B1202" t="str">
            <v>FRUITLAND 1142CB</v>
          </cell>
          <cell r="C1202">
            <v>192311142</v>
          </cell>
          <cell r="D1202" t="str">
            <v>FRUITLAND 1142</v>
          </cell>
          <cell r="E1202" t="str">
            <v>CB</v>
          </cell>
          <cell r="F1202" t="b">
            <v>0</v>
          </cell>
          <cell r="G1202">
            <v>24719.991871758299</v>
          </cell>
          <cell r="H1202">
            <v>16900.9682631297</v>
          </cell>
          <cell r="I1202">
            <v>116</v>
          </cell>
          <cell r="J1202">
            <v>2.4730311868922402E-4</v>
          </cell>
          <cell r="K1202">
            <v>224</v>
          </cell>
          <cell r="L1202">
            <v>245.687506239062</v>
          </cell>
          <cell r="M1202">
            <v>1552</v>
          </cell>
          <cell r="N1202">
            <v>5.6320690639775302E-2</v>
          </cell>
          <cell r="O1202">
            <v>1105</v>
          </cell>
          <cell r="P1202">
            <v>3.13</v>
          </cell>
          <cell r="Q1202">
            <v>561</v>
          </cell>
        </row>
        <row r="1203">
          <cell r="B1203" t="str">
            <v>FULTON 1102287172</v>
          </cell>
          <cell r="C1203">
            <v>42561102</v>
          </cell>
          <cell r="D1203" t="str">
            <v>FULTON 1102</v>
          </cell>
          <cell r="E1203">
            <v>287172</v>
          </cell>
          <cell r="F1203" t="b">
            <v>0</v>
          </cell>
          <cell r="G1203">
            <v>42975.842389120196</v>
          </cell>
          <cell r="H1203">
            <v>32888.5180662087</v>
          </cell>
          <cell r="I1203">
            <v>258</v>
          </cell>
          <cell r="J1203">
            <v>1.43410073390862E-4</v>
          </cell>
          <cell r="K1203">
            <v>820</v>
          </cell>
          <cell r="L1203">
            <v>1064.6586361078801</v>
          </cell>
          <cell r="M1203">
            <v>789</v>
          </cell>
          <cell r="N1203">
            <v>0.152162185672545</v>
          </cell>
          <cell r="O1203">
            <v>506</v>
          </cell>
          <cell r="P1203">
            <v>0.11</v>
          </cell>
          <cell r="Q1203">
            <v>1432</v>
          </cell>
        </row>
        <row r="1204">
          <cell r="B1204" t="str">
            <v>FULTON 11024522</v>
          </cell>
          <cell r="C1204">
            <v>42561102</v>
          </cell>
          <cell r="D1204" t="str">
            <v>FULTON 1102</v>
          </cell>
          <cell r="E1204">
            <v>4522</v>
          </cell>
          <cell r="F1204" t="b">
            <v>0</v>
          </cell>
          <cell r="G1204">
            <v>19482.335312238502</v>
          </cell>
          <cell r="H1204">
            <v>14178.9488617728</v>
          </cell>
          <cell r="I1204">
            <v>128</v>
          </cell>
          <cell r="J1204">
            <v>1.32645680174903E-4</v>
          </cell>
          <cell r="K1204">
            <v>968</v>
          </cell>
          <cell r="L1204">
            <v>1211.01419816518</v>
          </cell>
          <cell r="M1204">
            <v>727</v>
          </cell>
          <cell r="N1204">
            <v>0.149189469856848</v>
          </cell>
          <cell r="O1204">
            <v>519</v>
          </cell>
          <cell r="P1204">
            <v>1.62</v>
          </cell>
          <cell r="Q1204">
            <v>661</v>
          </cell>
        </row>
        <row r="1205">
          <cell r="B1205" t="str">
            <v>FULTON 11024994</v>
          </cell>
          <cell r="C1205">
            <v>42561102</v>
          </cell>
          <cell r="D1205" t="str">
            <v>FULTON 1102</v>
          </cell>
          <cell r="E1205">
            <v>4994</v>
          </cell>
          <cell r="F1205" t="b">
            <v>0</v>
          </cell>
          <cell r="G1205">
            <v>6920.6464471505196</v>
          </cell>
          <cell r="H1205">
            <v>2185.8295140784398</v>
          </cell>
          <cell r="I1205">
            <v>45</v>
          </cell>
          <cell r="J1205">
            <v>1.2651738800493299E-4</v>
          </cell>
          <cell r="K1205">
            <v>1071</v>
          </cell>
          <cell r="L1205">
            <v>520.90406975630697</v>
          </cell>
          <cell r="M1205">
            <v>1182</v>
          </cell>
          <cell r="N1205">
            <v>8.2765157268895898E-2</v>
          </cell>
          <cell r="O1205">
            <v>879</v>
          </cell>
          <cell r="P1205">
            <v>0.64</v>
          </cell>
          <cell r="Q1205">
            <v>830</v>
          </cell>
        </row>
        <row r="1206">
          <cell r="B1206" t="str">
            <v>FULTON 110258990</v>
          </cell>
          <cell r="C1206">
            <v>42561102</v>
          </cell>
          <cell r="D1206" t="str">
            <v>FULTON 1102</v>
          </cell>
          <cell r="E1206">
            <v>58990</v>
          </cell>
          <cell r="F1206" t="b">
            <v>1</v>
          </cell>
          <cell r="G1206">
            <v>971.50451492669799</v>
          </cell>
          <cell r="H1206">
            <v>427.97442919153798</v>
          </cell>
          <cell r="I1206">
            <v>6</v>
          </cell>
          <cell r="J1206">
            <v>1.1359336931491199E-4</v>
          </cell>
          <cell r="K1206">
            <v>1330</v>
          </cell>
          <cell r="L1206">
            <v>3017.9753579187</v>
          </cell>
          <cell r="M1206">
            <v>266</v>
          </cell>
          <cell r="N1206">
            <v>0.280246595047491</v>
          </cell>
          <cell r="O1206">
            <v>155</v>
          </cell>
          <cell r="Q1206">
            <v>3495</v>
          </cell>
        </row>
        <row r="1207">
          <cell r="B1207" t="str">
            <v>FULTON 1102CB</v>
          </cell>
          <cell r="C1207">
            <v>42561102</v>
          </cell>
          <cell r="D1207" t="str">
            <v>FULTON 1102</v>
          </cell>
          <cell r="E1207" t="str">
            <v>CB</v>
          </cell>
          <cell r="F1207" t="b">
            <v>1</v>
          </cell>
          <cell r="G1207">
            <v>6358.3504087920701</v>
          </cell>
          <cell r="H1207">
            <v>326.859210592419</v>
          </cell>
          <cell r="I1207">
            <v>48</v>
          </cell>
          <cell r="J1207">
            <v>1.01278023006064E-4</v>
          </cell>
          <cell r="K1207">
            <v>1621</v>
          </cell>
          <cell r="L1207">
            <v>121.847425623851</v>
          </cell>
          <cell r="M1207">
            <v>1865</v>
          </cell>
          <cell r="N1207">
            <v>2.5061354068466501E-2</v>
          </cell>
          <cell r="O1207">
            <v>1559</v>
          </cell>
          <cell r="P1207">
            <v>7.0000000000000007E-2</v>
          </cell>
          <cell r="Q1207">
            <v>1754</v>
          </cell>
        </row>
        <row r="1208">
          <cell r="B1208" t="str">
            <v>FULTON 1104466</v>
          </cell>
          <cell r="C1208">
            <v>42561104</v>
          </cell>
          <cell r="D1208" t="str">
            <v>FULTON 1104</v>
          </cell>
          <cell r="E1208">
            <v>466</v>
          </cell>
          <cell r="F1208" t="b">
            <v>1</v>
          </cell>
          <cell r="G1208">
            <v>2421.8685983229998</v>
          </cell>
          <cell r="H1208">
            <v>622.96439778345905</v>
          </cell>
          <cell r="I1208">
            <v>21</v>
          </cell>
          <cell r="J1208">
            <v>1.1297222636130701E-4</v>
          </cell>
          <cell r="K1208">
            <v>1345</v>
          </cell>
          <cell r="L1208">
            <v>121.204938110245</v>
          </cell>
          <cell r="M1208">
            <v>1867</v>
          </cell>
          <cell r="N1208">
            <v>1.20202835995746E-2</v>
          </cell>
          <cell r="O1208">
            <v>1882</v>
          </cell>
          <cell r="Q1208">
            <v>2947</v>
          </cell>
        </row>
        <row r="1209">
          <cell r="B1209" t="str">
            <v>FULTON 1107214</v>
          </cell>
          <cell r="C1209">
            <v>42561107</v>
          </cell>
          <cell r="D1209" t="str">
            <v>FULTON 1107</v>
          </cell>
          <cell r="E1209">
            <v>214</v>
          </cell>
          <cell r="F1209" t="b">
            <v>0</v>
          </cell>
          <cell r="G1209">
            <v>18868.376842368602</v>
          </cell>
          <cell r="H1209">
            <v>18868.376842368602</v>
          </cell>
          <cell r="I1209">
            <v>142</v>
          </cell>
          <cell r="J1209">
            <v>1.5159753274929201E-4</v>
          </cell>
          <cell r="K1209">
            <v>725</v>
          </cell>
          <cell r="L1209">
            <v>205.066572407325</v>
          </cell>
          <cell r="M1209">
            <v>1626</v>
          </cell>
          <cell r="N1209">
            <v>4.0503165079923402E-2</v>
          </cell>
          <cell r="O1209">
            <v>1297</v>
          </cell>
          <cell r="P1209">
            <v>44.57</v>
          </cell>
          <cell r="Q1209">
            <v>157</v>
          </cell>
        </row>
        <row r="1210">
          <cell r="B1210" t="str">
            <v>FULTON 1107604</v>
          </cell>
          <cell r="C1210">
            <v>42561107</v>
          </cell>
          <cell r="D1210" t="str">
            <v>FULTON 1107</v>
          </cell>
          <cell r="E1210">
            <v>604</v>
          </cell>
          <cell r="F1210" t="b">
            <v>0</v>
          </cell>
          <cell r="G1210">
            <v>28058.6741024238</v>
          </cell>
          <cell r="H1210">
            <v>28058.6741024238</v>
          </cell>
          <cell r="I1210">
            <v>169</v>
          </cell>
          <cell r="J1210">
            <v>1.00383711242102E-4</v>
          </cell>
          <cell r="K1210">
            <v>1638</v>
          </cell>
          <cell r="L1210">
            <v>1390.9913219628099</v>
          </cell>
          <cell r="M1210">
            <v>641</v>
          </cell>
          <cell r="N1210">
            <v>0.12169286942318699</v>
          </cell>
          <cell r="O1210">
            <v>637</v>
          </cell>
          <cell r="P1210">
            <v>38.24</v>
          </cell>
          <cell r="Q1210">
            <v>196</v>
          </cell>
        </row>
        <row r="1211">
          <cell r="B1211" t="str">
            <v>FULTON 110777670</v>
          </cell>
          <cell r="C1211">
            <v>42561107</v>
          </cell>
          <cell r="D1211" t="str">
            <v>FULTON 1107</v>
          </cell>
          <cell r="E1211">
            <v>77670</v>
          </cell>
          <cell r="F1211" t="b">
            <v>0</v>
          </cell>
          <cell r="G1211">
            <v>10996.9078960798</v>
          </cell>
          <cell r="H1211">
            <v>10874.583265016299</v>
          </cell>
          <cell r="I1211">
            <v>98</v>
          </cell>
          <cell r="J1211">
            <v>1.16613062589786E-4</v>
          </cell>
          <cell r="K1211">
            <v>1258</v>
          </cell>
          <cell r="L1211">
            <v>47.491157075294502</v>
          </cell>
          <cell r="M1211">
            <v>2228</v>
          </cell>
          <cell r="N1211">
            <v>5.7453926155074404E-3</v>
          </cell>
          <cell r="O1211">
            <v>2166</v>
          </cell>
          <cell r="P1211">
            <v>19.77</v>
          </cell>
          <cell r="Q1211">
            <v>309</v>
          </cell>
        </row>
        <row r="1212">
          <cell r="B1212" t="str">
            <v>FULTON 1107CB</v>
          </cell>
          <cell r="C1212">
            <v>42561107</v>
          </cell>
          <cell r="D1212" t="str">
            <v>FULTON 1107</v>
          </cell>
          <cell r="E1212" t="str">
            <v>CB</v>
          </cell>
          <cell r="F1212" t="b">
            <v>1</v>
          </cell>
          <cell r="G1212">
            <v>19915.784981262499</v>
          </cell>
          <cell r="H1212">
            <v>875.31778695291598</v>
          </cell>
          <cell r="I1212">
            <v>166</v>
          </cell>
          <cell r="J1212">
            <v>8.6264893946220501E-5</v>
          </cell>
          <cell r="K1212">
            <v>2028</v>
          </cell>
          <cell r="L1212">
            <v>19.7079194313485</v>
          </cell>
          <cell r="M1212">
            <v>2452</v>
          </cell>
          <cell r="N1212">
            <v>2.2645357384276799E-3</v>
          </cell>
          <cell r="O1212">
            <v>2441</v>
          </cell>
          <cell r="P1212">
            <v>3.46</v>
          </cell>
          <cell r="Q1212">
            <v>545</v>
          </cell>
        </row>
        <row r="1213">
          <cell r="B1213" t="str">
            <v>GABILAN 11013034</v>
          </cell>
          <cell r="C1213">
            <v>182331101</v>
          </cell>
          <cell r="D1213" t="str">
            <v>GABILAN 1101</v>
          </cell>
          <cell r="E1213">
            <v>3034</v>
          </cell>
          <cell r="F1213" t="b">
            <v>1</v>
          </cell>
          <cell r="G1213">
            <v>31905.887075611801</v>
          </cell>
          <cell r="H1213">
            <v>80.337683742833207</v>
          </cell>
          <cell r="I1213">
            <v>193</v>
          </cell>
          <cell r="J1213">
            <v>4.5788518612367998E-5</v>
          </cell>
          <cell r="K1213">
            <v>3145</v>
          </cell>
          <cell r="L1213">
            <v>2.3732999445088701</v>
          </cell>
          <cell r="M1213">
            <v>2828</v>
          </cell>
          <cell r="N1213">
            <v>8.7160230575685199E-5</v>
          </cell>
          <cell r="O1213">
            <v>2881</v>
          </cell>
          <cell r="P1213">
            <v>0.02</v>
          </cell>
          <cell r="Q1213">
            <v>2481</v>
          </cell>
        </row>
        <row r="1214">
          <cell r="B1214" t="str">
            <v>GABILAN 1101460414</v>
          </cell>
          <cell r="C1214">
            <v>182331101</v>
          </cell>
          <cell r="D1214" t="str">
            <v>GABILAN 1101</v>
          </cell>
          <cell r="E1214">
            <v>460414</v>
          </cell>
          <cell r="F1214" t="b">
            <v>0</v>
          </cell>
          <cell r="G1214">
            <v>10774.9077155127</v>
          </cell>
          <cell r="H1214">
            <v>8655.1603717350208</v>
          </cell>
          <cell r="I1214">
            <v>38</v>
          </cell>
          <cell r="J1214">
            <v>8.5460010220566199E-5</v>
          </cell>
          <cell r="K1214">
            <v>2043</v>
          </cell>
          <cell r="L1214">
            <v>785.61810500351203</v>
          </cell>
          <cell r="M1214">
            <v>953</v>
          </cell>
          <cell r="N1214">
            <v>5.8718537826199999E-2</v>
          </cell>
          <cell r="O1214">
            <v>1072</v>
          </cell>
          <cell r="Q1214">
            <v>2688</v>
          </cell>
        </row>
        <row r="1215">
          <cell r="B1215" t="str">
            <v>GABILAN 1101566352</v>
          </cell>
          <cell r="C1215">
            <v>182331101</v>
          </cell>
          <cell r="D1215" t="str">
            <v>GABILAN 1101</v>
          </cell>
          <cell r="E1215">
            <v>566352</v>
          </cell>
          <cell r="F1215" t="b">
            <v>1</v>
          </cell>
          <cell r="G1215">
            <v>1524.3754677342899</v>
          </cell>
          <cell r="H1215">
            <v>680.75544236502196</v>
          </cell>
          <cell r="I1215">
            <v>9</v>
          </cell>
          <cell r="J1215">
            <v>3.3385253219522397E-5</v>
          </cell>
          <cell r="K1215">
            <v>3378</v>
          </cell>
          <cell r="L1215">
            <v>153.37621070196201</v>
          </cell>
          <cell r="M1215">
            <v>1766</v>
          </cell>
          <cell r="N1215">
            <v>6.7421212281865402E-3</v>
          </cell>
          <cell r="O1215">
            <v>2107</v>
          </cell>
          <cell r="Q1215">
            <v>3079</v>
          </cell>
        </row>
        <row r="1216">
          <cell r="B1216" t="str">
            <v>GABILAN 1101989608</v>
          </cell>
          <cell r="C1216">
            <v>182331101</v>
          </cell>
          <cell r="D1216" t="str">
            <v>GABILAN 1101</v>
          </cell>
          <cell r="E1216">
            <v>989608</v>
          </cell>
          <cell r="F1216" t="b">
            <v>0</v>
          </cell>
          <cell r="G1216">
            <v>3673.9458128987899</v>
          </cell>
          <cell r="H1216">
            <v>1209.6120327344299</v>
          </cell>
          <cell r="I1216">
            <v>6</v>
          </cell>
          <cell r="J1216">
            <v>1.5502004680456499E-4</v>
          </cell>
          <cell r="K1216">
            <v>693</v>
          </cell>
          <cell r="L1216">
            <v>503.72585296630803</v>
          </cell>
          <cell r="M1216">
            <v>1195</v>
          </cell>
          <cell r="N1216">
            <v>3.9512503762123299E-2</v>
          </cell>
          <cell r="O1216">
            <v>1310</v>
          </cell>
          <cell r="Q1216">
            <v>2877</v>
          </cell>
        </row>
        <row r="1217">
          <cell r="B1217" t="str">
            <v>GANSNER 1101174072</v>
          </cell>
          <cell r="C1217">
            <v>103021101</v>
          </cell>
          <cell r="D1217" t="str">
            <v>GANSNER 1101</v>
          </cell>
          <cell r="E1217">
            <v>174072</v>
          </cell>
          <cell r="F1217" t="b">
            <v>1</v>
          </cell>
          <cell r="G1217">
            <v>172.70331944503701</v>
          </cell>
          <cell r="H1217">
            <v>172.70331944503701</v>
          </cell>
          <cell r="I1217">
            <v>3</v>
          </cell>
          <cell r="J1217">
            <v>8.1757954224788795E-5</v>
          </cell>
          <cell r="K1217">
            <v>2162</v>
          </cell>
          <cell r="L1217">
            <v>6.60039023650415E-2</v>
          </cell>
          <cell r="M1217">
            <v>3219</v>
          </cell>
          <cell r="N1217">
            <v>5.3938884731293201E-6</v>
          </cell>
          <cell r="O1217">
            <v>3244</v>
          </cell>
          <cell r="Q1217">
            <v>3129</v>
          </cell>
        </row>
        <row r="1218">
          <cell r="B1218" t="str">
            <v>GANSNER 11012006</v>
          </cell>
          <cell r="C1218">
            <v>103021101</v>
          </cell>
          <cell r="D1218" t="str">
            <v>GANSNER 1101</v>
          </cell>
          <cell r="E1218">
            <v>2006</v>
          </cell>
          <cell r="F1218" t="b">
            <v>0</v>
          </cell>
          <cell r="G1218">
            <v>27571.188278797399</v>
          </cell>
          <cell r="H1218">
            <v>27571.188278797399</v>
          </cell>
          <cell r="I1218">
            <v>151</v>
          </cell>
          <cell r="J1218">
            <v>6.0917857175858403E-5</v>
          </cell>
          <cell r="K1218">
            <v>2751</v>
          </cell>
          <cell r="L1218">
            <v>384.50235839955201</v>
          </cell>
          <cell r="M1218">
            <v>1313</v>
          </cell>
          <cell r="N1218">
            <v>2.2833877706498001E-2</v>
          </cell>
          <cell r="O1218">
            <v>1607</v>
          </cell>
          <cell r="P1218">
            <v>0.22</v>
          </cell>
          <cell r="Q1218">
            <v>1125</v>
          </cell>
        </row>
        <row r="1219">
          <cell r="B1219" t="str">
            <v>GANSNER 11012424</v>
          </cell>
          <cell r="C1219">
            <v>103021101</v>
          </cell>
          <cell r="D1219" t="str">
            <v>GANSNER 1101</v>
          </cell>
          <cell r="E1219">
            <v>2424</v>
          </cell>
          <cell r="F1219" t="b">
            <v>0</v>
          </cell>
          <cell r="G1219">
            <v>30415.171786995099</v>
          </cell>
          <cell r="H1219">
            <v>30186.903071475801</v>
          </cell>
          <cell r="I1219">
            <v>141</v>
          </cell>
          <cell r="J1219">
            <v>6.6530742403936302E-5</v>
          </cell>
          <cell r="K1219">
            <v>2572</v>
          </cell>
          <cell r="L1219">
            <v>747.48087237862001</v>
          </cell>
          <cell r="M1219">
            <v>977</v>
          </cell>
          <cell r="N1219">
            <v>5.0558874306310099E-2</v>
          </cell>
          <cell r="O1219">
            <v>1172</v>
          </cell>
          <cell r="P1219">
            <v>0.17</v>
          </cell>
          <cell r="Q1219">
            <v>1231</v>
          </cell>
        </row>
        <row r="1220">
          <cell r="B1220" t="str">
            <v>GANSNER 1101336664</v>
          </cell>
          <cell r="C1220">
            <v>103021101</v>
          </cell>
          <cell r="D1220" t="str">
            <v>GANSNER 1101</v>
          </cell>
          <cell r="E1220">
            <v>336664</v>
          </cell>
          <cell r="F1220" t="b">
            <v>0</v>
          </cell>
          <cell r="G1220">
            <v>2515.5709984987898</v>
          </cell>
          <cell r="H1220">
            <v>1158.7417210928099</v>
          </cell>
          <cell r="I1220">
            <v>16</v>
          </cell>
          <cell r="J1220">
            <v>6.7590124429746802E-5</v>
          </cell>
          <cell r="K1220">
            <v>2546</v>
          </cell>
          <cell r="L1220">
            <v>46.578292812970801</v>
          </cell>
          <cell r="M1220">
            <v>2238</v>
          </cell>
          <cell r="N1220">
            <v>3.33241317005391E-3</v>
          </cell>
          <cell r="O1220">
            <v>2311</v>
          </cell>
          <cell r="Q1220">
            <v>3098</v>
          </cell>
        </row>
        <row r="1221">
          <cell r="B1221" t="str">
            <v>GANSNER 1101372132</v>
          </cell>
          <cell r="C1221">
            <v>103021101</v>
          </cell>
          <cell r="D1221" t="str">
            <v>GANSNER 1101</v>
          </cell>
          <cell r="E1221">
            <v>372132</v>
          </cell>
          <cell r="F1221" t="b">
            <v>1</v>
          </cell>
          <cell r="G1221">
            <v>2259.7940038182301</v>
          </cell>
          <cell r="H1221">
            <v>673.222167429975</v>
          </cell>
          <cell r="I1221">
            <v>13</v>
          </cell>
          <cell r="J1221">
            <v>1.02612648893577E-4</v>
          </cell>
          <cell r="K1221">
            <v>1583</v>
          </cell>
          <cell r="L1221">
            <v>1099.8675342280801</v>
          </cell>
          <cell r="M1221">
            <v>775</v>
          </cell>
          <cell r="N1221">
            <v>8.0250193802306496E-2</v>
          </cell>
          <cell r="O1221">
            <v>898</v>
          </cell>
          <cell r="Q1221">
            <v>3103</v>
          </cell>
        </row>
        <row r="1222">
          <cell r="B1222" t="str">
            <v>GANSNER 110137550</v>
          </cell>
          <cell r="C1222">
            <v>103021101</v>
          </cell>
          <cell r="D1222" t="str">
            <v>GANSNER 1101</v>
          </cell>
          <cell r="E1222">
            <v>37550</v>
          </cell>
          <cell r="F1222" t="b">
            <v>1</v>
          </cell>
          <cell r="G1222">
            <v>5259.0815819219797</v>
          </cell>
          <cell r="H1222">
            <v>590.534978186844</v>
          </cell>
          <cell r="I1222">
            <v>33</v>
          </cell>
          <cell r="J1222">
            <v>6.5837200798506999E-5</v>
          </cell>
          <cell r="K1222">
            <v>2592</v>
          </cell>
          <cell r="L1222">
            <v>741.25858610475098</v>
          </cell>
          <cell r="M1222">
            <v>983</v>
          </cell>
          <cell r="N1222">
            <v>4.5041845222182297E-2</v>
          </cell>
          <cell r="O1222">
            <v>1232</v>
          </cell>
          <cell r="P1222">
            <v>1.25</v>
          </cell>
          <cell r="Q1222">
            <v>693</v>
          </cell>
        </row>
        <row r="1223">
          <cell r="B1223" t="str">
            <v>GANSNER 1101480328</v>
          </cell>
          <cell r="C1223">
            <v>103021101</v>
          </cell>
          <cell r="D1223" t="str">
            <v>GANSNER 1101</v>
          </cell>
          <cell r="E1223">
            <v>480328</v>
          </cell>
          <cell r="F1223" t="b">
            <v>1</v>
          </cell>
          <cell r="G1223">
            <v>859.32221100784398</v>
          </cell>
          <cell r="H1223">
            <v>472.37502146637098</v>
          </cell>
          <cell r="I1223">
            <v>7</v>
          </cell>
          <cell r="J1223">
            <v>6.56468177372257E-5</v>
          </cell>
          <cell r="K1223">
            <v>2600</v>
          </cell>
          <cell r="L1223">
            <v>6.5698290714800101E-2</v>
          </cell>
          <cell r="M1223">
            <v>3311</v>
          </cell>
          <cell r="N1223">
            <v>4.3253737372533798E-6</v>
          </cell>
          <cell r="O1223">
            <v>3310</v>
          </cell>
          <cell r="Q1223">
            <v>2811</v>
          </cell>
        </row>
        <row r="1224">
          <cell r="B1224" t="str">
            <v>GANSNER 1101489276</v>
          </cell>
          <cell r="C1224">
            <v>103021101</v>
          </cell>
          <cell r="D1224" t="str">
            <v>GANSNER 1101</v>
          </cell>
          <cell r="E1224">
            <v>489276</v>
          </cell>
          <cell r="F1224" t="b">
            <v>1</v>
          </cell>
          <cell r="G1224">
            <v>1058.1278171364499</v>
          </cell>
          <cell r="H1224">
            <v>723.70023355213095</v>
          </cell>
          <cell r="I1224">
            <v>9</v>
          </cell>
          <cell r="J1224">
            <v>1.03437105281045E-4</v>
          </cell>
          <cell r="K1224">
            <v>1561</v>
          </cell>
          <cell r="L1224">
            <v>6.6146521135154193E-2</v>
          </cell>
          <cell r="M1224">
            <v>3182</v>
          </cell>
          <cell r="N1224">
            <v>6.8545766239166201E-6</v>
          </cell>
          <cell r="O1224">
            <v>3172</v>
          </cell>
          <cell r="Q1224">
            <v>3253</v>
          </cell>
        </row>
        <row r="1225">
          <cell r="B1225" t="str">
            <v>GANSNER 110152664</v>
          </cell>
          <cell r="C1225">
            <v>103021101</v>
          </cell>
          <cell r="D1225" t="str">
            <v>GANSNER 1101</v>
          </cell>
          <cell r="E1225">
            <v>52664</v>
          </cell>
          <cell r="F1225" t="b">
            <v>1</v>
          </cell>
          <cell r="G1225">
            <v>5174.4008383522296</v>
          </cell>
          <cell r="H1225">
            <v>284.40332342816401</v>
          </cell>
          <cell r="I1225">
            <v>44</v>
          </cell>
          <cell r="J1225">
            <v>5.8197314480588901E-5</v>
          </cell>
          <cell r="K1225">
            <v>2829</v>
          </cell>
          <cell r="L1225">
            <v>25.893813020761801</v>
          </cell>
          <cell r="M1225">
            <v>2380</v>
          </cell>
          <cell r="N1225">
            <v>1.6028162548818801E-3</v>
          </cell>
          <cell r="O1225">
            <v>2538</v>
          </cell>
          <cell r="Q1225">
            <v>2705</v>
          </cell>
        </row>
        <row r="1226">
          <cell r="B1226" t="str">
            <v>GANSNER 1101590690</v>
          </cell>
          <cell r="C1226">
            <v>103021101</v>
          </cell>
          <cell r="D1226" t="str">
            <v>GANSNER 1101</v>
          </cell>
          <cell r="E1226">
            <v>590690</v>
          </cell>
          <cell r="F1226" t="b">
            <v>1</v>
          </cell>
          <cell r="G1226">
            <v>383.26942121865198</v>
          </cell>
          <cell r="H1226">
            <v>102.030355387838</v>
          </cell>
          <cell r="I1226">
            <v>4</v>
          </cell>
          <cell r="J1226">
            <v>8.1235340076091207E-5</v>
          </cell>
          <cell r="K1226">
            <v>2176</v>
          </cell>
          <cell r="L1226">
            <v>6.5148189744365606E-2</v>
          </cell>
          <cell r="M1226">
            <v>3587</v>
          </cell>
          <cell r="N1226">
            <v>5.2923353492252603E-6</v>
          </cell>
          <cell r="O1226">
            <v>3251</v>
          </cell>
          <cell r="Q1226">
            <v>2919</v>
          </cell>
        </row>
        <row r="1227">
          <cell r="B1227" t="str">
            <v>GARBERVILLE 11011514</v>
          </cell>
          <cell r="C1227">
            <v>192221101</v>
          </cell>
          <cell r="D1227" t="str">
            <v>GARBERVILLE 1101</v>
          </cell>
          <cell r="E1227">
            <v>1514</v>
          </cell>
          <cell r="F1227" t="b">
            <v>0</v>
          </cell>
          <cell r="G1227">
            <v>23767.6371966517</v>
          </cell>
          <cell r="H1227">
            <v>23767.6371966517</v>
          </cell>
          <cell r="I1227">
            <v>123</v>
          </cell>
          <cell r="J1227">
            <v>5.6069938847165296E-4</v>
          </cell>
          <cell r="K1227">
            <v>23</v>
          </cell>
          <cell r="L1227">
            <v>46.041553488260703</v>
          </cell>
          <cell r="M1227">
            <v>2239</v>
          </cell>
          <cell r="N1227">
            <v>2.2167790322031301E-2</v>
          </cell>
          <cell r="O1227">
            <v>1628</v>
          </cell>
          <cell r="P1227">
            <v>7.0000000000000007E-2</v>
          </cell>
          <cell r="Q1227">
            <v>1675</v>
          </cell>
        </row>
        <row r="1228">
          <cell r="B1228" t="str">
            <v>GARBERVILLE 11011604</v>
          </cell>
          <cell r="C1228">
            <v>192221101</v>
          </cell>
          <cell r="D1228" t="str">
            <v>GARBERVILLE 1101</v>
          </cell>
          <cell r="E1228">
            <v>1604</v>
          </cell>
          <cell r="F1228" t="b">
            <v>0</v>
          </cell>
          <cell r="G1228">
            <v>29168.7634332052</v>
          </cell>
          <cell r="H1228">
            <v>6733.9297202487196</v>
          </cell>
          <cell r="I1228">
            <v>166</v>
          </cell>
          <cell r="J1228">
            <v>2.2086869049058801E-4</v>
          </cell>
          <cell r="K1228">
            <v>316</v>
          </cell>
          <cell r="L1228">
            <v>698.85918733086305</v>
          </cell>
          <cell r="M1228">
            <v>1023</v>
          </cell>
          <cell r="N1228">
            <v>0.14904761214506801</v>
          </cell>
          <cell r="O1228">
            <v>522</v>
          </cell>
          <cell r="P1228">
            <v>0.05</v>
          </cell>
          <cell r="Q1228">
            <v>1969</v>
          </cell>
        </row>
        <row r="1229">
          <cell r="B1229" t="str">
            <v>GARBERVILLE 11011750</v>
          </cell>
          <cell r="C1229">
            <v>192221101</v>
          </cell>
          <cell r="D1229" t="str">
            <v>GARBERVILLE 1101</v>
          </cell>
          <cell r="E1229">
            <v>1750</v>
          </cell>
          <cell r="F1229" t="b">
            <v>0</v>
          </cell>
          <cell r="G1229">
            <v>13589.0424201025</v>
          </cell>
          <cell r="H1229">
            <v>13584.4703983503</v>
          </cell>
          <cell r="I1229">
            <v>62</v>
          </cell>
          <cell r="J1229">
            <v>3.24043357735111E-4</v>
          </cell>
          <cell r="K1229">
            <v>108</v>
          </cell>
          <cell r="L1229">
            <v>98.886796580346001</v>
          </cell>
          <cell r="M1229">
            <v>1959</v>
          </cell>
          <cell r="N1229">
            <v>3.0822433916653898E-2</v>
          </cell>
          <cell r="O1229">
            <v>1447</v>
          </cell>
          <cell r="P1229">
            <v>0.13</v>
          </cell>
          <cell r="Q1229">
            <v>1338</v>
          </cell>
        </row>
        <row r="1230">
          <cell r="B1230" t="str">
            <v>GARBERVILLE 11011770</v>
          </cell>
          <cell r="C1230">
            <v>192221101</v>
          </cell>
          <cell r="D1230" t="str">
            <v>GARBERVILLE 1101</v>
          </cell>
          <cell r="E1230">
            <v>1770</v>
          </cell>
          <cell r="F1230" t="b">
            <v>0</v>
          </cell>
          <cell r="G1230">
            <v>13849.8333084515</v>
          </cell>
          <cell r="H1230">
            <v>13849.8333084515</v>
          </cell>
          <cell r="I1230">
            <v>66</v>
          </cell>
          <cell r="J1230">
            <v>4.4352849590722999E-4</v>
          </cell>
          <cell r="K1230">
            <v>51</v>
          </cell>
          <cell r="L1230">
            <v>343.95317319357201</v>
          </cell>
          <cell r="M1230">
            <v>1380</v>
          </cell>
          <cell r="N1230">
            <v>0.12341987232757801</v>
          </cell>
          <cell r="O1230">
            <v>630</v>
          </cell>
          <cell r="P1230">
            <v>0.02</v>
          </cell>
          <cell r="Q1230">
            <v>2504</v>
          </cell>
        </row>
        <row r="1231">
          <cell r="B1231" t="str">
            <v>GARBERVILLE 11012026</v>
          </cell>
          <cell r="C1231">
            <v>192221101</v>
          </cell>
          <cell r="D1231" t="str">
            <v>GARBERVILLE 1101</v>
          </cell>
          <cell r="E1231">
            <v>2026</v>
          </cell>
          <cell r="F1231" t="b">
            <v>0</v>
          </cell>
          <cell r="G1231">
            <v>10220.4249039885</v>
          </cell>
          <cell r="H1231">
            <v>10220.4249039885</v>
          </cell>
          <cell r="I1231">
            <v>26</v>
          </cell>
          <cell r="J1231">
            <v>3.4659481529021E-4</v>
          </cell>
          <cell r="K1231">
            <v>95</v>
          </cell>
          <cell r="L1231">
            <v>363.81515957329401</v>
          </cell>
          <cell r="M1231">
            <v>1347</v>
          </cell>
          <cell r="N1231">
            <v>0.17512139666711801</v>
          </cell>
          <cell r="O1231">
            <v>415</v>
          </cell>
          <cell r="P1231">
            <v>0.84</v>
          </cell>
          <cell r="Q1231">
            <v>768</v>
          </cell>
        </row>
        <row r="1232">
          <cell r="B1232" t="str">
            <v>GARBERVILLE 1101323694</v>
          </cell>
          <cell r="C1232">
            <v>192221101</v>
          </cell>
          <cell r="D1232" t="str">
            <v>GARBERVILLE 1101</v>
          </cell>
          <cell r="E1232">
            <v>323694</v>
          </cell>
          <cell r="F1232" t="b">
            <v>0</v>
          </cell>
          <cell r="G1232">
            <v>10298.186892686401</v>
          </cell>
          <cell r="H1232">
            <v>10298.186892686401</v>
          </cell>
          <cell r="I1232">
            <v>17</v>
          </cell>
          <cell r="J1232">
            <v>2.38916285646458E-4</v>
          </cell>
          <cell r="K1232">
            <v>250</v>
          </cell>
          <cell r="L1232">
            <v>89.514780218033394</v>
          </cell>
          <cell r="M1232">
            <v>2002</v>
          </cell>
          <cell r="N1232">
            <v>1.6660940151887401E-2</v>
          </cell>
          <cell r="O1232">
            <v>1750</v>
          </cell>
          <cell r="Q1232">
            <v>3406</v>
          </cell>
        </row>
        <row r="1233">
          <cell r="B1233" t="str">
            <v>GARBERVILLE 110135706</v>
          </cell>
          <cell r="C1233">
            <v>192221101</v>
          </cell>
          <cell r="D1233" t="str">
            <v>GARBERVILLE 1101</v>
          </cell>
          <cell r="E1233">
            <v>35706</v>
          </cell>
          <cell r="F1233" t="b">
            <v>0</v>
          </cell>
          <cell r="G1233">
            <v>16269.0270110199</v>
          </cell>
          <cell r="H1233">
            <v>16269.0270110199</v>
          </cell>
          <cell r="I1233">
            <v>97</v>
          </cell>
          <cell r="J1233">
            <v>4.1981228881097902E-4</v>
          </cell>
          <cell r="K1233">
            <v>62</v>
          </cell>
          <cell r="L1233">
            <v>185.295363208297</v>
          </cell>
          <cell r="M1233">
            <v>1670</v>
          </cell>
          <cell r="N1233">
            <v>7.6898344513783606E-2</v>
          </cell>
          <cell r="O1233">
            <v>928</v>
          </cell>
          <cell r="P1233">
            <v>4.82</v>
          </cell>
          <cell r="Q1233">
            <v>505</v>
          </cell>
        </row>
        <row r="1234">
          <cell r="B1234" t="str">
            <v>GARBERVILLE 110139524</v>
          </cell>
          <cell r="C1234">
            <v>192221101</v>
          </cell>
          <cell r="D1234" t="str">
            <v>GARBERVILLE 1101</v>
          </cell>
          <cell r="E1234">
            <v>39524</v>
          </cell>
          <cell r="F1234" t="b">
            <v>0</v>
          </cell>
          <cell r="G1234">
            <v>24862.4082905416</v>
          </cell>
          <cell r="H1234">
            <v>8232.0088908395792</v>
          </cell>
          <cell r="I1234">
            <v>138</v>
          </cell>
          <cell r="J1234">
            <v>3.8496943625432301E-4</v>
          </cell>
          <cell r="K1234">
            <v>72</v>
          </cell>
          <cell r="L1234">
            <v>130.56939708556999</v>
          </cell>
          <cell r="M1234">
            <v>1844</v>
          </cell>
          <cell r="N1234">
            <v>4.3720228213843901E-2</v>
          </cell>
          <cell r="O1234">
            <v>1245</v>
          </cell>
          <cell r="P1234">
            <v>0.03</v>
          </cell>
          <cell r="Q1234">
            <v>2332</v>
          </cell>
        </row>
        <row r="1235">
          <cell r="B1235" t="str">
            <v>GARBERVILLE 1101438596</v>
          </cell>
          <cell r="C1235">
            <v>192221101</v>
          </cell>
          <cell r="D1235" t="str">
            <v>GARBERVILLE 1101</v>
          </cell>
          <cell r="E1235">
            <v>438596</v>
          </cell>
          <cell r="F1235" t="b">
            <v>0</v>
          </cell>
          <cell r="G1235">
            <v>17736.271587683099</v>
          </cell>
          <cell r="H1235">
            <v>17736.271587683099</v>
          </cell>
          <cell r="I1235">
            <v>69</v>
          </cell>
          <cell r="J1235">
            <v>2.8910887220860498E-4</v>
          </cell>
          <cell r="K1235">
            <v>142</v>
          </cell>
          <cell r="L1235">
            <v>66.184508997487498</v>
          </cell>
          <cell r="M1235">
            <v>2114</v>
          </cell>
          <cell r="N1235">
            <v>1.6624280076616298E-2</v>
          </cell>
          <cell r="O1235">
            <v>1751</v>
          </cell>
          <cell r="Q1235">
            <v>3135</v>
          </cell>
        </row>
        <row r="1236">
          <cell r="B1236" t="str">
            <v>GARBERVILLE 110197300</v>
          </cell>
          <cell r="C1236">
            <v>192221101</v>
          </cell>
          <cell r="D1236" t="str">
            <v>GARBERVILLE 1101</v>
          </cell>
          <cell r="E1236">
            <v>97300</v>
          </cell>
          <cell r="F1236" t="b">
            <v>0</v>
          </cell>
          <cell r="G1236">
            <v>5161.3801702711098</v>
          </cell>
          <cell r="H1236">
            <v>5161.3801702711098</v>
          </cell>
          <cell r="I1236">
            <v>32</v>
          </cell>
          <cell r="J1236">
            <v>5.2612556942222E-4</v>
          </cell>
          <cell r="K1236">
            <v>28</v>
          </cell>
          <cell r="L1236">
            <v>106.246647687117</v>
          </cell>
          <cell r="M1236">
            <v>1924</v>
          </cell>
          <cell r="N1236">
            <v>3.5439225210988301E-2</v>
          </cell>
          <cell r="O1236">
            <v>1364</v>
          </cell>
          <cell r="P1236">
            <v>0</v>
          </cell>
          <cell r="Q1236">
            <v>2624</v>
          </cell>
        </row>
        <row r="1237">
          <cell r="B1237" t="str">
            <v>GARBERVILLE 1101CB</v>
          </cell>
          <cell r="C1237">
            <v>192221101</v>
          </cell>
          <cell r="D1237" t="str">
            <v>GARBERVILLE 1101</v>
          </cell>
          <cell r="E1237" t="str">
            <v>CB</v>
          </cell>
          <cell r="F1237" t="b">
            <v>0</v>
          </cell>
          <cell r="G1237">
            <v>14152.8775153928</v>
          </cell>
          <cell r="H1237">
            <v>11300.059642989299</v>
          </cell>
          <cell r="I1237">
            <v>87</v>
          </cell>
          <cell r="J1237">
            <v>3.0831441404717498E-4</v>
          </cell>
          <cell r="K1237">
            <v>120</v>
          </cell>
          <cell r="L1237">
            <v>452.16329960816603</v>
          </cell>
          <cell r="M1237">
            <v>1245</v>
          </cell>
          <cell r="N1237">
            <v>0.14742223724159401</v>
          </cell>
          <cell r="O1237">
            <v>535</v>
          </cell>
          <cell r="P1237">
            <v>0.09</v>
          </cell>
          <cell r="Q1237">
            <v>1511</v>
          </cell>
        </row>
        <row r="1238">
          <cell r="B1238" t="str">
            <v>GARBERVILLE 11021510</v>
          </cell>
          <cell r="C1238">
            <v>192221102</v>
          </cell>
          <cell r="D1238" t="str">
            <v>GARBERVILLE 1102</v>
          </cell>
          <cell r="E1238">
            <v>1510</v>
          </cell>
          <cell r="F1238" t="b">
            <v>0</v>
          </cell>
          <cell r="G1238">
            <v>21171.828541335999</v>
          </cell>
          <cell r="H1238">
            <v>21171.828541335999</v>
          </cell>
          <cell r="I1238">
            <v>107</v>
          </cell>
          <cell r="J1238">
            <v>4.6286281001465802E-4</v>
          </cell>
          <cell r="K1238">
            <v>44</v>
          </cell>
          <cell r="L1238">
            <v>80.260044253748703</v>
          </cell>
          <cell r="M1238">
            <v>2047</v>
          </cell>
          <cell r="N1238">
            <v>2.9416715553159299E-2</v>
          </cell>
          <cell r="O1238">
            <v>1476</v>
          </cell>
          <cell r="P1238">
            <v>0.13</v>
          </cell>
          <cell r="Q1238">
            <v>1358</v>
          </cell>
        </row>
        <row r="1239">
          <cell r="B1239" t="str">
            <v>GARBERVILLE 11022010</v>
          </cell>
          <cell r="C1239">
            <v>192221102</v>
          </cell>
          <cell r="D1239" t="str">
            <v>GARBERVILLE 1102</v>
          </cell>
          <cell r="E1239">
            <v>2010</v>
          </cell>
          <cell r="F1239" t="b">
            <v>0</v>
          </cell>
          <cell r="G1239">
            <v>10727.9171384487</v>
          </cell>
          <cell r="H1239">
            <v>10727.9171384487</v>
          </cell>
          <cell r="I1239">
            <v>39</v>
          </cell>
          <cell r="J1239">
            <v>5.3736683726012197E-4</v>
          </cell>
          <cell r="K1239">
            <v>26</v>
          </cell>
          <cell r="L1239">
            <v>277.356392263945</v>
          </cell>
          <cell r="M1239">
            <v>1477</v>
          </cell>
          <cell r="N1239">
            <v>0.145850450773199</v>
          </cell>
          <cell r="O1239">
            <v>544</v>
          </cell>
          <cell r="P1239">
            <v>0.08</v>
          </cell>
          <cell r="Q1239">
            <v>1579</v>
          </cell>
        </row>
        <row r="1240">
          <cell r="B1240" t="str">
            <v>GARBERVILLE 11022124</v>
          </cell>
          <cell r="C1240">
            <v>192221102</v>
          </cell>
          <cell r="D1240" t="str">
            <v>GARBERVILLE 1102</v>
          </cell>
          <cell r="E1240">
            <v>2124</v>
          </cell>
          <cell r="F1240" t="b">
            <v>0</v>
          </cell>
          <cell r="G1240">
            <v>5026.2321938859304</v>
          </cell>
          <cell r="H1240">
            <v>5026.2321938859304</v>
          </cell>
          <cell r="I1240">
            <v>6</v>
          </cell>
          <cell r="J1240">
            <v>5.8653416150870397E-4</v>
          </cell>
          <cell r="K1240">
            <v>20</v>
          </cell>
          <cell r="L1240">
            <v>170.350774929576</v>
          </cell>
          <cell r="M1240">
            <v>1714</v>
          </cell>
          <cell r="N1240">
            <v>5.7005664608236799E-2</v>
          </cell>
          <cell r="O1240">
            <v>1096</v>
          </cell>
          <cell r="P1240">
            <v>1.87</v>
          </cell>
          <cell r="Q1240">
            <v>636</v>
          </cell>
        </row>
        <row r="1241">
          <cell r="B1241" t="str">
            <v>GARBERVILLE 11022500</v>
          </cell>
          <cell r="C1241">
            <v>192221102</v>
          </cell>
          <cell r="D1241" t="str">
            <v>GARBERVILLE 1102</v>
          </cell>
          <cell r="E1241">
            <v>2500</v>
          </cell>
          <cell r="F1241" t="b">
            <v>0</v>
          </cell>
          <cell r="G1241">
            <v>25777.188445160798</v>
          </cell>
          <cell r="H1241">
            <v>25777.188445160798</v>
          </cell>
          <cell r="I1241">
            <v>106</v>
          </cell>
          <cell r="J1241">
            <v>3.2433131869072899E-4</v>
          </cell>
          <cell r="K1241">
            <v>107</v>
          </cell>
          <cell r="L1241">
            <v>205.030811589081</v>
          </cell>
          <cell r="M1241">
            <v>1627</v>
          </cell>
          <cell r="N1241">
            <v>5.26536184672909E-2</v>
          </cell>
          <cell r="O1241">
            <v>1149</v>
          </cell>
          <cell r="P1241">
            <v>11.96</v>
          </cell>
          <cell r="Q1241">
            <v>380</v>
          </cell>
        </row>
        <row r="1242">
          <cell r="B1242" t="str">
            <v>GARBERVILLE 11022540</v>
          </cell>
          <cell r="C1242">
            <v>192221102</v>
          </cell>
          <cell r="D1242" t="str">
            <v>GARBERVILLE 1102</v>
          </cell>
          <cell r="E1242">
            <v>2540</v>
          </cell>
          <cell r="F1242" t="b">
            <v>0</v>
          </cell>
          <cell r="G1242">
            <v>28748.593411903799</v>
          </cell>
          <cell r="H1242">
            <v>26122.343122066901</v>
          </cell>
          <cell r="I1242">
            <v>135</v>
          </cell>
          <cell r="J1242">
            <v>5.49690681396868E-4</v>
          </cell>
          <cell r="K1242">
            <v>24</v>
          </cell>
          <cell r="L1242">
            <v>203.395475473696</v>
          </cell>
          <cell r="M1242">
            <v>1636</v>
          </cell>
          <cell r="N1242">
            <v>0.132959806896257</v>
          </cell>
          <cell r="O1242">
            <v>594</v>
          </cell>
          <cell r="P1242">
            <v>0.02</v>
          </cell>
          <cell r="Q1242">
            <v>2424</v>
          </cell>
        </row>
        <row r="1243">
          <cell r="B1243" t="str">
            <v>GARBERVILLE 110237054</v>
          </cell>
          <cell r="C1243">
            <v>192221102</v>
          </cell>
          <cell r="D1243" t="str">
            <v>GARBERVILLE 1102</v>
          </cell>
          <cell r="E1243">
            <v>37054</v>
          </cell>
          <cell r="F1243" t="b">
            <v>0</v>
          </cell>
          <cell r="G1243">
            <v>14849.4037857884</v>
          </cell>
          <cell r="H1243">
            <v>14394.2329584975</v>
          </cell>
          <cell r="I1243">
            <v>76</v>
          </cell>
          <cell r="J1243">
            <v>4.5585057319840399E-4</v>
          </cell>
          <cell r="K1243">
            <v>46</v>
          </cell>
          <cell r="L1243">
            <v>99.760235879466606</v>
          </cell>
          <cell r="M1243">
            <v>1954</v>
          </cell>
          <cell r="N1243">
            <v>4.44392077823847E-2</v>
          </cell>
          <cell r="O1243">
            <v>1237</v>
          </cell>
          <cell r="P1243">
            <v>0.04</v>
          </cell>
          <cell r="Q1243">
            <v>2218</v>
          </cell>
        </row>
        <row r="1244">
          <cell r="B1244" t="str">
            <v>GARBERVILLE 11024744</v>
          </cell>
          <cell r="C1244">
            <v>192221102</v>
          </cell>
          <cell r="D1244" t="str">
            <v>GARBERVILLE 1102</v>
          </cell>
          <cell r="E1244">
            <v>4744</v>
          </cell>
          <cell r="F1244" t="b">
            <v>0</v>
          </cell>
          <cell r="G1244">
            <v>32972.177128712698</v>
          </cell>
          <cell r="H1244">
            <v>27938.053599820701</v>
          </cell>
          <cell r="I1244">
            <v>161</v>
          </cell>
          <cell r="J1244">
            <v>2.6417350262526398E-4</v>
          </cell>
          <cell r="K1244">
            <v>184</v>
          </cell>
          <cell r="L1244">
            <v>386.369528379104</v>
          </cell>
          <cell r="M1244">
            <v>1311</v>
          </cell>
          <cell r="N1244">
            <v>9.3230666379389801E-2</v>
          </cell>
          <cell r="O1244">
            <v>806</v>
          </cell>
          <cell r="P1244">
            <v>0.03</v>
          </cell>
          <cell r="Q1244">
            <v>2396</v>
          </cell>
        </row>
        <row r="1245">
          <cell r="B1245" t="str">
            <v>GARBERVILLE 110256048</v>
          </cell>
          <cell r="C1245">
            <v>192221102</v>
          </cell>
          <cell r="D1245" t="str">
            <v>GARBERVILLE 1102</v>
          </cell>
          <cell r="E1245">
            <v>56048</v>
          </cell>
          <cell r="F1245" t="b">
            <v>0</v>
          </cell>
          <cell r="G1245">
            <v>8009.5026436896596</v>
          </cell>
          <cell r="H1245">
            <v>8009.5026436896596</v>
          </cell>
          <cell r="I1245">
            <v>27</v>
          </cell>
          <cell r="J1245">
            <v>5.1046740321908097E-4</v>
          </cell>
          <cell r="K1245">
            <v>29</v>
          </cell>
          <cell r="L1245">
            <v>201.584979099919</v>
          </cell>
          <cell r="M1245">
            <v>1638</v>
          </cell>
          <cell r="N1245">
            <v>0.101019872222279</v>
          </cell>
          <cell r="O1245">
            <v>756</v>
          </cell>
          <cell r="P1245">
            <v>0.04</v>
          </cell>
          <cell r="Q1245">
            <v>2118</v>
          </cell>
        </row>
        <row r="1246">
          <cell r="B1246" t="str">
            <v>GARBERVILLE 11026084</v>
          </cell>
          <cell r="C1246">
            <v>192221102</v>
          </cell>
          <cell r="D1246" t="str">
            <v>GARBERVILLE 1102</v>
          </cell>
          <cell r="E1246">
            <v>6084</v>
          </cell>
          <cell r="F1246" t="b">
            <v>0</v>
          </cell>
          <cell r="G1246">
            <v>24635.353523770598</v>
          </cell>
          <cell r="H1246">
            <v>24635.353523770598</v>
          </cell>
          <cell r="I1246">
            <v>120</v>
          </cell>
          <cell r="J1246">
            <v>2.7674703487718901E-4</v>
          </cell>
          <cell r="K1246">
            <v>166</v>
          </cell>
          <cell r="L1246">
            <v>46.992615334263</v>
          </cell>
          <cell r="M1246">
            <v>2233</v>
          </cell>
          <cell r="N1246">
            <v>1.51578134372716E-2</v>
          </cell>
          <cell r="O1246">
            <v>1777</v>
          </cell>
          <cell r="P1246">
            <v>0.26</v>
          </cell>
          <cell r="Q1246">
            <v>1064</v>
          </cell>
        </row>
        <row r="1247">
          <cell r="B1247" t="str">
            <v>GARBERVILLE 11028189</v>
          </cell>
          <cell r="C1247">
            <v>192221102</v>
          </cell>
          <cell r="D1247" t="str">
            <v>GARBERVILLE 1102</v>
          </cell>
          <cell r="E1247">
            <v>8189</v>
          </cell>
          <cell r="F1247" t="b">
            <v>0</v>
          </cell>
          <cell r="G1247">
            <v>1685.44011153374</v>
          </cell>
          <cell r="H1247">
            <v>1685.44011153374</v>
          </cell>
          <cell r="I1247">
            <v>11</v>
          </cell>
          <cell r="J1247">
            <v>3.5453647168734101E-4</v>
          </cell>
          <cell r="K1247">
            <v>86</v>
          </cell>
          <cell r="L1247">
            <v>166.39601574682999</v>
          </cell>
          <cell r="M1247">
            <v>1732</v>
          </cell>
          <cell r="N1247">
            <v>6.2553425080404498E-2</v>
          </cell>
          <cell r="O1247">
            <v>1037</v>
          </cell>
          <cell r="P1247">
            <v>0.02</v>
          </cell>
          <cell r="Q1247">
            <v>2537</v>
          </cell>
        </row>
        <row r="1248">
          <cell r="B1248" t="str">
            <v>GARBERVILLE 11028652</v>
          </cell>
          <cell r="C1248">
            <v>192221102</v>
          </cell>
          <cell r="D1248" t="str">
            <v>GARBERVILLE 1102</v>
          </cell>
          <cell r="E1248">
            <v>8652</v>
          </cell>
          <cell r="F1248" t="b">
            <v>0</v>
          </cell>
          <cell r="G1248">
            <v>21158.904563084299</v>
          </cell>
          <cell r="H1248">
            <v>21158.904563084299</v>
          </cell>
          <cell r="I1248">
            <v>114</v>
          </cell>
          <cell r="J1248">
            <v>3.1419683032334099E-4</v>
          </cell>
          <cell r="K1248">
            <v>113</v>
          </cell>
          <cell r="L1248">
            <v>77.600707138217302</v>
          </cell>
          <cell r="M1248">
            <v>2059</v>
          </cell>
          <cell r="N1248">
            <v>2.16328719161645E-2</v>
          </cell>
          <cell r="O1248">
            <v>1637</v>
          </cell>
          <cell r="P1248">
            <v>8.5500000000000007</v>
          </cell>
          <cell r="Q1248">
            <v>422</v>
          </cell>
        </row>
        <row r="1249">
          <cell r="B1249" t="str">
            <v>GARBERVILLE 1102CB</v>
          </cell>
          <cell r="C1249">
            <v>192221102</v>
          </cell>
          <cell r="D1249" t="str">
            <v>GARBERVILLE 1102</v>
          </cell>
          <cell r="E1249" t="str">
            <v>CB</v>
          </cell>
          <cell r="F1249" t="b">
            <v>0</v>
          </cell>
          <cell r="G1249">
            <v>26803.133546779201</v>
          </cell>
          <cell r="H1249">
            <v>19300.4618228125</v>
          </cell>
          <cell r="I1249">
            <v>191</v>
          </cell>
          <cell r="J1249">
            <v>4.3616857389376098E-4</v>
          </cell>
          <cell r="K1249">
            <v>57</v>
          </cell>
          <cell r="L1249">
            <v>153.19166227731</v>
          </cell>
          <cell r="M1249">
            <v>1768</v>
          </cell>
          <cell r="N1249">
            <v>4.7991962528513801E-2</v>
          </cell>
          <cell r="O1249">
            <v>1198</v>
          </cell>
          <cell r="P1249">
            <v>0.08</v>
          </cell>
          <cell r="Q1249">
            <v>1590</v>
          </cell>
        </row>
        <row r="1250">
          <cell r="B1250" t="str">
            <v>GARBERVILLE 1103CB</v>
          </cell>
          <cell r="C1250">
            <v>192221103</v>
          </cell>
          <cell r="D1250" t="str">
            <v>GARBERVILLE 1103</v>
          </cell>
          <cell r="E1250" t="str">
            <v>CB</v>
          </cell>
          <cell r="F1250" t="b">
            <v>1</v>
          </cell>
          <cell r="G1250">
            <v>3592.4976307934198</v>
          </cell>
          <cell r="H1250">
            <v>971.39061793895905</v>
          </cell>
          <cell r="I1250">
            <v>31</v>
          </cell>
          <cell r="J1250">
            <v>2.5050351202177498E-4</v>
          </cell>
          <cell r="K1250">
            <v>215</v>
          </cell>
          <cell r="L1250">
            <v>3.38516575041348</v>
          </cell>
          <cell r="M1250">
            <v>2798</v>
          </cell>
          <cell r="N1250">
            <v>1.27260679722332E-3</v>
          </cell>
          <cell r="O1250">
            <v>2586</v>
          </cell>
          <cell r="P1250">
            <v>0.05</v>
          </cell>
          <cell r="Q1250">
            <v>1979</v>
          </cell>
        </row>
        <row r="1251">
          <cell r="B1251" t="str">
            <v>GARCIA 0401666</v>
          </cell>
          <cell r="C1251">
            <v>43040401</v>
          </cell>
          <cell r="D1251" t="str">
            <v>GARCIA 0401</v>
          </cell>
          <cell r="E1251">
            <v>666</v>
          </cell>
          <cell r="F1251" t="b">
            <v>0</v>
          </cell>
          <cell r="G1251">
            <v>3872.5577473593198</v>
          </cell>
          <cell r="H1251">
            <v>3872.5577473593198</v>
          </cell>
          <cell r="I1251">
            <v>12</v>
          </cell>
          <cell r="J1251">
            <v>9.2942803762112306E-5</v>
          </cell>
          <cell r="K1251">
            <v>1825</v>
          </cell>
          <cell r="L1251">
            <v>378.24192100565301</v>
          </cell>
          <cell r="M1251">
            <v>1323</v>
          </cell>
          <cell r="N1251">
            <v>3.5310912762593398E-2</v>
          </cell>
          <cell r="O1251">
            <v>1368</v>
          </cell>
          <cell r="P1251">
            <v>4.95</v>
          </cell>
          <cell r="Q1251">
            <v>500</v>
          </cell>
        </row>
        <row r="1252">
          <cell r="B1252" t="str">
            <v>GARCIA 0401CB</v>
          </cell>
          <cell r="C1252">
            <v>43040401</v>
          </cell>
          <cell r="D1252" t="str">
            <v>GARCIA 0401</v>
          </cell>
          <cell r="E1252" t="str">
            <v>CB</v>
          </cell>
          <cell r="F1252" t="b">
            <v>1</v>
          </cell>
          <cell r="G1252">
            <v>46.7109570347898</v>
          </cell>
          <cell r="H1252">
            <v>46.7109570347898</v>
          </cell>
          <cell r="I1252">
            <v>1</v>
          </cell>
          <cell r="J1252">
            <v>1.5164833166636499E-4</v>
          </cell>
          <cell r="K1252">
            <v>723</v>
          </cell>
          <cell r="L1252">
            <v>451.50105684716902</v>
          </cell>
          <cell r="M1252">
            <v>1247</v>
          </cell>
          <cell r="N1252">
            <v>6.8469382016473901E-2</v>
          </cell>
          <cell r="O1252">
            <v>990</v>
          </cell>
          <cell r="P1252">
            <v>4.71</v>
          </cell>
          <cell r="Q1252">
            <v>509</v>
          </cell>
        </row>
        <row r="1253">
          <cell r="B1253" t="str">
            <v>GEYSERVILLE 1101122</v>
          </cell>
          <cell r="C1253">
            <v>42891101</v>
          </cell>
          <cell r="D1253" t="str">
            <v>GEYSERVILLE 1101</v>
          </cell>
          <cell r="E1253">
            <v>122</v>
          </cell>
          <cell r="F1253" t="b">
            <v>0</v>
          </cell>
          <cell r="G1253">
            <v>11125.6879818038</v>
          </cell>
          <cell r="H1253">
            <v>2112.7276339826199</v>
          </cell>
          <cell r="I1253">
            <v>54</v>
          </cell>
          <cell r="J1253">
            <v>6.2796457005222104E-5</v>
          </cell>
          <cell r="K1253">
            <v>2689</v>
          </cell>
          <cell r="L1253">
            <v>203.63653097624501</v>
          </cell>
          <cell r="M1253">
            <v>1635</v>
          </cell>
          <cell r="N1253">
            <v>2.3601849875814599E-2</v>
          </cell>
          <cell r="O1253">
            <v>1588</v>
          </cell>
          <cell r="P1253">
            <v>0.03</v>
          </cell>
          <cell r="Q1253">
            <v>2263</v>
          </cell>
        </row>
        <row r="1254">
          <cell r="B1254" t="str">
            <v>GEYSERVILLE 1101166</v>
          </cell>
          <cell r="C1254">
            <v>42891101</v>
          </cell>
          <cell r="D1254" t="str">
            <v>GEYSERVILLE 1101</v>
          </cell>
          <cell r="E1254">
            <v>166</v>
          </cell>
          <cell r="F1254" t="b">
            <v>0</v>
          </cell>
          <cell r="G1254">
            <v>15936.751710636299</v>
          </cell>
          <cell r="H1254">
            <v>9969.1209060369692</v>
          </cell>
          <cell r="I1254">
            <v>110</v>
          </cell>
          <cell r="J1254">
            <v>1.2237721046053299E-4</v>
          </cell>
          <cell r="K1254">
            <v>1141</v>
          </cell>
          <cell r="L1254">
            <v>339.918734066448</v>
          </cell>
          <cell r="M1254">
            <v>1388</v>
          </cell>
          <cell r="N1254">
            <v>4.0759227497522602E-2</v>
          </cell>
          <cell r="O1254">
            <v>1291</v>
          </cell>
          <cell r="P1254">
            <v>0.03</v>
          </cell>
          <cell r="Q1254">
            <v>2283</v>
          </cell>
        </row>
        <row r="1255">
          <cell r="B1255" t="str">
            <v>GEYSERVILLE 1101216442</v>
          </cell>
          <cell r="C1255">
            <v>42891101</v>
          </cell>
          <cell r="D1255" t="str">
            <v>GEYSERVILLE 1101</v>
          </cell>
          <cell r="E1255">
            <v>216442</v>
          </cell>
          <cell r="F1255" t="b">
            <v>1</v>
          </cell>
          <cell r="G1255">
            <v>327.43614739578601</v>
          </cell>
          <cell r="H1255">
            <v>327.43614739578601</v>
          </cell>
          <cell r="I1255">
            <v>4</v>
          </cell>
          <cell r="J1255">
            <v>1.23816055747738E-4</v>
          </cell>
          <cell r="K1255">
            <v>1123</v>
          </cell>
          <cell r="L1255">
            <v>0.10421624941983799</v>
          </cell>
          <cell r="M1255">
            <v>2932</v>
          </cell>
          <cell r="N1255">
            <v>1.29063570050401E-5</v>
          </cell>
          <cell r="O1255">
            <v>3026</v>
          </cell>
          <cell r="Q1255">
            <v>3403</v>
          </cell>
        </row>
        <row r="1256">
          <cell r="B1256" t="str">
            <v>GEYSERVILLE 1101354</v>
          </cell>
          <cell r="C1256">
            <v>42891101</v>
          </cell>
          <cell r="D1256" t="str">
            <v>GEYSERVILLE 1101</v>
          </cell>
          <cell r="E1256">
            <v>354</v>
          </cell>
          <cell r="F1256" t="b">
            <v>0</v>
          </cell>
          <cell r="G1256">
            <v>12035.376533267599</v>
          </cell>
          <cell r="H1256">
            <v>1010.20259369822</v>
          </cell>
          <cell r="I1256">
            <v>79</v>
          </cell>
          <cell r="J1256">
            <v>9.3148913876646406E-5</v>
          </cell>
          <cell r="K1256">
            <v>1816</v>
          </cell>
          <cell r="L1256">
            <v>134.00428177873999</v>
          </cell>
          <cell r="M1256">
            <v>1836</v>
          </cell>
          <cell r="N1256">
            <v>6.4828038269086697E-3</v>
          </cell>
          <cell r="O1256">
            <v>2128</v>
          </cell>
          <cell r="Q1256">
            <v>2822</v>
          </cell>
        </row>
        <row r="1257">
          <cell r="B1257" t="str">
            <v>GEYSERVILLE 110135492</v>
          </cell>
          <cell r="C1257">
            <v>42891101</v>
          </cell>
          <cell r="D1257" t="str">
            <v>GEYSERVILLE 1101</v>
          </cell>
          <cell r="E1257">
            <v>35492</v>
          </cell>
          <cell r="F1257" t="b">
            <v>0</v>
          </cell>
          <cell r="G1257">
            <v>34847.167800372699</v>
          </cell>
          <cell r="H1257">
            <v>16074.9759895146</v>
          </cell>
          <cell r="I1257">
            <v>219</v>
          </cell>
          <cell r="J1257">
            <v>9.7258821855799896E-5</v>
          </cell>
          <cell r="K1257">
            <v>1708</v>
          </cell>
          <cell r="L1257">
            <v>426.18880118469002</v>
          </cell>
          <cell r="M1257">
            <v>1265</v>
          </cell>
          <cell r="N1257">
            <v>5.5238823861207702E-2</v>
          </cell>
          <cell r="O1257">
            <v>1117</v>
          </cell>
          <cell r="P1257">
            <v>0.03</v>
          </cell>
          <cell r="Q1257">
            <v>2257</v>
          </cell>
        </row>
        <row r="1258">
          <cell r="B1258" t="str">
            <v>GEYSERVILLE 110137454</v>
          </cell>
          <cell r="C1258">
            <v>42891101</v>
          </cell>
          <cell r="D1258" t="str">
            <v>GEYSERVILLE 1101</v>
          </cell>
          <cell r="E1258">
            <v>37454</v>
          </cell>
          <cell r="F1258" t="b">
            <v>0</v>
          </cell>
          <cell r="G1258">
            <v>19681.607431651399</v>
          </cell>
          <cell r="H1258">
            <v>10482.9728611152</v>
          </cell>
          <cell r="I1258">
            <v>114</v>
          </cell>
          <cell r="J1258">
            <v>1.00143244437053E-4</v>
          </cell>
          <cell r="K1258">
            <v>1640</v>
          </cell>
          <cell r="L1258">
            <v>404.65746436071402</v>
          </cell>
          <cell r="M1258">
            <v>1292</v>
          </cell>
          <cell r="N1258">
            <v>3.7720889465842199E-2</v>
          </cell>
          <cell r="O1258">
            <v>1332</v>
          </cell>
          <cell r="P1258">
            <v>0.03</v>
          </cell>
          <cell r="Q1258">
            <v>2377</v>
          </cell>
        </row>
        <row r="1259">
          <cell r="B1259" t="str">
            <v>GEYSERVILLE 1101463260</v>
          </cell>
          <cell r="C1259">
            <v>42891101</v>
          </cell>
          <cell r="D1259" t="str">
            <v>GEYSERVILLE 1101</v>
          </cell>
          <cell r="E1259">
            <v>463260</v>
          </cell>
          <cell r="F1259" t="b">
            <v>1</v>
          </cell>
          <cell r="G1259">
            <v>886.16902461542895</v>
          </cell>
          <cell r="H1259">
            <v>873.71318660484098</v>
          </cell>
          <cell r="I1259">
            <v>6</v>
          </cell>
          <cell r="J1259">
            <v>9.5910594003119798E-5</v>
          </cell>
          <cell r="K1259">
            <v>1730</v>
          </cell>
          <cell r="L1259">
            <v>333.13324166834798</v>
          </cell>
          <cell r="M1259">
            <v>1394</v>
          </cell>
          <cell r="N1259">
            <v>3.11677176868113E-2</v>
          </cell>
          <cell r="O1259">
            <v>1439</v>
          </cell>
          <cell r="Q1259">
            <v>3601</v>
          </cell>
        </row>
        <row r="1260">
          <cell r="B1260" t="str">
            <v>GEYSERVILLE 1101480</v>
          </cell>
          <cell r="C1260">
            <v>42891101</v>
          </cell>
          <cell r="D1260" t="str">
            <v>GEYSERVILLE 1101</v>
          </cell>
          <cell r="E1260">
            <v>480</v>
          </cell>
          <cell r="F1260" t="b">
            <v>0</v>
          </cell>
          <cell r="G1260">
            <v>25809.660578221301</v>
          </cell>
          <cell r="H1260">
            <v>2502.4894099593298</v>
          </cell>
          <cell r="I1260">
            <v>161</v>
          </cell>
          <cell r="J1260">
            <v>6.7656391064474495E-5</v>
          </cell>
          <cell r="K1260">
            <v>2543</v>
          </cell>
          <cell r="L1260">
            <v>89.118916881752199</v>
          </cell>
          <cell r="M1260">
            <v>2006</v>
          </cell>
          <cell r="N1260">
            <v>5.7020720213074704E-3</v>
          </cell>
          <cell r="O1260">
            <v>2168</v>
          </cell>
          <cell r="P1260">
            <v>0.01</v>
          </cell>
          <cell r="Q1260">
            <v>2595</v>
          </cell>
        </row>
        <row r="1261">
          <cell r="B1261" t="str">
            <v>GEYSERVILLE 1101482</v>
          </cell>
          <cell r="C1261">
            <v>42891101</v>
          </cell>
          <cell r="D1261" t="str">
            <v>GEYSERVILLE 1101</v>
          </cell>
          <cell r="E1261">
            <v>482</v>
          </cell>
          <cell r="F1261" t="b">
            <v>1</v>
          </cell>
          <cell r="G1261">
            <v>6000.10689957661</v>
          </cell>
          <cell r="H1261">
            <v>595.05550162313102</v>
          </cell>
          <cell r="I1261">
            <v>38</v>
          </cell>
          <cell r="J1261">
            <v>5.9999997275601902E-5</v>
          </cell>
          <cell r="K1261">
            <v>2775</v>
          </cell>
          <cell r="L1261">
            <v>118.37150252072701</v>
          </cell>
          <cell r="M1261">
            <v>1876</v>
          </cell>
          <cell r="N1261">
            <v>5.6711141335360499E-3</v>
          </cell>
          <cell r="O1261">
            <v>2170</v>
          </cell>
          <cell r="P1261">
            <v>0.74</v>
          </cell>
          <cell r="Q1261">
            <v>789</v>
          </cell>
        </row>
        <row r="1262">
          <cell r="B1262" t="str">
            <v>GEYSERVILLE 1101705777</v>
          </cell>
          <cell r="C1262">
            <v>42891101</v>
          </cell>
          <cell r="D1262" t="str">
            <v>GEYSERVILLE 1101</v>
          </cell>
          <cell r="E1262">
            <v>705777</v>
          </cell>
          <cell r="F1262" t="b">
            <v>0</v>
          </cell>
          <cell r="G1262">
            <v>9890.0743508248597</v>
          </cell>
          <cell r="H1262">
            <v>9890.0743508248597</v>
          </cell>
          <cell r="I1262">
            <v>46</v>
          </cell>
          <cell r="J1262">
            <v>1.05507538097773E-4</v>
          </cell>
          <cell r="K1262">
            <v>1505</v>
          </cell>
          <cell r="L1262">
            <v>1615.19944009658</v>
          </cell>
          <cell r="M1262">
            <v>555</v>
          </cell>
          <cell r="N1262">
            <v>0.15746440813219001</v>
          </cell>
          <cell r="O1262">
            <v>482</v>
          </cell>
          <cell r="Q1262">
            <v>3062</v>
          </cell>
        </row>
        <row r="1263">
          <cell r="B1263" t="str">
            <v>GEYSERVILLE 1101711966</v>
          </cell>
          <cell r="C1263">
            <v>42891101</v>
          </cell>
          <cell r="D1263" t="str">
            <v>GEYSERVILLE 1101</v>
          </cell>
          <cell r="E1263">
            <v>711966</v>
          </cell>
          <cell r="F1263" t="b">
            <v>0</v>
          </cell>
          <cell r="G1263">
            <v>19227.292381982799</v>
          </cell>
          <cell r="H1263">
            <v>6326.0450462302297</v>
          </cell>
          <cell r="I1263">
            <v>122</v>
          </cell>
          <cell r="J1263">
            <v>9.0078018416295602E-5</v>
          </cell>
          <cell r="K1263">
            <v>1907</v>
          </cell>
          <cell r="L1263">
            <v>205.40770269159</v>
          </cell>
          <cell r="M1263">
            <v>1625</v>
          </cell>
          <cell r="N1263">
            <v>1.79082546192719E-2</v>
          </cell>
          <cell r="O1263">
            <v>1709</v>
          </cell>
          <cell r="Q1263">
            <v>2982</v>
          </cell>
        </row>
        <row r="1264">
          <cell r="B1264" t="str">
            <v>GEYSERVILLE 110179788</v>
          </cell>
          <cell r="C1264">
            <v>42891101</v>
          </cell>
          <cell r="D1264" t="str">
            <v>GEYSERVILLE 1101</v>
          </cell>
          <cell r="E1264">
            <v>79788</v>
          </cell>
          <cell r="F1264" t="b">
            <v>0</v>
          </cell>
          <cell r="G1264">
            <v>67378.029867447098</v>
          </cell>
          <cell r="H1264">
            <v>63661.574599588799</v>
          </cell>
          <cell r="I1264">
            <v>157</v>
          </cell>
          <cell r="J1264">
            <v>1.1886110572861601E-4</v>
          </cell>
          <cell r="K1264">
            <v>1209</v>
          </cell>
          <cell r="L1264">
            <v>1546.7450052998299</v>
          </cell>
          <cell r="M1264">
            <v>582</v>
          </cell>
          <cell r="N1264">
            <v>0.18551350180312801</v>
          </cell>
          <cell r="O1264">
            <v>386</v>
          </cell>
          <cell r="P1264">
            <v>0.12</v>
          </cell>
          <cell r="Q1264">
            <v>1399</v>
          </cell>
        </row>
        <row r="1265">
          <cell r="B1265" t="str">
            <v>GEYSERVILLE 1101975350</v>
          </cell>
          <cell r="C1265">
            <v>42891101</v>
          </cell>
          <cell r="D1265" t="str">
            <v>GEYSERVILLE 1101</v>
          </cell>
          <cell r="E1265">
            <v>975350</v>
          </cell>
          <cell r="F1265" t="b">
            <v>1</v>
          </cell>
          <cell r="G1265">
            <v>405.33943330090398</v>
          </cell>
          <cell r="H1265">
            <v>73.106516198612098</v>
          </cell>
          <cell r="I1265">
            <v>3</v>
          </cell>
          <cell r="J1265">
            <v>1.5576645091641599E-4</v>
          </cell>
          <cell r="K1265">
            <v>686</v>
          </cell>
          <cell r="L1265">
            <v>9.0461841589446798E-2</v>
          </cell>
          <cell r="M1265">
            <v>2933</v>
          </cell>
          <cell r="N1265">
            <v>1.4283911291381599E-5</v>
          </cell>
          <cell r="O1265">
            <v>3016</v>
          </cell>
          <cell r="Q1265">
            <v>3591</v>
          </cell>
        </row>
        <row r="1266">
          <cell r="B1266" t="str">
            <v>GEYSERVILLE 1102180193</v>
          </cell>
          <cell r="C1266">
            <v>42891102</v>
          </cell>
          <cell r="D1266" t="str">
            <v>GEYSERVILLE 1102</v>
          </cell>
          <cell r="E1266">
            <v>180193</v>
          </cell>
          <cell r="F1266" t="b">
            <v>0</v>
          </cell>
          <cell r="G1266">
            <v>3981.7249650857202</v>
          </cell>
          <cell r="H1266">
            <v>3477.0858042421901</v>
          </cell>
          <cell r="I1266">
            <v>23</v>
          </cell>
          <cell r="J1266">
            <v>1.00669672737358E-4</v>
          </cell>
          <cell r="K1266">
            <v>1630</v>
          </cell>
          <cell r="L1266">
            <v>430.55449526055298</v>
          </cell>
          <cell r="M1266">
            <v>1259</v>
          </cell>
          <cell r="N1266">
            <v>4.6683875213142899E-2</v>
          </cell>
          <cell r="O1266">
            <v>1217</v>
          </cell>
          <cell r="Q1266">
            <v>3467</v>
          </cell>
        </row>
        <row r="1267">
          <cell r="B1267" t="str">
            <v>GEYSERVILLE 1102220154</v>
          </cell>
          <cell r="C1267">
            <v>42891102</v>
          </cell>
          <cell r="D1267" t="str">
            <v>GEYSERVILLE 1102</v>
          </cell>
          <cell r="E1267">
            <v>220154</v>
          </cell>
          <cell r="F1267" t="b">
            <v>1</v>
          </cell>
          <cell r="G1267">
            <v>4466.0623667395903</v>
          </cell>
          <cell r="H1267">
            <v>427.79408311873499</v>
          </cell>
          <cell r="I1267">
            <v>30</v>
          </cell>
          <cell r="J1267">
            <v>1.47849496301958E-4</v>
          </cell>
          <cell r="K1267">
            <v>765</v>
          </cell>
          <cell r="L1267">
            <v>533.19240837557095</v>
          </cell>
          <cell r="M1267">
            <v>1168</v>
          </cell>
          <cell r="N1267">
            <v>0.105793508334193</v>
          </cell>
          <cell r="O1267">
            <v>729</v>
          </cell>
          <cell r="Q1267">
            <v>3155</v>
          </cell>
        </row>
        <row r="1268">
          <cell r="B1268" t="str">
            <v>GEYSERVILLE 1102274</v>
          </cell>
          <cell r="C1268">
            <v>42891102</v>
          </cell>
          <cell r="D1268" t="str">
            <v>GEYSERVILLE 1102</v>
          </cell>
          <cell r="E1268">
            <v>274</v>
          </cell>
          <cell r="F1268" t="b">
            <v>0</v>
          </cell>
          <cell r="G1268">
            <v>29743.7390413387</v>
          </cell>
          <cell r="H1268">
            <v>10398.212670839201</v>
          </cell>
          <cell r="I1268">
            <v>173</v>
          </cell>
          <cell r="J1268">
            <v>1.15990660439867E-4</v>
          </cell>
          <cell r="K1268">
            <v>1270</v>
          </cell>
          <cell r="L1268">
            <v>494.27067741097397</v>
          </cell>
          <cell r="M1268">
            <v>1207</v>
          </cell>
          <cell r="N1268">
            <v>7.4787295303512205E-2</v>
          </cell>
          <cell r="O1268">
            <v>940</v>
          </cell>
          <cell r="P1268">
            <v>1.24</v>
          </cell>
          <cell r="Q1268">
            <v>695</v>
          </cell>
        </row>
        <row r="1269">
          <cell r="B1269" t="str">
            <v>GEYSERVILLE 1102331444</v>
          </cell>
          <cell r="C1269">
            <v>42891102</v>
          </cell>
          <cell r="D1269" t="str">
            <v>GEYSERVILLE 1102</v>
          </cell>
          <cell r="E1269">
            <v>331444</v>
          </cell>
          <cell r="F1269" t="b">
            <v>0</v>
          </cell>
          <cell r="G1269">
            <v>7051.4008155337197</v>
          </cell>
          <cell r="H1269">
            <v>3579.9473912838898</v>
          </cell>
          <cell r="I1269">
            <v>44</v>
          </cell>
          <cell r="J1269">
            <v>1.07269131996707E-4</v>
          </cell>
          <cell r="K1269">
            <v>1466</v>
          </cell>
          <cell r="L1269">
            <v>260.374475083623</v>
          </cell>
          <cell r="M1269">
            <v>1523</v>
          </cell>
          <cell r="N1269">
            <v>2.9047904948701301E-2</v>
          </cell>
          <cell r="O1269">
            <v>1483</v>
          </cell>
          <cell r="Q1269">
            <v>3273</v>
          </cell>
        </row>
        <row r="1270">
          <cell r="B1270" t="str">
            <v>GEYSERVILLE 1102350</v>
          </cell>
          <cell r="C1270">
            <v>42891102</v>
          </cell>
          <cell r="D1270" t="str">
            <v>GEYSERVILLE 1102</v>
          </cell>
          <cell r="E1270">
            <v>350</v>
          </cell>
          <cell r="F1270" t="b">
            <v>0</v>
          </cell>
          <cell r="G1270">
            <v>31334.245964508402</v>
          </cell>
          <cell r="H1270">
            <v>8365.2365488941305</v>
          </cell>
          <cell r="I1270">
            <v>194</v>
          </cell>
          <cell r="J1270">
            <v>8.9261631259920297E-5</v>
          </cell>
          <cell r="K1270">
            <v>1940</v>
          </cell>
          <cell r="L1270">
            <v>270.31345844173097</v>
          </cell>
          <cell r="M1270">
            <v>1496</v>
          </cell>
          <cell r="N1270">
            <v>2.3631880952961599E-2</v>
          </cell>
          <cell r="O1270">
            <v>1585</v>
          </cell>
          <cell r="P1270">
            <v>0.09</v>
          </cell>
          <cell r="Q1270">
            <v>1536</v>
          </cell>
        </row>
        <row r="1271">
          <cell r="B1271" t="str">
            <v>GEYSERVILLE 1102484</v>
          </cell>
          <cell r="C1271">
            <v>42891102</v>
          </cell>
          <cell r="D1271" t="str">
            <v>GEYSERVILLE 1102</v>
          </cell>
          <cell r="E1271">
            <v>484</v>
          </cell>
          <cell r="F1271" t="b">
            <v>0</v>
          </cell>
          <cell r="G1271">
            <v>78528.193525714698</v>
          </cell>
          <cell r="H1271">
            <v>53688.808185872003</v>
          </cell>
          <cell r="I1271">
            <v>379</v>
          </cell>
          <cell r="J1271">
            <v>1.18326614951643E-4</v>
          </cell>
          <cell r="K1271">
            <v>1222</v>
          </cell>
          <cell r="L1271">
            <v>896.81873155785502</v>
          </cell>
          <cell r="M1271">
            <v>885</v>
          </cell>
          <cell r="N1271">
            <v>0.116065304395445</v>
          </cell>
          <cell r="O1271">
            <v>668</v>
          </cell>
          <cell r="P1271">
            <v>0.17</v>
          </cell>
          <cell r="Q1271">
            <v>1225</v>
          </cell>
        </row>
        <row r="1272">
          <cell r="B1272" t="str">
            <v>GEYSERVILLE 1102522</v>
          </cell>
          <cell r="C1272">
            <v>42891102</v>
          </cell>
          <cell r="D1272" t="str">
            <v>GEYSERVILLE 1102</v>
          </cell>
          <cell r="E1272">
            <v>522</v>
          </cell>
          <cell r="F1272" t="b">
            <v>0</v>
          </cell>
          <cell r="G1272">
            <v>17218.243502067398</v>
          </cell>
          <cell r="H1272">
            <v>12875.779166410999</v>
          </cell>
          <cell r="I1272">
            <v>109</v>
          </cell>
          <cell r="J1272">
            <v>8.4103091425007394E-5</v>
          </cell>
          <cell r="K1272">
            <v>2091</v>
          </cell>
          <cell r="L1272">
            <v>350.07586834374598</v>
          </cell>
          <cell r="M1272">
            <v>1371</v>
          </cell>
          <cell r="N1272">
            <v>2.9360549106606501E-2</v>
          </cell>
          <cell r="O1272">
            <v>1478</v>
          </cell>
          <cell r="P1272">
            <v>0.06</v>
          </cell>
          <cell r="Q1272">
            <v>1861</v>
          </cell>
        </row>
        <row r="1273">
          <cell r="B1273" t="str">
            <v>GEYSERVILLE 1102537096</v>
          </cell>
          <cell r="C1273">
            <v>42891102</v>
          </cell>
          <cell r="D1273" t="str">
            <v>GEYSERVILLE 1102</v>
          </cell>
          <cell r="E1273">
            <v>537096</v>
          </cell>
          <cell r="F1273" t="b">
            <v>1</v>
          </cell>
          <cell r="G1273">
            <v>844.14627885659002</v>
          </cell>
          <cell r="H1273">
            <v>775.97652439103604</v>
          </cell>
          <cell r="I1273">
            <v>6</v>
          </cell>
          <cell r="J1273">
            <v>1.3768919598078301E-4</v>
          </cell>
          <cell r="K1273">
            <v>900</v>
          </cell>
          <cell r="L1273">
            <v>635.98613573488899</v>
          </cell>
          <cell r="M1273">
            <v>1072</v>
          </cell>
          <cell r="N1273">
            <v>8.5227942840489998E-2</v>
          </cell>
          <cell r="O1273">
            <v>860</v>
          </cell>
          <cell r="Q1273">
            <v>3492</v>
          </cell>
        </row>
        <row r="1274">
          <cell r="B1274" t="str">
            <v>GEYSERVILLE 1102756</v>
          </cell>
          <cell r="C1274">
            <v>42891102</v>
          </cell>
          <cell r="D1274" t="str">
            <v>GEYSERVILLE 1102</v>
          </cell>
          <cell r="E1274">
            <v>756</v>
          </cell>
          <cell r="F1274" t="b">
            <v>1</v>
          </cell>
          <cell r="G1274">
            <v>948.40778643649196</v>
          </cell>
          <cell r="H1274">
            <v>948.40778643649196</v>
          </cell>
          <cell r="I1274">
            <v>7</v>
          </cell>
          <cell r="J1274">
            <v>3.74085437215399E-4</v>
          </cell>
          <cell r="K1274">
            <v>76</v>
          </cell>
          <cell r="L1274">
            <v>1141.7089188150101</v>
          </cell>
          <cell r="M1274">
            <v>757</v>
          </cell>
          <cell r="N1274">
            <v>0.24237854045827001</v>
          </cell>
          <cell r="O1274">
            <v>228</v>
          </cell>
          <cell r="P1274">
            <v>0.02</v>
          </cell>
          <cell r="Q1274">
            <v>2431</v>
          </cell>
        </row>
        <row r="1275">
          <cell r="B1275" t="str">
            <v>GEYSERVILLE 110289714</v>
          </cell>
          <cell r="C1275">
            <v>42891102</v>
          </cell>
          <cell r="D1275" t="str">
            <v>GEYSERVILLE 1102</v>
          </cell>
          <cell r="E1275">
            <v>89714</v>
          </cell>
          <cell r="F1275" t="b">
            <v>1</v>
          </cell>
          <cell r="G1275">
            <v>11363.664962373699</v>
          </cell>
          <cell r="H1275">
            <v>178.22780140950201</v>
          </cell>
          <cell r="I1275">
            <v>71</v>
          </cell>
          <cell r="J1275">
            <v>8.7635181303149099E-5</v>
          </cell>
          <cell r="K1275">
            <v>1996</v>
          </cell>
          <cell r="L1275">
            <v>68.316904577551895</v>
          </cell>
          <cell r="M1275">
            <v>2100</v>
          </cell>
          <cell r="N1275">
            <v>6.62707316373748E-3</v>
          </cell>
          <cell r="O1275">
            <v>2114</v>
          </cell>
          <cell r="P1275">
            <v>0.02</v>
          </cell>
          <cell r="Q1275">
            <v>2528</v>
          </cell>
        </row>
        <row r="1276">
          <cell r="B1276" t="str">
            <v>GIRVAN 11011330</v>
          </cell>
          <cell r="C1276">
            <v>103401101</v>
          </cell>
          <cell r="D1276" t="str">
            <v>GIRVAN 1101</v>
          </cell>
          <cell r="E1276">
            <v>1330</v>
          </cell>
          <cell r="F1276" t="b">
            <v>0</v>
          </cell>
          <cell r="G1276">
            <v>50161.9848623293</v>
          </cell>
          <cell r="H1276">
            <v>49990.9130370696</v>
          </cell>
          <cell r="I1276">
            <v>264</v>
          </cell>
          <cell r="J1276">
            <v>1.14472483609708E-4</v>
          </cell>
          <cell r="K1276">
            <v>1308</v>
          </cell>
          <cell r="L1276">
            <v>1373.7242337390201</v>
          </cell>
          <cell r="M1276">
            <v>651</v>
          </cell>
          <cell r="N1276">
            <v>0.12503286909924399</v>
          </cell>
          <cell r="O1276">
            <v>624</v>
          </cell>
          <cell r="P1276">
            <v>0.19</v>
          </cell>
          <cell r="Q1276">
            <v>1173</v>
          </cell>
        </row>
        <row r="1277">
          <cell r="B1277" t="str">
            <v>GIRVAN 11011636</v>
          </cell>
          <cell r="C1277">
            <v>103401101</v>
          </cell>
          <cell r="D1277" t="str">
            <v>GIRVAN 1101</v>
          </cell>
          <cell r="E1277">
            <v>1636</v>
          </cell>
          <cell r="F1277" t="b">
            <v>0</v>
          </cell>
          <cell r="G1277">
            <v>29887.630268864701</v>
          </cell>
          <cell r="H1277">
            <v>29071.179977989199</v>
          </cell>
          <cell r="I1277">
            <v>200</v>
          </cell>
          <cell r="J1277">
            <v>1.29109507464425E-4</v>
          </cell>
          <cell r="K1277">
            <v>1025</v>
          </cell>
          <cell r="L1277">
            <v>1282.46930296655</v>
          </cell>
          <cell r="M1277">
            <v>688</v>
          </cell>
          <cell r="N1277">
            <v>0.14693495524230901</v>
          </cell>
          <cell r="O1277">
            <v>538</v>
          </cell>
          <cell r="P1277">
            <v>0.42</v>
          </cell>
          <cell r="Q1277">
            <v>935</v>
          </cell>
        </row>
        <row r="1278">
          <cell r="B1278" t="str">
            <v>GIRVAN 1101323094</v>
          </cell>
          <cell r="C1278">
            <v>103401101</v>
          </cell>
          <cell r="D1278" t="str">
            <v>GIRVAN 1101</v>
          </cell>
          <cell r="E1278">
            <v>323094</v>
          </cell>
          <cell r="F1278" t="b">
            <v>0</v>
          </cell>
          <cell r="G1278">
            <v>58176.481508230303</v>
          </cell>
          <cell r="H1278">
            <v>58176.481508230303</v>
          </cell>
          <cell r="I1278">
            <v>208</v>
          </cell>
          <cell r="J1278">
            <v>1.05083238311423E-4</v>
          </cell>
          <cell r="K1278">
            <v>1524</v>
          </cell>
          <cell r="L1278">
            <v>3224.7708865600798</v>
          </cell>
          <cell r="M1278">
            <v>234</v>
          </cell>
          <cell r="N1278">
            <v>0.32037177455940002</v>
          </cell>
          <cell r="O1278">
            <v>117</v>
          </cell>
          <cell r="P1278">
            <v>0.08</v>
          </cell>
          <cell r="Q1278">
            <v>1636</v>
          </cell>
        </row>
        <row r="1279">
          <cell r="B1279" t="str">
            <v>GIRVAN 11019732</v>
          </cell>
          <cell r="C1279">
            <v>103401101</v>
          </cell>
          <cell r="D1279" t="str">
            <v>GIRVAN 1101</v>
          </cell>
          <cell r="E1279">
            <v>9732</v>
          </cell>
          <cell r="F1279" t="b">
            <v>0</v>
          </cell>
          <cell r="G1279">
            <v>33758.890753389598</v>
          </cell>
          <cell r="H1279">
            <v>33758.890753389598</v>
          </cell>
          <cell r="I1279">
            <v>267</v>
          </cell>
          <cell r="J1279">
            <v>1.0166890285873199E-4</v>
          </cell>
          <cell r="K1279">
            <v>1613</v>
          </cell>
          <cell r="L1279">
            <v>282.87051263261702</v>
          </cell>
          <cell r="M1279">
            <v>1469</v>
          </cell>
          <cell r="N1279">
            <v>2.5045587622819901E-2</v>
          </cell>
          <cell r="O1279">
            <v>1560</v>
          </cell>
          <cell r="P1279">
            <v>4.84</v>
          </cell>
          <cell r="Q1279">
            <v>504</v>
          </cell>
        </row>
        <row r="1280">
          <cell r="B1280" t="str">
            <v>GIRVAN 1101CB</v>
          </cell>
          <cell r="C1280">
            <v>103401101</v>
          </cell>
          <cell r="D1280" t="str">
            <v>GIRVAN 1101</v>
          </cell>
          <cell r="E1280" t="str">
            <v>CB</v>
          </cell>
          <cell r="F1280" t="b">
            <v>0</v>
          </cell>
          <cell r="G1280">
            <v>5303.1930477934302</v>
          </cell>
          <cell r="H1280">
            <v>2471.5391872801001</v>
          </cell>
          <cell r="I1280">
            <v>31</v>
          </cell>
          <cell r="J1280">
            <v>1.6120337621091001E-4</v>
          </cell>
          <cell r="K1280">
            <v>628</v>
          </cell>
          <cell r="L1280">
            <v>200.44540111030801</v>
          </cell>
          <cell r="M1280">
            <v>1640</v>
          </cell>
          <cell r="N1280">
            <v>4.2405530561830801E-2</v>
          </cell>
          <cell r="O1280">
            <v>1262</v>
          </cell>
          <cell r="P1280">
            <v>0.01</v>
          </cell>
          <cell r="Q1280">
            <v>2593</v>
          </cell>
        </row>
        <row r="1281">
          <cell r="B1281" t="str">
            <v>GIRVAN 11021028</v>
          </cell>
          <cell r="C1281">
            <v>103401102</v>
          </cell>
          <cell r="D1281" t="str">
            <v>GIRVAN 1102</v>
          </cell>
          <cell r="E1281">
            <v>1028</v>
          </cell>
          <cell r="F1281" t="b">
            <v>0</v>
          </cell>
          <cell r="G1281">
            <v>28404.106336974699</v>
          </cell>
          <cell r="H1281">
            <v>28404.106336974699</v>
          </cell>
          <cell r="I1281">
            <v>208</v>
          </cell>
          <cell r="J1281">
            <v>1.2459104840584001E-4</v>
          </cell>
          <cell r="K1281">
            <v>1106</v>
          </cell>
          <cell r="L1281">
            <v>555.89212436361902</v>
          </cell>
          <cell r="M1281">
            <v>1139</v>
          </cell>
          <cell r="N1281">
            <v>4.2482676658037101E-2</v>
          </cell>
          <cell r="O1281">
            <v>1260</v>
          </cell>
          <cell r="P1281">
            <v>8.08</v>
          </cell>
          <cell r="Q1281">
            <v>437</v>
          </cell>
        </row>
        <row r="1282">
          <cell r="B1282" t="str">
            <v>GIRVAN 1102212096</v>
          </cell>
          <cell r="C1282">
            <v>103401102</v>
          </cell>
          <cell r="D1282" t="str">
            <v>GIRVAN 1102</v>
          </cell>
          <cell r="E1282">
            <v>212096</v>
          </cell>
          <cell r="F1282" t="b">
            <v>0</v>
          </cell>
          <cell r="G1282">
            <v>6500.9175170778899</v>
          </cell>
          <cell r="H1282">
            <v>4124.0158552742096</v>
          </cell>
          <cell r="I1282">
            <v>42</v>
          </cell>
          <cell r="J1282">
            <v>6.3228615863408704E-5</v>
          </cell>
          <cell r="K1282">
            <v>2670</v>
          </cell>
          <cell r="L1282">
            <v>1654.3016447642101</v>
          </cell>
          <cell r="M1282">
            <v>540</v>
          </cell>
          <cell r="N1282">
            <v>8.97328772835847E-2</v>
          </cell>
          <cell r="O1282">
            <v>824</v>
          </cell>
          <cell r="Q1282">
            <v>3265</v>
          </cell>
        </row>
        <row r="1283">
          <cell r="B1283" t="str">
            <v>GIRVAN 1102296428</v>
          </cell>
          <cell r="C1283">
            <v>103401102</v>
          </cell>
          <cell r="D1283" t="str">
            <v>GIRVAN 1102</v>
          </cell>
          <cell r="E1283">
            <v>296428</v>
          </cell>
          <cell r="F1283" t="b">
            <v>0</v>
          </cell>
          <cell r="G1283">
            <v>5326.8427303470598</v>
          </cell>
          <cell r="H1283">
            <v>2768.6123590867201</v>
          </cell>
          <cell r="I1283">
            <v>14</v>
          </cell>
          <cell r="J1283">
            <v>2.3533262044241201E-4</v>
          </cell>
          <cell r="K1283">
            <v>262</v>
          </cell>
          <cell r="L1283">
            <v>6.5702635838030196E-2</v>
          </cell>
          <cell r="M1283">
            <v>3308</v>
          </cell>
          <cell r="N1283">
            <v>1.54918077319402E-5</v>
          </cell>
          <cell r="O1283">
            <v>3002</v>
          </cell>
          <cell r="Q1283">
            <v>3554</v>
          </cell>
        </row>
        <row r="1284">
          <cell r="B1284" t="str">
            <v>GIRVAN 110280726</v>
          </cell>
          <cell r="C1284">
            <v>103401102</v>
          </cell>
          <cell r="D1284" t="str">
            <v>GIRVAN 1102</v>
          </cell>
          <cell r="E1284">
            <v>80726</v>
          </cell>
          <cell r="F1284" t="b">
            <v>0</v>
          </cell>
          <cell r="G1284">
            <v>29692.475976201698</v>
          </cell>
          <cell r="H1284">
            <v>12661.491767124</v>
          </cell>
          <cell r="I1284">
            <v>217</v>
          </cell>
          <cell r="J1284">
            <v>1.18412236533997E-4</v>
          </cell>
          <cell r="K1284">
            <v>1219</v>
          </cell>
          <cell r="L1284">
            <v>698.17405997652804</v>
          </cell>
          <cell r="M1284">
            <v>1024</v>
          </cell>
          <cell r="N1284">
            <v>8.7368925168524902E-2</v>
          </cell>
          <cell r="O1284">
            <v>842</v>
          </cell>
          <cell r="P1284">
            <v>0.05</v>
          </cell>
          <cell r="Q1284">
            <v>2014</v>
          </cell>
        </row>
        <row r="1285">
          <cell r="B1285" t="str">
            <v>GIRVAN 11029012</v>
          </cell>
          <cell r="C1285">
            <v>103401102</v>
          </cell>
          <cell r="D1285" t="str">
            <v>GIRVAN 1102</v>
          </cell>
          <cell r="E1285">
            <v>9012</v>
          </cell>
          <cell r="F1285" t="b">
            <v>0</v>
          </cell>
          <cell r="G1285">
            <v>25166.214179096802</v>
          </cell>
          <cell r="H1285">
            <v>25166.214179096802</v>
          </cell>
          <cell r="I1285">
            <v>176</v>
          </cell>
          <cell r="J1285">
            <v>1.3266991981130199E-4</v>
          </cell>
          <cell r="K1285">
            <v>966</v>
          </cell>
          <cell r="L1285">
            <v>372.36506611684001</v>
          </cell>
          <cell r="M1285">
            <v>1335</v>
          </cell>
          <cell r="N1285">
            <v>3.3219073797443502E-2</v>
          </cell>
          <cell r="O1285">
            <v>1403</v>
          </cell>
          <cell r="P1285">
            <v>0.42</v>
          </cell>
          <cell r="Q1285">
            <v>934</v>
          </cell>
        </row>
        <row r="1286">
          <cell r="B1286" t="str">
            <v>GIRVAN 1102CB</v>
          </cell>
          <cell r="C1286">
            <v>103401102</v>
          </cell>
          <cell r="D1286" t="str">
            <v>GIRVAN 1102</v>
          </cell>
          <cell r="E1286" t="str">
            <v>CB</v>
          </cell>
          <cell r="F1286" t="b">
            <v>0</v>
          </cell>
          <cell r="G1286">
            <v>22008.73102879</v>
          </cell>
          <cell r="H1286">
            <v>1759.28665644173</v>
          </cell>
          <cell r="I1286">
            <v>102</v>
          </cell>
          <cell r="J1286">
            <v>1.4538158432385101E-4</v>
          </cell>
          <cell r="K1286">
            <v>799</v>
          </cell>
          <cell r="L1286">
            <v>6.5156587112048595E-2</v>
          </cell>
          <cell r="M1286">
            <v>3559</v>
          </cell>
          <cell r="N1286">
            <v>9.4725678634846406E-6</v>
          </cell>
          <cell r="O1286">
            <v>3079</v>
          </cell>
          <cell r="P1286">
            <v>0.03</v>
          </cell>
          <cell r="Q1286">
            <v>2325</v>
          </cell>
        </row>
        <row r="1287">
          <cell r="B1287" t="str">
            <v>GLENN 11012012</v>
          </cell>
          <cell r="C1287">
            <v>102601101</v>
          </cell>
          <cell r="D1287" t="str">
            <v>GLENN 1101</v>
          </cell>
          <cell r="E1287">
            <v>2012</v>
          </cell>
          <cell r="F1287" t="b">
            <v>0</v>
          </cell>
          <cell r="G1287">
            <v>48303.695181347503</v>
          </cell>
          <cell r="H1287">
            <v>3708.2990738992899</v>
          </cell>
          <cell r="I1287">
            <v>73</v>
          </cell>
          <cell r="J1287">
            <v>4.24902820299578E-5</v>
          </cell>
          <cell r="K1287">
            <v>3218</v>
          </cell>
          <cell r="L1287">
            <v>610.74323614452305</v>
          </cell>
          <cell r="M1287">
            <v>1094</v>
          </cell>
          <cell r="N1287">
            <v>1.6400636249434001E-2</v>
          </cell>
          <cell r="O1287">
            <v>1757</v>
          </cell>
          <cell r="P1287">
            <v>0.01</v>
          </cell>
          <cell r="Q1287">
            <v>2617</v>
          </cell>
        </row>
        <row r="1288">
          <cell r="B1288" t="str">
            <v>GOLDTREE 1105551904</v>
          </cell>
          <cell r="C1288">
            <v>182581105</v>
          </cell>
          <cell r="D1288" t="str">
            <v>GOLDTREE 1105</v>
          </cell>
          <cell r="E1288">
            <v>551904</v>
          </cell>
          <cell r="F1288" t="b">
            <v>1</v>
          </cell>
          <cell r="G1288">
            <v>35.717778445594497</v>
          </cell>
          <cell r="H1288">
            <v>35.717778445594497</v>
          </cell>
          <cell r="I1288">
            <v>1</v>
          </cell>
          <cell r="J1288">
            <v>1.40656367875635E-4</v>
          </cell>
          <cell r="K1288">
            <v>859</v>
          </cell>
          <cell r="L1288">
            <v>763.08709716796795</v>
          </cell>
          <cell r="M1288">
            <v>960</v>
          </cell>
          <cell r="N1288">
            <v>0.107333059460408</v>
          </cell>
          <cell r="O1288">
            <v>722</v>
          </cell>
          <cell r="P1288">
            <v>0.87</v>
          </cell>
          <cell r="Q1288">
            <v>755</v>
          </cell>
        </row>
        <row r="1289">
          <cell r="B1289" t="str">
            <v>GOLDTREE 1105CB</v>
          </cell>
          <cell r="C1289">
            <v>182581105</v>
          </cell>
          <cell r="D1289" t="str">
            <v>GOLDTREE 1105</v>
          </cell>
          <cell r="E1289" t="str">
            <v>CB</v>
          </cell>
          <cell r="F1289" t="b">
            <v>0</v>
          </cell>
          <cell r="G1289">
            <v>15108.5070561762</v>
          </cell>
          <cell r="H1289">
            <v>11908.4790020377</v>
          </cell>
          <cell r="I1289">
            <v>76</v>
          </cell>
          <cell r="J1289">
            <v>7.9073295207669799E-5</v>
          </cell>
          <cell r="K1289">
            <v>2231</v>
          </cell>
          <cell r="L1289">
            <v>565.89002976350798</v>
          </cell>
          <cell r="M1289">
            <v>1132</v>
          </cell>
          <cell r="N1289">
            <v>5.6446723730952997E-2</v>
          </cell>
          <cell r="O1289">
            <v>1104</v>
          </cell>
          <cell r="P1289">
            <v>0.45</v>
          </cell>
          <cell r="Q1289">
            <v>919</v>
          </cell>
        </row>
        <row r="1290">
          <cell r="B1290" t="str">
            <v>GOLDTREE 1107CB</v>
          </cell>
          <cell r="C1290">
            <v>182581107</v>
          </cell>
          <cell r="D1290" t="str">
            <v>GOLDTREE 1107</v>
          </cell>
          <cell r="E1290" t="str">
            <v>CB</v>
          </cell>
          <cell r="F1290" t="b">
            <v>0</v>
          </cell>
          <cell r="G1290">
            <v>5578.7405296162597</v>
          </cell>
          <cell r="H1290">
            <v>1480.1268076070501</v>
          </cell>
          <cell r="I1290">
            <v>28</v>
          </cell>
          <cell r="J1290">
            <v>6.1870944136899197E-5</v>
          </cell>
          <cell r="K1290">
            <v>2724</v>
          </cell>
          <cell r="L1290">
            <v>91.020329804026602</v>
          </cell>
          <cell r="M1290">
            <v>1996</v>
          </cell>
          <cell r="N1290">
            <v>8.5282092456703696E-3</v>
          </cell>
          <cell r="O1290">
            <v>2029</v>
          </cell>
          <cell r="P1290">
            <v>0.25</v>
          </cell>
          <cell r="Q1290">
            <v>1074</v>
          </cell>
        </row>
        <row r="1291">
          <cell r="B1291" t="str">
            <v>GOLDTREE 1108CB</v>
          </cell>
          <cell r="C1291">
            <v>182581108</v>
          </cell>
          <cell r="D1291" t="str">
            <v>GOLDTREE 1108</v>
          </cell>
          <cell r="E1291" t="str">
            <v>CB</v>
          </cell>
          <cell r="F1291" t="b">
            <v>0</v>
          </cell>
          <cell r="G1291">
            <v>7803.12322267128</v>
          </cell>
          <cell r="H1291">
            <v>3646.1026205334301</v>
          </cell>
          <cell r="I1291">
            <v>50</v>
          </cell>
          <cell r="J1291">
            <v>6.1558393275733996E-5</v>
          </cell>
          <cell r="K1291">
            <v>2731</v>
          </cell>
          <cell r="L1291">
            <v>249.96765884175801</v>
          </cell>
          <cell r="M1291">
            <v>1540</v>
          </cell>
          <cell r="N1291">
            <v>2.5672544572544701E-2</v>
          </cell>
          <cell r="O1291">
            <v>1540</v>
          </cell>
          <cell r="P1291">
            <v>0.06</v>
          </cell>
          <cell r="Q1291">
            <v>1893</v>
          </cell>
        </row>
        <row r="1292">
          <cell r="B1292" t="str">
            <v>GONZALES 11013094</v>
          </cell>
          <cell r="C1292">
            <v>182131101</v>
          </cell>
          <cell r="D1292" t="str">
            <v>GONZALES 1101</v>
          </cell>
          <cell r="E1292">
            <v>3094</v>
          </cell>
          <cell r="F1292" t="b">
            <v>0</v>
          </cell>
          <cell r="G1292">
            <v>14546.7613429311</v>
          </cell>
          <cell r="H1292">
            <v>6578.8406352042002</v>
          </cell>
          <cell r="I1292">
            <v>63</v>
          </cell>
          <cell r="J1292">
            <v>6.4103563382407897E-5</v>
          </cell>
          <cell r="K1292">
            <v>2641</v>
          </cell>
          <cell r="L1292">
            <v>239.81091779789699</v>
          </cell>
          <cell r="M1292">
            <v>1568</v>
          </cell>
          <cell r="N1292">
            <v>1.2297900742199301E-2</v>
          </cell>
          <cell r="O1292">
            <v>1873</v>
          </cell>
          <cell r="P1292">
            <v>0.06</v>
          </cell>
          <cell r="Q1292">
            <v>1850</v>
          </cell>
        </row>
        <row r="1293">
          <cell r="B1293" t="str">
            <v>GONZALES 1104415382</v>
          </cell>
          <cell r="C1293">
            <v>182131104</v>
          </cell>
          <cell r="D1293" t="str">
            <v>GONZALES 1104</v>
          </cell>
          <cell r="E1293">
            <v>415382</v>
          </cell>
          <cell r="F1293" t="b">
            <v>1</v>
          </cell>
          <cell r="G1293">
            <v>1920.35884704307</v>
          </cell>
          <cell r="H1293">
            <v>97.0432624674837</v>
          </cell>
          <cell r="I1293">
            <v>8</v>
          </cell>
          <cell r="J1293">
            <v>1.7727789619519599E-5</v>
          </cell>
          <cell r="K1293">
            <v>3562</v>
          </cell>
          <cell r="L1293">
            <v>59.384999019093797</v>
          </cell>
          <cell r="M1293">
            <v>2159</v>
          </cell>
          <cell r="N1293">
            <v>2.3722886373356701E-3</v>
          </cell>
          <cell r="O1293">
            <v>2424</v>
          </cell>
          <cell r="Q1293">
            <v>3205</v>
          </cell>
        </row>
        <row r="1294">
          <cell r="B1294" t="str">
            <v>GONZALES 1104807000</v>
          </cell>
          <cell r="C1294">
            <v>182131104</v>
          </cell>
          <cell r="D1294" t="str">
            <v>GONZALES 1104</v>
          </cell>
          <cell r="E1294">
            <v>807000</v>
          </cell>
          <cell r="F1294" t="b">
            <v>0</v>
          </cell>
          <cell r="G1294">
            <v>1709.8583957199201</v>
          </cell>
          <cell r="H1294">
            <v>1354.2940863408101</v>
          </cell>
          <cell r="I1294">
            <v>7</v>
          </cell>
          <cell r="J1294">
            <v>3.23495487464242E-5</v>
          </cell>
          <cell r="K1294">
            <v>3394</v>
          </cell>
          <cell r="L1294">
            <v>880.40353278709301</v>
          </cell>
          <cell r="M1294">
            <v>891</v>
          </cell>
          <cell r="N1294">
            <v>3.3202540945098703E-2</v>
          </cell>
          <cell r="O1294">
            <v>1404</v>
          </cell>
          <cell r="Q1294">
            <v>3594</v>
          </cell>
        </row>
        <row r="1295">
          <cell r="B1295" t="str">
            <v>GRASS VALLEY 11012208</v>
          </cell>
          <cell r="C1295">
            <v>152031101</v>
          </cell>
          <cell r="D1295" t="str">
            <v>GRASS VALLEY 1101</v>
          </cell>
          <cell r="E1295">
            <v>2208</v>
          </cell>
          <cell r="F1295" t="b">
            <v>0</v>
          </cell>
          <cell r="G1295">
            <v>20533.410865301299</v>
          </cell>
          <cell r="H1295">
            <v>18971.647003520899</v>
          </cell>
          <cell r="I1295">
            <v>159</v>
          </cell>
          <cell r="J1295">
            <v>1.4530199668395799E-4</v>
          </cell>
          <cell r="K1295">
            <v>800</v>
          </cell>
          <cell r="L1295">
            <v>55.225206735758697</v>
          </cell>
          <cell r="M1295">
            <v>2180</v>
          </cell>
          <cell r="N1295">
            <v>9.6885327798431099E-3</v>
          </cell>
          <cell r="O1295">
            <v>1973</v>
          </cell>
          <cell r="P1295">
            <v>0.15</v>
          </cell>
          <cell r="Q1295">
            <v>1278</v>
          </cell>
        </row>
        <row r="1296">
          <cell r="B1296" t="str">
            <v>GRASS VALLEY 11012766</v>
          </cell>
          <cell r="C1296">
            <v>152031101</v>
          </cell>
          <cell r="D1296" t="str">
            <v>GRASS VALLEY 1101</v>
          </cell>
          <cell r="E1296">
            <v>2766</v>
          </cell>
          <cell r="F1296" t="b">
            <v>0</v>
          </cell>
          <cell r="G1296">
            <v>5300.5619894729298</v>
          </cell>
          <cell r="H1296">
            <v>5300.5619894729298</v>
          </cell>
          <cell r="I1296">
            <v>31</v>
          </cell>
          <cell r="J1296">
            <v>1.8320788184346E-4</v>
          </cell>
          <cell r="K1296">
            <v>487</v>
          </cell>
          <cell r="L1296">
            <v>59.865347896310602</v>
          </cell>
          <cell r="M1296">
            <v>2154</v>
          </cell>
          <cell r="N1296">
            <v>1.7834405931106499E-2</v>
          </cell>
          <cell r="O1296">
            <v>1711</v>
          </cell>
          <cell r="P1296">
            <v>29.29</v>
          </cell>
          <cell r="Q1296">
            <v>242</v>
          </cell>
        </row>
        <row r="1297">
          <cell r="B1297" t="str">
            <v>GRASS VALLEY 1101528232</v>
          </cell>
          <cell r="C1297">
            <v>152031101</v>
          </cell>
          <cell r="D1297" t="str">
            <v>GRASS VALLEY 1101</v>
          </cell>
          <cell r="E1297">
            <v>528232</v>
          </cell>
          <cell r="F1297" t="b">
            <v>1</v>
          </cell>
          <cell r="G1297">
            <v>149.650165819291</v>
          </cell>
          <cell r="H1297">
            <v>149.650165819291</v>
          </cell>
          <cell r="I1297">
            <v>2</v>
          </cell>
          <cell r="J1297">
            <v>3.3485349558759399E-4</v>
          </cell>
          <cell r="K1297">
            <v>99</v>
          </cell>
          <cell r="L1297">
            <v>6.6431531992944007E-2</v>
          </cell>
          <cell r="M1297">
            <v>3013</v>
          </cell>
          <cell r="N1297">
            <v>2.2244830705076401E-5</v>
          </cell>
          <cell r="O1297">
            <v>2957</v>
          </cell>
          <cell r="Q1297">
            <v>3604</v>
          </cell>
        </row>
        <row r="1298">
          <cell r="B1298" t="str">
            <v>GRASS VALLEY 1101750804</v>
          </cell>
          <cell r="C1298">
            <v>152031101</v>
          </cell>
          <cell r="D1298" t="str">
            <v>GRASS VALLEY 1101</v>
          </cell>
          <cell r="E1298">
            <v>750804</v>
          </cell>
          <cell r="F1298" t="b">
            <v>1</v>
          </cell>
          <cell r="G1298">
            <v>449.41601802685602</v>
          </cell>
          <cell r="H1298">
            <v>390.06764939154999</v>
          </cell>
          <cell r="I1298">
            <v>5</v>
          </cell>
          <cell r="J1298">
            <v>1.6489176778122699E-4</v>
          </cell>
          <cell r="K1298">
            <v>588</v>
          </cell>
          <cell r="L1298">
            <v>71.366497701433602</v>
          </cell>
          <cell r="M1298">
            <v>2087</v>
          </cell>
          <cell r="N1298">
            <v>1.7655075257764101E-2</v>
          </cell>
          <cell r="O1298">
            <v>1718</v>
          </cell>
          <cell r="Q1298">
            <v>3500</v>
          </cell>
        </row>
        <row r="1299">
          <cell r="B1299" t="str">
            <v>GRASS VALLEY 1101CB</v>
          </cell>
          <cell r="C1299">
            <v>152031101</v>
          </cell>
          <cell r="D1299" t="str">
            <v>GRASS VALLEY 1101</v>
          </cell>
          <cell r="E1299" t="str">
            <v>CB</v>
          </cell>
          <cell r="F1299" t="b">
            <v>0</v>
          </cell>
          <cell r="G1299">
            <v>3780.8040970842999</v>
          </cell>
          <cell r="H1299">
            <v>1415.7705484820101</v>
          </cell>
          <cell r="I1299">
            <v>32</v>
          </cell>
          <cell r="J1299">
            <v>2.2566346683561199E-4</v>
          </cell>
          <cell r="K1299">
            <v>302</v>
          </cell>
          <cell r="L1299">
            <v>20.605144811689701</v>
          </cell>
          <cell r="M1299">
            <v>2441</v>
          </cell>
          <cell r="N1299">
            <v>3.5508633711330102E-3</v>
          </cell>
          <cell r="O1299">
            <v>2291</v>
          </cell>
          <cell r="P1299">
            <v>2.79</v>
          </cell>
          <cell r="Q1299">
            <v>582</v>
          </cell>
        </row>
        <row r="1300">
          <cell r="B1300" t="str">
            <v>GRASS VALLEY 1102CB</v>
          </cell>
          <cell r="C1300">
            <v>152031102</v>
          </cell>
          <cell r="D1300" t="str">
            <v>GRASS VALLEY 1102</v>
          </cell>
          <cell r="E1300" t="str">
            <v>CB</v>
          </cell>
          <cell r="F1300" t="b">
            <v>1</v>
          </cell>
          <cell r="G1300">
            <v>9322.59398721242</v>
          </cell>
          <cell r="H1300">
            <v>131.76294745967999</v>
          </cell>
          <cell r="I1300">
            <v>81</v>
          </cell>
          <cell r="J1300">
            <v>2.28493266924353E-4</v>
          </cell>
          <cell r="K1300">
            <v>289</v>
          </cell>
          <cell r="L1300">
            <v>6.51974537326271E-2</v>
          </cell>
          <cell r="M1300">
            <v>3511</v>
          </cell>
          <cell r="N1300">
            <v>1.4894062087858301E-5</v>
          </cell>
          <cell r="O1300">
            <v>3008</v>
          </cell>
          <cell r="Q1300">
            <v>2874</v>
          </cell>
        </row>
        <row r="1301">
          <cell r="B1301" t="str">
            <v>GRASS VALLEY 11031700</v>
          </cell>
          <cell r="C1301">
            <v>152031103</v>
          </cell>
          <cell r="D1301" t="str">
            <v>GRASS VALLEY 1103</v>
          </cell>
          <cell r="E1301">
            <v>1700</v>
          </cell>
          <cell r="F1301" t="b">
            <v>0</v>
          </cell>
          <cell r="G1301">
            <v>35014.843355465302</v>
          </cell>
          <cell r="H1301">
            <v>34930.2373189391</v>
          </cell>
          <cell r="I1301">
            <v>255</v>
          </cell>
          <cell r="J1301">
            <v>1.48177821457091E-4</v>
          </cell>
          <cell r="K1301">
            <v>762</v>
          </cell>
          <cell r="L1301">
            <v>706.09791450877299</v>
          </cell>
          <cell r="M1301">
            <v>1016</v>
          </cell>
          <cell r="N1301">
            <v>8.7917938193890197E-2</v>
          </cell>
          <cell r="O1301">
            <v>839</v>
          </cell>
          <cell r="P1301">
            <v>0.15</v>
          </cell>
          <cell r="Q1301">
            <v>1281</v>
          </cell>
        </row>
        <row r="1302">
          <cell r="B1302" t="str">
            <v>GRASS VALLEY 11032110</v>
          </cell>
          <cell r="C1302">
            <v>152031103</v>
          </cell>
          <cell r="D1302" t="str">
            <v>GRASS VALLEY 1103</v>
          </cell>
          <cell r="E1302">
            <v>2110</v>
          </cell>
          <cell r="F1302" t="b">
            <v>0</v>
          </cell>
          <cell r="G1302">
            <v>32283.119139777398</v>
          </cell>
          <cell r="H1302">
            <v>31798.222121289698</v>
          </cell>
          <cell r="I1302">
            <v>224</v>
          </cell>
          <cell r="J1302">
            <v>1.37718384556657E-4</v>
          </cell>
          <cell r="K1302">
            <v>899</v>
          </cell>
          <cell r="L1302">
            <v>464.98323579407997</v>
          </cell>
          <cell r="M1302">
            <v>1230</v>
          </cell>
          <cell r="N1302">
            <v>5.9422521291461299E-2</v>
          </cell>
          <cell r="O1302">
            <v>1068</v>
          </cell>
          <cell r="P1302">
            <v>0.21</v>
          </cell>
          <cell r="Q1302">
            <v>1147</v>
          </cell>
        </row>
        <row r="1303">
          <cell r="B1303" t="str">
            <v>GRASS VALLEY 11032180</v>
          </cell>
          <cell r="C1303">
            <v>152031103</v>
          </cell>
          <cell r="D1303" t="str">
            <v>GRASS VALLEY 1103</v>
          </cell>
          <cell r="E1303">
            <v>2180</v>
          </cell>
          <cell r="F1303" t="b">
            <v>0</v>
          </cell>
          <cell r="G1303">
            <v>71112.066418804505</v>
          </cell>
          <cell r="H1303">
            <v>71112.066418804505</v>
          </cell>
          <cell r="I1303">
            <v>444</v>
          </cell>
          <cell r="J1303">
            <v>8.9043971202700694E-5</v>
          </cell>
          <cell r="K1303">
            <v>1947</v>
          </cell>
          <cell r="L1303">
            <v>1832.26346435912</v>
          </cell>
          <cell r="M1303">
            <v>495</v>
          </cell>
          <cell r="N1303">
            <v>0.14870224664708701</v>
          </cell>
          <cell r="O1303">
            <v>524</v>
          </cell>
          <cell r="P1303">
            <v>0.31</v>
          </cell>
          <cell r="Q1303">
            <v>1000</v>
          </cell>
        </row>
        <row r="1304">
          <cell r="B1304" t="str">
            <v>GRASS VALLEY 110358498</v>
          </cell>
          <cell r="C1304">
            <v>152031103</v>
          </cell>
          <cell r="D1304" t="str">
            <v>GRASS VALLEY 1103</v>
          </cell>
          <cell r="E1304">
            <v>58498</v>
          </cell>
          <cell r="F1304" t="b">
            <v>0</v>
          </cell>
          <cell r="G1304">
            <v>3648.0776778553</v>
          </cell>
          <cell r="H1304">
            <v>1920.6561495634501</v>
          </cell>
          <cell r="I1304">
            <v>34</v>
          </cell>
          <cell r="J1304">
            <v>2.5664911620825598E-4</v>
          </cell>
          <cell r="K1304">
            <v>200</v>
          </cell>
          <cell r="L1304">
            <v>43.134028425522899</v>
          </cell>
          <cell r="M1304">
            <v>2259</v>
          </cell>
          <cell r="N1304">
            <v>1.49401735658255E-2</v>
          </cell>
          <cell r="O1304">
            <v>1783</v>
          </cell>
          <cell r="P1304">
            <v>0.03</v>
          </cell>
          <cell r="Q1304">
            <v>2375</v>
          </cell>
        </row>
        <row r="1305">
          <cell r="B1305" t="str">
            <v>GRASS VALLEY 1103CB</v>
          </cell>
          <cell r="C1305">
            <v>152031103</v>
          </cell>
          <cell r="D1305" t="str">
            <v>GRASS VALLEY 1103</v>
          </cell>
          <cell r="E1305" t="str">
            <v>CB</v>
          </cell>
          <cell r="F1305" t="b">
            <v>1</v>
          </cell>
          <cell r="G1305">
            <v>191.180610031665</v>
          </cell>
          <cell r="H1305">
            <v>191.180610031665</v>
          </cell>
          <cell r="I1305">
            <v>2</v>
          </cell>
          <cell r="J1305">
            <v>1.49865511048119E-4</v>
          </cell>
          <cell r="K1305">
            <v>738</v>
          </cell>
          <cell r="L1305">
            <v>6.6431531992944007E-2</v>
          </cell>
          <cell r="M1305">
            <v>3011</v>
          </cell>
          <cell r="N1305">
            <v>9.9557954918320594E-6</v>
          </cell>
          <cell r="O1305">
            <v>3069</v>
          </cell>
          <cell r="P1305">
            <v>0.03</v>
          </cell>
          <cell r="Q1305">
            <v>2348</v>
          </cell>
        </row>
        <row r="1306">
          <cell r="B1306" t="str">
            <v>GRAYS FLAT 0401CB</v>
          </cell>
          <cell r="C1306">
            <v>102530401</v>
          </cell>
          <cell r="D1306" t="str">
            <v>GRAYS FLAT 0401</v>
          </cell>
          <cell r="E1306" t="str">
            <v>CB</v>
          </cell>
          <cell r="F1306" t="b">
            <v>0</v>
          </cell>
          <cell r="G1306">
            <v>17261.1138051669</v>
          </cell>
          <cell r="H1306">
            <v>17261.1138051669</v>
          </cell>
          <cell r="I1306">
            <v>77</v>
          </cell>
          <cell r="J1306">
            <v>6.6356782917864599E-5</v>
          </cell>
          <cell r="K1306">
            <v>2581</v>
          </cell>
          <cell r="L1306">
            <v>354.46822559531</v>
          </cell>
          <cell r="M1306">
            <v>1366</v>
          </cell>
          <cell r="N1306">
            <v>1.6728046981228501E-2</v>
          </cell>
          <cell r="O1306">
            <v>1748</v>
          </cell>
          <cell r="P1306">
            <v>0.09</v>
          </cell>
          <cell r="Q1306">
            <v>1562</v>
          </cell>
        </row>
        <row r="1307">
          <cell r="B1307" t="str">
            <v>GREEN VALLEY 210111054</v>
          </cell>
          <cell r="C1307">
            <v>83192101</v>
          </cell>
          <cell r="D1307" t="str">
            <v>GREEN VALLEY 2101</v>
          </cell>
          <cell r="E1307">
            <v>11054</v>
          </cell>
          <cell r="F1307" t="b">
            <v>0</v>
          </cell>
          <cell r="G1307">
            <v>41601.4757269939</v>
          </cell>
          <cell r="H1307">
            <v>39167.002108635701</v>
          </cell>
          <cell r="I1307">
            <v>272</v>
          </cell>
          <cell r="J1307">
            <v>1.5628876770492999E-4</v>
          </cell>
          <cell r="K1307">
            <v>682</v>
          </cell>
          <cell r="L1307">
            <v>157.98403840142799</v>
          </cell>
          <cell r="M1307">
            <v>1754</v>
          </cell>
          <cell r="N1307">
            <v>2.5604964524891301E-2</v>
          </cell>
          <cell r="O1307">
            <v>1543</v>
          </cell>
          <cell r="P1307">
            <v>1.82</v>
          </cell>
          <cell r="Q1307">
            <v>640</v>
          </cell>
        </row>
        <row r="1308">
          <cell r="B1308" t="str">
            <v>GREEN VALLEY 210112106</v>
          </cell>
          <cell r="C1308">
            <v>83192101</v>
          </cell>
          <cell r="D1308" t="str">
            <v>GREEN VALLEY 2101</v>
          </cell>
          <cell r="E1308">
            <v>12106</v>
          </cell>
          <cell r="F1308" t="b">
            <v>1</v>
          </cell>
          <cell r="G1308">
            <v>19539.3367487057</v>
          </cell>
          <cell r="H1308">
            <v>556.83482722391398</v>
          </cell>
          <cell r="I1308">
            <v>139</v>
          </cell>
          <cell r="J1308">
            <v>8.3645346900192995E-5</v>
          </cell>
          <cell r="K1308">
            <v>2105</v>
          </cell>
          <cell r="L1308">
            <v>0.75016009078609003</v>
          </cell>
          <cell r="M1308">
            <v>2905</v>
          </cell>
          <cell r="N1308">
            <v>8.0918705474867394E-5</v>
          </cell>
          <cell r="O1308">
            <v>2884</v>
          </cell>
          <cell r="P1308">
            <v>0.06</v>
          </cell>
          <cell r="Q1308">
            <v>1840</v>
          </cell>
        </row>
        <row r="1309">
          <cell r="B1309" t="str">
            <v>GREEN VALLEY 210112824</v>
          </cell>
          <cell r="C1309">
            <v>83192101</v>
          </cell>
          <cell r="D1309" t="str">
            <v>GREEN VALLEY 2101</v>
          </cell>
          <cell r="E1309">
            <v>12824</v>
          </cell>
          <cell r="F1309" t="b">
            <v>0</v>
          </cell>
          <cell r="G1309">
            <v>19725.446323410699</v>
          </cell>
          <cell r="H1309">
            <v>1410.0845703443399</v>
          </cell>
          <cell r="I1309">
            <v>97</v>
          </cell>
          <cell r="J1309">
            <v>5.8888147440446397E-5</v>
          </cell>
          <cell r="K1309">
            <v>2811</v>
          </cell>
          <cell r="L1309">
            <v>61.702231519555603</v>
          </cell>
          <cell r="M1309">
            <v>2142</v>
          </cell>
          <cell r="N1309">
            <v>2.7199328742290498E-3</v>
          </cell>
          <cell r="O1309">
            <v>2381</v>
          </cell>
          <cell r="P1309">
            <v>0.19</v>
          </cell>
          <cell r="Q1309">
            <v>1178</v>
          </cell>
        </row>
        <row r="1310">
          <cell r="B1310" t="str">
            <v>GREEN VALLEY 2101135762</v>
          </cell>
          <cell r="C1310">
            <v>83192101</v>
          </cell>
          <cell r="D1310" t="str">
            <v>GREEN VALLEY 2101</v>
          </cell>
          <cell r="E1310">
            <v>135762</v>
          </cell>
          <cell r="F1310" t="b">
            <v>0</v>
          </cell>
          <cell r="G1310">
            <v>4515.3768243167597</v>
          </cell>
          <cell r="H1310">
            <v>1189.52855819404</v>
          </cell>
          <cell r="I1310">
            <v>28</v>
          </cell>
          <cell r="J1310">
            <v>9.6391111128468697E-5</v>
          </cell>
          <cell r="K1310">
            <v>1723</v>
          </cell>
          <cell r="L1310">
            <v>173.12186069334101</v>
          </cell>
          <cell r="M1310">
            <v>1704</v>
          </cell>
          <cell r="N1310">
            <v>1.35392116033388E-2</v>
          </cell>
          <cell r="O1310">
            <v>1830</v>
          </cell>
          <cell r="Q1310">
            <v>3246</v>
          </cell>
        </row>
        <row r="1311">
          <cell r="B1311" t="str">
            <v>GREEN VALLEY 2101380922</v>
          </cell>
          <cell r="C1311">
            <v>83192101</v>
          </cell>
          <cell r="D1311" t="str">
            <v>GREEN VALLEY 2101</v>
          </cell>
          <cell r="E1311">
            <v>380922</v>
          </cell>
          <cell r="F1311" t="b">
            <v>0</v>
          </cell>
          <cell r="G1311">
            <v>4341.39466211537</v>
          </cell>
          <cell r="H1311">
            <v>1588.6004675061499</v>
          </cell>
          <cell r="I1311">
            <v>30</v>
          </cell>
          <cell r="J1311">
            <v>5.30370298444419E-5</v>
          </cell>
          <cell r="K1311">
            <v>2965</v>
          </cell>
          <cell r="L1311">
            <v>107.67129993687</v>
          </cell>
          <cell r="M1311">
            <v>1919</v>
          </cell>
          <cell r="N1311">
            <v>7.2900889420595104E-3</v>
          </cell>
          <cell r="O1311">
            <v>2081</v>
          </cell>
          <cell r="Q1311">
            <v>3357</v>
          </cell>
        </row>
        <row r="1312">
          <cell r="B1312" t="str">
            <v>GREEN VALLEY 2101509068</v>
          </cell>
          <cell r="C1312">
            <v>83192101</v>
          </cell>
          <cell r="D1312" t="str">
            <v>GREEN VALLEY 2101</v>
          </cell>
          <cell r="E1312">
            <v>509068</v>
          </cell>
          <cell r="F1312" t="b">
            <v>0</v>
          </cell>
          <cell r="G1312">
            <v>2868.1373746403401</v>
          </cell>
          <cell r="H1312">
            <v>1655.47120910026</v>
          </cell>
          <cell r="I1312">
            <v>22</v>
          </cell>
          <cell r="J1312">
            <v>1.06477054445845E-4</v>
          </cell>
          <cell r="K1312">
            <v>1487</v>
          </cell>
          <cell r="L1312">
            <v>17.349136038937299</v>
          </cell>
          <cell r="M1312">
            <v>2495</v>
          </cell>
          <cell r="N1312">
            <v>1.00190058193911E-3</v>
          </cell>
          <cell r="O1312">
            <v>2634</v>
          </cell>
          <cell r="Q1312">
            <v>3297</v>
          </cell>
        </row>
        <row r="1313">
          <cell r="B1313" t="str">
            <v>GREEN VALLEY 2101535998</v>
          </cell>
          <cell r="C1313">
            <v>83192101</v>
          </cell>
          <cell r="D1313" t="str">
            <v>GREEN VALLEY 2101</v>
          </cell>
          <cell r="E1313">
            <v>535998</v>
          </cell>
          <cell r="F1313" t="b">
            <v>0</v>
          </cell>
          <cell r="G1313">
            <v>7941.4497611881197</v>
          </cell>
          <cell r="H1313">
            <v>7140.4635294587897</v>
          </cell>
          <cell r="I1313">
            <v>43</v>
          </cell>
          <cell r="J1313">
            <v>1.2357481471046201E-4</v>
          </cell>
          <cell r="K1313">
            <v>1129</v>
          </cell>
          <cell r="L1313">
            <v>19.4088061184585</v>
          </cell>
          <cell r="M1313">
            <v>2455</v>
          </cell>
          <cell r="N1313">
            <v>1.84135528668928E-3</v>
          </cell>
          <cell r="O1313">
            <v>2495</v>
          </cell>
          <cell r="Q1313">
            <v>3367</v>
          </cell>
        </row>
        <row r="1314">
          <cell r="B1314" t="str">
            <v>GREEN VALLEY 21016601</v>
          </cell>
          <cell r="C1314">
            <v>83192101</v>
          </cell>
          <cell r="D1314" t="str">
            <v>GREEN VALLEY 2101</v>
          </cell>
          <cell r="E1314">
            <v>6601</v>
          </cell>
          <cell r="F1314" t="b">
            <v>0</v>
          </cell>
          <cell r="G1314">
            <v>3063.6094078399501</v>
          </cell>
          <cell r="H1314">
            <v>3063.6094078399501</v>
          </cell>
          <cell r="I1314">
            <v>19</v>
          </cell>
          <cell r="J1314">
            <v>1.1592459467417301E-4</v>
          </cell>
          <cell r="K1314">
            <v>1271</v>
          </cell>
          <cell r="L1314">
            <v>66.3781807014078</v>
          </cell>
          <cell r="M1314">
            <v>2113</v>
          </cell>
          <cell r="N1314">
            <v>8.5861556094971002E-3</v>
          </cell>
          <cell r="O1314">
            <v>2024</v>
          </cell>
          <cell r="Q1314">
            <v>3470</v>
          </cell>
        </row>
        <row r="1315">
          <cell r="B1315" t="str">
            <v>GREEN VALLEY 2101942143</v>
          </cell>
          <cell r="C1315">
            <v>83192101</v>
          </cell>
          <cell r="D1315" t="str">
            <v>GREEN VALLEY 2101</v>
          </cell>
          <cell r="E1315">
            <v>942143</v>
          </cell>
          <cell r="F1315" t="b">
            <v>0</v>
          </cell>
          <cell r="G1315">
            <v>13604.562519913001</v>
          </cell>
          <cell r="H1315">
            <v>8138.45914851624</v>
          </cell>
          <cell r="I1315">
            <v>74</v>
          </cell>
          <cell r="J1315">
            <v>1.12365665226618E-4</v>
          </cell>
          <cell r="K1315">
            <v>1358</v>
          </cell>
          <cell r="L1315">
            <v>105.080506046933</v>
          </cell>
          <cell r="M1315">
            <v>1928</v>
          </cell>
          <cell r="N1315">
            <v>1.3215891642830701E-2</v>
          </cell>
          <cell r="O1315">
            <v>1838</v>
          </cell>
          <cell r="Q1315">
            <v>3068</v>
          </cell>
        </row>
        <row r="1316">
          <cell r="B1316" t="str">
            <v>GREEN VALLEY 210197574</v>
          </cell>
          <cell r="C1316">
            <v>83192101</v>
          </cell>
          <cell r="D1316" t="str">
            <v>GREEN VALLEY 2101</v>
          </cell>
          <cell r="E1316">
            <v>97574</v>
          </cell>
          <cell r="F1316" t="b">
            <v>0</v>
          </cell>
          <cell r="G1316">
            <v>8779.1351378846302</v>
          </cell>
          <cell r="H1316">
            <v>5743.5714283159195</v>
          </cell>
          <cell r="I1316">
            <v>60</v>
          </cell>
          <cell r="J1316">
            <v>8.4626667315509002E-5</v>
          </cell>
          <cell r="K1316">
            <v>2073</v>
          </cell>
          <cell r="L1316">
            <v>42.714778857678098</v>
          </cell>
          <cell r="M1316">
            <v>2264</v>
          </cell>
          <cell r="N1316">
            <v>3.2547301305290298E-3</v>
          </cell>
          <cell r="O1316">
            <v>2321</v>
          </cell>
          <cell r="Q1316">
            <v>3327</v>
          </cell>
        </row>
        <row r="1317">
          <cell r="B1317" t="str">
            <v>GREENBRAE 11021254</v>
          </cell>
          <cell r="C1317">
            <v>43091102</v>
          </cell>
          <cell r="D1317" t="str">
            <v>GREENBRAE 1102</v>
          </cell>
          <cell r="E1317">
            <v>1254</v>
          </cell>
          <cell r="F1317" t="b">
            <v>0</v>
          </cell>
          <cell r="G1317">
            <v>15241.9933449699</v>
          </cell>
          <cell r="H1317">
            <v>9639.5737864655603</v>
          </cell>
          <cell r="I1317">
            <v>130</v>
          </cell>
          <cell r="J1317">
            <v>6.3299438341765803E-5</v>
          </cell>
          <cell r="K1317">
            <v>2668</v>
          </cell>
          <cell r="L1317">
            <v>6.5870065880598599E-2</v>
          </cell>
          <cell r="M1317">
            <v>3250</v>
          </cell>
          <cell r="N1317">
            <v>4.1869001681835998E-6</v>
          </cell>
          <cell r="O1317">
            <v>3321</v>
          </cell>
          <cell r="P1317">
            <v>0.81</v>
          </cell>
          <cell r="Q1317">
            <v>771</v>
          </cell>
        </row>
        <row r="1318">
          <cell r="B1318" t="str">
            <v>GREENBRAE 1102CB</v>
          </cell>
          <cell r="C1318">
            <v>43091102</v>
          </cell>
          <cell r="D1318" t="str">
            <v>GREENBRAE 1102</v>
          </cell>
          <cell r="E1318" t="str">
            <v>CB</v>
          </cell>
          <cell r="F1318" t="b">
            <v>1</v>
          </cell>
          <cell r="G1318">
            <v>3469.4671594236102</v>
          </cell>
          <cell r="H1318">
            <v>0</v>
          </cell>
          <cell r="I1318">
            <v>28</v>
          </cell>
          <cell r="J1318">
            <v>4.0755614977767697E-5</v>
          </cell>
          <cell r="K1318">
            <v>3251</v>
          </cell>
          <cell r="L1318">
            <v>6.5151188800396595E-2</v>
          </cell>
          <cell r="M1318">
            <v>3570</v>
          </cell>
          <cell r="N1318">
            <v>2.65527676609282E-6</v>
          </cell>
          <cell r="O1318">
            <v>3447</v>
          </cell>
          <cell r="P1318">
            <v>0.09</v>
          </cell>
          <cell r="Q1318">
            <v>1558</v>
          </cell>
        </row>
        <row r="1319">
          <cell r="B1319" t="str">
            <v>GREENBRAE 1103718674</v>
          </cell>
          <cell r="C1319">
            <v>43091103</v>
          </cell>
          <cell r="D1319" t="str">
            <v>GREENBRAE 1103</v>
          </cell>
          <cell r="E1319">
            <v>718674</v>
          </cell>
          <cell r="F1319" t="b">
            <v>0</v>
          </cell>
          <cell r="G1319">
            <v>1848.67711776892</v>
          </cell>
          <cell r="H1319">
            <v>1301.8094117114299</v>
          </cell>
          <cell r="I1319">
            <v>16</v>
          </cell>
          <cell r="J1319">
            <v>1.30498105193055E-4</v>
          </cell>
          <cell r="K1319">
            <v>1001</v>
          </cell>
          <cell r="L1319">
            <v>6.5951308838292505E-2</v>
          </cell>
          <cell r="M1319">
            <v>3233</v>
          </cell>
          <cell r="N1319">
            <v>8.6091630360057198E-6</v>
          </cell>
          <cell r="O1319">
            <v>3105</v>
          </cell>
          <cell r="Q1319">
            <v>3168</v>
          </cell>
        </row>
        <row r="1320">
          <cell r="B1320" t="str">
            <v>GREENBRAE 11037315</v>
          </cell>
          <cell r="C1320">
            <v>43091103</v>
          </cell>
          <cell r="D1320" t="str">
            <v>GREENBRAE 1103</v>
          </cell>
          <cell r="E1320">
            <v>7315</v>
          </cell>
          <cell r="F1320" t="b">
            <v>1</v>
          </cell>
          <cell r="G1320">
            <v>3607.6139812138299</v>
          </cell>
          <cell r="H1320">
            <v>0</v>
          </cell>
          <cell r="I1320">
            <v>32</v>
          </cell>
          <cell r="J1320">
            <v>4.84855576843301E-5</v>
          </cell>
          <cell r="K1320">
            <v>3078</v>
          </cell>
          <cell r="L1320">
            <v>6.5151188800396595E-2</v>
          </cell>
          <cell r="M1320">
            <v>3567</v>
          </cell>
          <cell r="N1320">
            <v>3.1588917227843099E-6</v>
          </cell>
          <cell r="O1320">
            <v>3393</v>
          </cell>
          <cell r="Q1320">
            <v>2795</v>
          </cell>
        </row>
        <row r="1321">
          <cell r="B1321" t="str">
            <v>GREENBRAE 1103CB</v>
          </cell>
          <cell r="C1321">
            <v>43091103</v>
          </cell>
          <cell r="D1321" t="str">
            <v>GREENBRAE 1103</v>
          </cell>
          <cell r="E1321" t="str">
            <v>CB</v>
          </cell>
          <cell r="F1321" t="b">
            <v>1</v>
          </cell>
          <cell r="G1321">
            <v>6661.6605105406297</v>
          </cell>
          <cell r="H1321">
            <v>0</v>
          </cell>
          <cell r="I1321">
            <v>61</v>
          </cell>
          <cell r="J1321">
            <v>7.2009584198832303E-5</v>
          </cell>
          <cell r="K1321">
            <v>2419</v>
          </cell>
          <cell r="L1321">
            <v>6.5151188800396706E-2</v>
          </cell>
          <cell r="M1321">
            <v>3564</v>
          </cell>
          <cell r="N1321">
            <v>4.6915100155761801E-6</v>
          </cell>
          <cell r="O1321">
            <v>3280</v>
          </cell>
          <cell r="P1321">
            <v>0.11</v>
          </cell>
          <cell r="Q1321">
            <v>1448</v>
          </cell>
        </row>
        <row r="1322">
          <cell r="B1322" t="str">
            <v>GREENBRAE 1104107508</v>
          </cell>
          <cell r="C1322">
            <v>43091104</v>
          </cell>
          <cell r="D1322" t="str">
            <v>GREENBRAE 1104</v>
          </cell>
          <cell r="E1322">
            <v>107508</v>
          </cell>
          <cell r="F1322" t="b">
            <v>1</v>
          </cell>
          <cell r="G1322">
            <v>282.95740150811798</v>
          </cell>
          <cell r="H1322">
            <v>0</v>
          </cell>
          <cell r="I1322">
            <v>2</v>
          </cell>
          <cell r="J1322">
            <v>4.9330945330439102E-5</v>
          </cell>
          <cell r="K1322">
            <v>3054</v>
          </cell>
          <cell r="L1322">
            <v>6.5151188800396595E-2</v>
          </cell>
          <cell r="M1322">
            <v>3568</v>
          </cell>
          <cell r="N1322">
            <v>3.21396973292548E-6</v>
          </cell>
          <cell r="O1322">
            <v>3387</v>
          </cell>
          <cell r="Q1322">
            <v>3203</v>
          </cell>
        </row>
        <row r="1323">
          <cell r="B1323" t="str">
            <v>GREENBRAE 1104317890</v>
          </cell>
          <cell r="C1323">
            <v>43091104</v>
          </cell>
          <cell r="D1323" t="str">
            <v>GREENBRAE 1104</v>
          </cell>
          <cell r="E1323">
            <v>317890</v>
          </cell>
          <cell r="F1323" t="b">
            <v>1</v>
          </cell>
          <cell r="G1323">
            <v>125.831519618054</v>
          </cell>
          <cell r="H1323">
            <v>125.831519618054</v>
          </cell>
          <cell r="I1323">
            <v>2</v>
          </cell>
          <cell r="J1323">
            <v>3.9991095945879297E-5</v>
          </cell>
          <cell r="K1323">
            <v>3269</v>
          </cell>
          <cell r="L1323">
            <v>6.6431380861030107E-2</v>
          </cell>
          <cell r="M1323">
            <v>3031</v>
          </cell>
          <cell r="N1323">
            <v>2.6566637258307E-6</v>
          </cell>
          <cell r="O1323">
            <v>3446</v>
          </cell>
          <cell r="Q1323">
            <v>3501</v>
          </cell>
        </row>
        <row r="1324">
          <cell r="B1324" t="str">
            <v>GREENBRAE 1104751</v>
          </cell>
          <cell r="C1324">
            <v>43091104</v>
          </cell>
          <cell r="D1324" t="str">
            <v>GREENBRAE 1104</v>
          </cell>
          <cell r="E1324">
            <v>751</v>
          </cell>
          <cell r="F1324" t="b">
            <v>1</v>
          </cell>
          <cell r="G1324">
            <v>4384.8993830540003</v>
          </cell>
          <cell r="H1324">
            <v>264.61200662392099</v>
          </cell>
          <cell r="I1324">
            <v>31</v>
          </cell>
          <cell r="J1324">
            <v>1.7653489903163801E-5</v>
          </cell>
          <cell r="K1324">
            <v>3563</v>
          </cell>
          <cell r="L1324">
            <v>6.5233781836566501E-2</v>
          </cell>
          <cell r="M1324">
            <v>3487</v>
          </cell>
          <cell r="N1324">
            <v>1.15206361078352E-6</v>
          </cell>
          <cell r="O1324">
            <v>3577</v>
          </cell>
          <cell r="P1324">
            <v>0.02</v>
          </cell>
          <cell r="Q1324">
            <v>2530</v>
          </cell>
        </row>
        <row r="1325">
          <cell r="B1325" t="str">
            <v>GREENBRAE 1104972264</v>
          </cell>
          <cell r="C1325">
            <v>43091104</v>
          </cell>
          <cell r="D1325" t="str">
            <v>GREENBRAE 1104</v>
          </cell>
          <cell r="E1325">
            <v>972264</v>
          </cell>
          <cell r="F1325" t="b">
            <v>1</v>
          </cell>
          <cell r="G1325">
            <v>337.19829473593501</v>
          </cell>
          <cell r="H1325">
            <v>0</v>
          </cell>
          <cell r="I1325">
            <v>4</v>
          </cell>
          <cell r="J1325">
            <v>3.3355941241097699E-5</v>
          </cell>
          <cell r="K1325">
            <v>3379</v>
          </cell>
          <cell r="L1325">
            <v>6.5151188800396595E-2</v>
          </cell>
          <cell r="M1325">
            <v>3575</v>
          </cell>
          <cell r="N1325">
            <v>2.1731792254136902E-6</v>
          </cell>
          <cell r="O1325">
            <v>3496</v>
          </cell>
          <cell r="Q1325">
            <v>3520</v>
          </cell>
        </row>
        <row r="1326">
          <cell r="B1326" t="str">
            <v>GUALALA 111135562</v>
          </cell>
          <cell r="C1326">
            <v>42841111</v>
          </cell>
          <cell r="D1326" t="str">
            <v>GUALALA 1111</v>
          </cell>
          <cell r="E1326">
            <v>35562</v>
          </cell>
          <cell r="F1326" t="b">
            <v>0</v>
          </cell>
          <cell r="G1326">
            <v>22914.0776416677</v>
          </cell>
          <cell r="H1326">
            <v>22914.0776416677</v>
          </cell>
          <cell r="I1326">
            <v>147</v>
          </cell>
          <cell r="J1326">
            <v>1.05054148841444E-4</v>
          </cell>
          <cell r="K1326">
            <v>1525</v>
          </cell>
          <cell r="L1326">
            <v>11.703802209759299</v>
          </cell>
          <cell r="M1326">
            <v>2593</v>
          </cell>
          <cell r="N1326">
            <v>1.30063812901513E-3</v>
          </cell>
          <cell r="O1326">
            <v>2582</v>
          </cell>
          <cell r="P1326">
            <v>0.16</v>
          </cell>
          <cell r="Q1326">
            <v>1270</v>
          </cell>
        </row>
        <row r="1327">
          <cell r="B1327" t="str">
            <v>GUALALA 1111402866</v>
          </cell>
          <cell r="C1327">
            <v>42841111</v>
          </cell>
          <cell r="D1327" t="str">
            <v>GUALALA 1111</v>
          </cell>
          <cell r="E1327">
            <v>402866</v>
          </cell>
          <cell r="F1327" t="b">
            <v>0</v>
          </cell>
          <cell r="G1327">
            <v>2560.40321443006</v>
          </cell>
          <cell r="H1327">
            <v>2560.40321443006</v>
          </cell>
          <cell r="I1327">
            <v>20</v>
          </cell>
          <cell r="J1327">
            <v>8.0485323269385801E-5</v>
          </cell>
          <cell r="K1327">
            <v>2192</v>
          </cell>
          <cell r="L1327">
            <v>2.4421840866576101</v>
          </cell>
          <cell r="M1327">
            <v>2826</v>
          </cell>
          <cell r="N1327">
            <v>3.1369622637147801E-4</v>
          </cell>
          <cell r="O1327">
            <v>2789</v>
          </cell>
          <cell r="P1327">
            <v>0.02</v>
          </cell>
          <cell r="Q1327">
            <v>2566</v>
          </cell>
        </row>
        <row r="1328">
          <cell r="B1328" t="str">
            <v>GUALALA 1111445166</v>
          </cell>
          <cell r="C1328">
            <v>42841111</v>
          </cell>
          <cell r="D1328" t="str">
            <v>GUALALA 1111</v>
          </cell>
          <cell r="E1328">
            <v>445166</v>
          </cell>
          <cell r="F1328" t="b">
            <v>0</v>
          </cell>
          <cell r="G1328">
            <v>15269.795523942201</v>
          </cell>
          <cell r="H1328">
            <v>12164.263484031901</v>
          </cell>
          <cell r="I1328">
            <v>71</v>
          </cell>
          <cell r="J1328">
            <v>5.9661006162059398E-5</v>
          </cell>
          <cell r="K1328">
            <v>2785</v>
          </cell>
          <cell r="L1328">
            <v>28.189317246872701</v>
          </cell>
          <cell r="M1328">
            <v>2359</v>
          </cell>
          <cell r="N1328">
            <v>2.2354026921680599E-3</v>
          </cell>
          <cell r="O1328">
            <v>2446</v>
          </cell>
          <cell r="P1328">
            <v>0.06</v>
          </cell>
          <cell r="Q1328">
            <v>1845</v>
          </cell>
        </row>
        <row r="1329">
          <cell r="B1329" t="str">
            <v>GUALALA 1111498</v>
          </cell>
          <cell r="C1329">
            <v>42841111</v>
          </cell>
          <cell r="D1329" t="str">
            <v>GUALALA 1111</v>
          </cell>
          <cell r="E1329">
            <v>498</v>
          </cell>
          <cell r="F1329" t="b">
            <v>0</v>
          </cell>
          <cell r="G1329">
            <v>4821.7264451580404</v>
          </cell>
          <cell r="H1329">
            <v>4596.7491497211404</v>
          </cell>
          <cell r="I1329">
            <v>18</v>
          </cell>
          <cell r="J1329">
            <v>6.5819701692109597E-5</v>
          </cell>
          <cell r="K1329">
            <v>2593</v>
          </cell>
          <cell r="L1329">
            <v>6.6146372093094694E-2</v>
          </cell>
          <cell r="M1329">
            <v>3183</v>
          </cell>
          <cell r="N1329">
            <v>4.3648110510678097E-6</v>
          </cell>
          <cell r="O1329">
            <v>3307</v>
          </cell>
          <cell r="P1329">
            <v>0.05</v>
          </cell>
          <cell r="Q1329">
            <v>1926</v>
          </cell>
        </row>
        <row r="1330">
          <cell r="B1330" t="str">
            <v>GUALALA 1111887180</v>
          </cell>
          <cell r="C1330">
            <v>42841111</v>
          </cell>
          <cell r="D1330" t="str">
            <v>GUALALA 1111</v>
          </cell>
          <cell r="E1330">
            <v>887180</v>
          </cell>
          <cell r="F1330" t="b">
            <v>0</v>
          </cell>
          <cell r="G1330">
            <v>8692.4371493878407</v>
          </cell>
          <cell r="H1330">
            <v>8589.4891577751696</v>
          </cell>
          <cell r="I1330">
            <v>61</v>
          </cell>
          <cell r="J1330">
            <v>5.5738255796910103E-5</v>
          </cell>
          <cell r="K1330">
            <v>2897</v>
          </cell>
          <cell r="L1330">
            <v>12.9177995812697</v>
          </cell>
          <cell r="M1330">
            <v>2572</v>
          </cell>
          <cell r="N1330">
            <v>9.862763522515089E-4</v>
          </cell>
          <cell r="O1330">
            <v>2637</v>
          </cell>
          <cell r="P1330">
            <v>7.0000000000000007E-2</v>
          </cell>
          <cell r="Q1330">
            <v>1715</v>
          </cell>
        </row>
        <row r="1331">
          <cell r="B1331" t="str">
            <v>GUALALA 1111CB</v>
          </cell>
          <cell r="C1331">
            <v>42841111</v>
          </cell>
          <cell r="D1331" t="str">
            <v>GUALALA 1111</v>
          </cell>
          <cell r="E1331" t="str">
            <v>CB</v>
          </cell>
          <cell r="F1331" t="b">
            <v>0</v>
          </cell>
          <cell r="G1331">
            <v>6227.6638037944604</v>
          </cell>
          <cell r="H1331">
            <v>6227.6638037944604</v>
          </cell>
          <cell r="I1331">
            <v>47</v>
          </cell>
          <cell r="J1331">
            <v>1.01772180680703E-4</v>
          </cell>
          <cell r="K1331">
            <v>1608</v>
          </cell>
          <cell r="L1331">
            <v>5.1216357554060901</v>
          </cell>
          <cell r="M1331">
            <v>2747</v>
          </cell>
          <cell r="N1331">
            <v>1.39130583564486E-3</v>
          </cell>
          <cell r="O1331">
            <v>2576</v>
          </cell>
          <cell r="P1331">
            <v>0.03</v>
          </cell>
          <cell r="Q1331">
            <v>2337</v>
          </cell>
        </row>
        <row r="1332">
          <cell r="B1332" t="str">
            <v>GUALALA 11121294</v>
          </cell>
          <cell r="C1332">
            <v>42841112</v>
          </cell>
          <cell r="D1332" t="str">
            <v>GUALALA 1112</v>
          </cell>
          <cell r="E1332">
            <v>1294</v>
          </cell>
          <cell r="F1332" t="b">
            <v>0</v>
          </cell>
          <cell r="G1332">
            <v>32661.474389105701</v>
          </cell>
          <cell r="H1332">
            <v>31953.679812659298</v>
          </cell>
          <cell r="I1332">
            <v>234</v>
          </cell>
          <cell r="J1332">
            <v>6.8610408900253198E-5</v>
          </cell>
          <cell r="K1332">
            <v>2518</v>
          </cell>
          <cell r="L1332">
            <v>79.062019115783599</v>
          </cell>
          <cell r="M1332">
            <v>2054</v>
          </cell>
          <cell r="N1332">
            <v>5.5386943159626998E-3</v>
          </cell>
          <cell r="O1332">
            <v>2179</v>
          </cell>
          <cell r="P1332">
            <v>0.53</v>
          </cell>
          <cell r="Q1332">
            <v>883</v>
          </cell>
        </row>
        <row r="1333">
          <cell r="B1333" t="str">
            <v>GUALALA 111223444</v>
          </cell>
          <cell r="C1333">
            <v>42841112</v>
          </cell>
          <cell r="D1333" t="str">
            <v>GUALALA 1112</v>
          </cell>
          <cell r="E1333">
            <v>23444</v>
          </cell>
          <cell r="F1333" t="b">
            <v>0</v>
          </cell>
          <cell r="G1333">
            <v>23380.690657507501</v>
          </cell>
          <cell r="H1333">
            <v>23380.690657507501</v>
          </cell>
          <cell r="I1333">
            <v>135</v>
          </cell>
          <cell r="J1333">
            <v>1.0218688106788099E-4</v>
          </cell>
          <cell r="K1333">
            <v>1599</v>
          </cell>
          <cell r="L1333">
            <v>47.233825016050801</v>
          </cell>
          <cell r="M1333">
            <v>2229</v>
          </cell>
          <cell r="N1333">
            <v>4.2665751870624704E-3</v>
          </cell>
          <cell r="O1333">
            <v>2242</v>
          </cell>
          <cell r="P1333">
            <v>0.12</v>
          </cell>
          <cell r="Q1333">
            <v>1396</v>
          </cell>
        </row>
        <row r="1334">
          <cell r="B1334" t="str">
            <v>GUALALA 11124431</v>
          </cell>
          <cell r="C1334">
            <v>42841112</v>
          </cell>
          <cell r="D1334" t="str">
            <v>GUALALA 1112</v>
          </cell>
          <cell r="E1334">
            <v>4431</v>
          </cell>
          <cell r="F1334" t="b">
            <v>0</v>
          </cell>
          <cell r="G1334">
            <v>2379.8246405974601</v>
          </cell>
          <cell r="H1334">
            <v>2267.6220333218698</v>
          </cell>
          <cell r="I1334">
            <v>16</v>
          </cell>
          <cell r="J1334">
            <v>6.85699437781295E-5</v>
          </cell>
          <cell r="K1334">
            <v>2520</v>
          </cell>
          <cell r="L1334">
            <v>6.6271303699341505E-2</v>
          </cell>
          <cell r="M1334">
            <v>3158</v>
          </cell>
          <cell r="N1334">
            <v>4.5479730128693898E-6</v>
          </cell>
          <cell r="O1334">
            <v>3292</v>
          </cell>
          <cell r="P1334">
            <v>2.63</v>
          </cell>
          <cell r="Q1334">
            <v>593</v>
          </cell>
        </row>
        <row r="1335">
          <cell r="B1335" t="str">
            <v>GUALALA 1112662</v>
          </cell>
          <cell r="C1335">
            <v>42841112</v>
          </cell>
          <cell r="D1335" t="str">
            <v>GUALALA 1112</v>
          </cell>
          <cell r="E1335">
            <v>662</v>
          </cell>
          <cell r="F1335" t="b">
            <v>0</v>
          </cell>
          <cell r="G1335">
            <v>13657.964208388101</v>
          </cell>
          <cell r="H1335">
            <v>10019.765481685999</v>
          </cell>
          <cell r="I1335">
            <v>104</v>
          </cell>
          <cell r="J1335">
            <v>6.0639253973417302E-5</v>
          </cell>
          <cell r="K1335">
            <v>2758</v>
          </cell>
          <cell r="L1335">
            <v>8.97440825191104</v>
          </cell>
          <cell r="M1335">
            <v>2644</v>
          </cell>
          <cell r="N1335">
            <v>6.7921304370797595E-4</v>
          </cell>
          <cell r="O1335">
            <v>2693</v>
          </cell>
          <cell r="P1335">
            <v>7.0000000000000007E-2</v>
          </cell>
          <cell r="Q1335">
            <v>1724</v>
          </cell>
        </row>
        <row r="1336">
          <cell r="B1336" t="str">
            <v>GUALALA 1112CB</v>
          </cell>
          <cell r="C1336">
            <v>42841112</v>
          </cell>
          <cell r="D1336" t="str">
            <v>GUALALA 1112</v>
          </cell>
          <cell r="E1336" t="str">
            <v>CB</v>
          </cell>
          <cell r="F1336" t="b">
            <v>0</v>
          </cell>
          <cell r="G1336">
            <v>3448.2579069114599</v>
          </cell>
          <cell r="H1336">
            <v>2568.9228253646502</v>
          </cell>
          <cell r="I1336">
            <v>22</v>
          </cell>
          <cell r="J1336">
            <v>5.29081703461997E-5</v>
          </cell>
          <cell r="K1336">
            <v>2970</v>
          </cell>
          <cell r="L1336">
            <v>18.425631411672001</v>
          </cell>
          <cell r="M1336">
            <v>2469</v>
          </cell>
          <cell r="N1336">
            <v>2.0176686992358899E-3</v>
          </cell>
          <cell r="O1336">
            <v>2476</v>
          </cell>
          <cell r="P1336">
            <v>0.05</v>
          </cell>
          <cell r="Q1336">
            <v>1991</v>
          </cell>
        </row>
        <row r="1337">
          <cell r="B1337" t="str">
            <v>HALF MOON BAY 11012500</v>
          </cell>
          <cell r="C1337">
            <v>24101101</v>
          </cell>
          <cell r="D1337" t="str">
            <v>HALF MOON BAY 1101</v>
          </cell>
          <cell r="E1337">
            <v>2500</v>
          </cell>
          <cell r="F1337" t="b">
            <v>0</v>
          </cell>
          <cell r="G1337">
            <v>11167.091115703201</v>
          </cell>
          <cell r="H1337">
            <v>10490.7768335361</v>
          </cell>
          <cell r="I1337">
            <v>74</v>
          </cell>
          <cell r="J1337">
            <v>1.5128083583003401E-4</v>
          </cell>
          <cell r="K1337">
            <v>727</v>
          </cell>
          <cell r="L1337">
            <v>218.79891655826501</v>
          </cell>
          <cell r="M1337">
            <v>1608</v>
          </cell>
          <cell r="N1337">
            <v>3.2242564537605198E-2</v>
          </cell>
          <cell r="O1337">
            <v>1424</v>
          </cell>
          <cell r="P1337">
            <v>57.37</v>
          </cell>
          <cell r="Q1337">
            <v>96</v>
          </cell>
        </row>
        <row r="1338">
          <cell r="B1338" t="str">
            <v>HALF MOON BAY 110148868</v>
          </cell>
          <cell r="C1338">
            <v>24101101</v>
          </cell>
          <cell r="D1338" t="str">
            <v>HALF MOON BAY 1101</v>
          </cell>
          <cell r="E1338">
            <v>48868</v>
          </cell>
          <cell r="F1338" t="b">
            <v>1</v>
          </cell>
          <cell r="G1338">
            <v>3010.8680242718401</v>
          </cell>
          <cell r="H1338">
            <v>0</v>
          </cell>
          <cell r="I1338">
            <v>21</v>
          </cell>
          <cell r="J1338">
            <v>2.3959046802701701E-5</v>
          </cell>
          <cell r="K1338">
            <v>3505</v>
          </cell>
          <cell r="L1338">
            <v>3.0774959112916598</v>
          </cell>
          <cell r="M1338">
            <v>2810</v>
          </cell>
          <cell r="N1338">
            <v>2.8315644086463702E-4</v>
          </cell>
          <cell r="O1338">
            <v>2802</v>
          </cell>
          <cell r="P1338">
            <v>0.31</v>
          </cell>
          <cell r="Q1338">
            <v>997</v>
          </cell>
        </row>
        <row r="1339">
          <cell r="B1339" t="str">
            <v>HALF MOON BAY 1101771258</v>
          </cell>
          <cell r="C1339">
            <v>24101101</v>
          </cell>
          <cell r="D1339" t="str">
            <v>HALF MOON BAY 1101</v>
          </cell>
          <cell r="E1339">
            <v>771258</v>
          </cell>
          <cell r="F1339" t="b">
            <v>1</v>
          </cell>
          <cell r="G1339">
            <v>308.35784023979897</v>
          </cell>
          <cell r="H1339">
            <v>308.35784023979897</v>
          </cell>
          <cell r="I1339">
            <v>4</v>
          </cell>
          <cell r="J1339">
            <v>6.8099421241640798E-5</v>
          </cell>
          <cell r="K1339">
            <v>2532</v>
          </cell>
          <cell r="L1339">
            <v>427.98940918594599</v>
          </cell>
          <cell r="M1339">
            <v>1262</v>
          </cell>
          <cell r="N1339">
            <v>2.1483647917900101E-2</v>
          </cell>
          <cell r="O1339">
            <v>1640</v>
          </cell>
          <cell r="Q1339">
            <v>3432</v>
          </cell>
        </row>
        <row r="1340">
          <cell r="B1340" t="str">
            <v>HALF MOON BAY 1101818874</v>
          </cell>
          <cell r="C1340">
            <v>24101101</v>
          </cell>
          <cell r="D1340" t="str">
            <v>HALF MOON BAY 1101</v>
          </cell>
          <cell r="E1340">
            <v>818874</v>
          </cell>
          <cell r="F1340" t="b">
            <v>0</v>
          </cell>
          <cell r="G1340">
            <v>10865.8424054098</v>
          </cell>
          <cell r="H1340">
            <v>9148.5424977758994</v>
          </cell>
          <cell r="I1340">
            <v>42</v>
          </cell>
          <cell r="J1340">
            <v>8.8075034671505995E-5</v>
          </cell>
          <cell r="K1340">
            <v>1981</v>
          </cell>
          <cell r="L1340">
            <v>323.26055084789698</v>
          </cell>
          <cell r="M1340">
            <v>1408</v>
          </cell>
          <cell r="N1340">
            <v>2.7079849512668001E-2</v>
          </cell>
          <cell r="O1340">
            <v>1512</v>
          </cell>
          <cell r="Q1340">
            <v>3177</v>
          </cell>
        </row>
        <row r="1341">
          <cell r="B1341" t="str">
            <v>HALF MOON BAY 1101821698</v>
          </cell>
          <cell r="C1341">
            <v>24101101</v>
          </cell>
          <cell r="D1341" t="str">
            <v>HALF MOON BAY 1101</v>
          </cell>
          <cell r="E1341">
            <v>821698</v>
          </cell>
          <cell r="F1341" t="b">
            <v>0</v>
          </cell>
          <cell r="G1341">
            <v>1364.92686678683</v>
          </cell>
          <cell r="H1341">
            <v>1364.92686678683</v>
          </cell>
          <cell r="I1341">
            <v>9</v>
          </cell>
          <cell r="J1341">
            <v>5.5292604277686502E-5</v>
          </cell>
          <cell r="K1341">
            <v>2904</v>
          </cell>
          <cell r="L1341">
            <v>187.65868423713499</v>
          </cell>
          <cell r="M1341">
            <v>1667</v>
          </cell>
          <cell r="N1341">
            <v>6.0007581621623002E-3</v>
          </cell>
          <cell r="O1341">
            <v>2154</v>
          </cell>
          <cell r="Q1341">
            <v>3345</v>
          </cell>
        </row>
        <row r="1342">
          <cell r="B1342" t="str">
            <v>HALF MOON BAY 11018902</v>
          </cell>
          <cell r="C1342">
            <v>24101101</v>
          </cell>
          <cell r="D1342" t="str">
            <v>HALF MOON BAY 1101</v>
          </cell>
          <cell r="E1342">
            <v>8902</v>
          </cell>
          <cell r="F1342" t="b">
            <v>0</v>
          </cell>
          <cell r="G1342">
            <v>29281.888641645899</v>
          </cell>
          <cell r="H1342">
            <v>22787.129566574102</v>
          </cell>
          <cell r="I1342">
            <v>145</v>
          </cell>
          <cell r="J1342">
            <v>9.4843324137667593E-5</v>
          </cell>
          <cell r="K1342">
            <v>1771</v>
          </cell>
          <cell r="L1342">
            <v>290.93811801820902</v>
          </cell>
          <cell r="M1342">
            <v>1462</v>
          </cell>
          <cell r="N1342">
            <v>3.6495708827790498E-2</v>
          </cell>
          <cell r="O1342">
            <v>1344</v>
          </cell>
          <cell r="P1342">
            <v>0.33</v>
          </cell>
          <cell r="Q1342">
            <v>986</v>
          </cell>
        </row>
        <row r="1343">
          <cell r="B1343" t="str">
            <v>HALF MOON BAY 1101903182</v>
          </cell>
          <cell r="C1343">
            <v>24101101</v>
          </cell>
          <cell r="D1343" t="str">
            <v>HALF MOON BAY 1101</v>
          </cell>
          <cell r="E1343">
            <v>903182</v>
          </cell>
          <cell r="F1343" t="b">
            <v>0</v>
          </cell>
          <cell r="G1343">
            <v>1770.37549735121</v>
          </cell>
          <cell r="H1343">
            <v>1052.7078228942801</v>
          </cell>
          <cell r="I1343">
            <v>15</v>
          </cell>
          <cell r="J1343">
            <v>5.4675637390270502E-5</v>
          </cell>
          <cell r="K1343">
            <v>2927</v>
          </cell>
          <cell r="L1343">
            <v>4.2832064315676597</v>
          </cell>
          <cell r="M1343">
            <v>2774</v>
          </cell>
          <cell r="N1343">
            <v>4.0532944655191497E-4</v>
          </cell>
          <cell r="O1343">
            <v>2761</v>
          </cell>
          <cell r="Q1343">
            <v>3258</v>
          </cell>
        </row>
        <row r="1344">
          <cell r="B1344" t="str">
            <v>HALF MOON BAY 1101CB</v>
          </cell>
          <cell r="C1344">
            <v>24101101</v>
          </cell>
          <cell r="D1344" t="str">
            <v>HALF MOON BAY 1101</v>
          </cell>
          <cell r="E1344" t="str">
            <v>CB</v>
          </cell>
          <cell r="F1344" t="b">
            <v>0</v>
          </cell>
          <cell r="G1344">
            <v>10068.884605847201</v>
          </cell>
          <cell r="H1344">
            <v>2571.5147504177999</v>
          </cell>
          <cell r="I1344">
            <v>80</v>
          </cell>
          <cell r="J1344">
            <v>4.1301093262195997E-5</v>
          </cell>
          <cell r="K1344">
            <v>3240</v>
          </cell>
          <cell r="L1344">
            <v>78.394332759082303</v>
          </cell>
          <cell r="M1344">
            <v>2057</v>
          </cell>
          <cell r="N1344">
            <v>2.5158422455305298E-3</v>
          </cell>
          <cell r="O1344">
            <v>2409</v>
          </cell>
          <cell r="P1344">
            <v>0.42</v>
          </cell>
          <cell r="Q1344">
            <v>929</v>
          </cell>
        </row>
        <row r="1345">
          <cell r="B1345" t="str">
            <v>HALF MOON BAY 11022032</v>
          </cell>
          <cell r="C1345">
            <v>24101102</v>
          </cell>
          <cell r="D1345" t="str">
            <v>HALF MOON BAY 1102</v>
          </cell>
          <cell r="E1345">
            <v>2032</v>
          </cell>
          <cell r="F1345" t="b">
            <v>1</v>
          </cell>
          <cell r="G1345">
            <v>14427.8487151635</v>
          </cell>
          <cell r="H1345">
            <v>905.53450949452497</v>
          </cell>
          <cell r="I1345">
            <v>103</v>
          </cell>
          <cell r="J1345">
            <v>2.53786602213519E-5</v>
          </cell>
          <cell r="K1345">
            <v>3492</v>
          </cell>
          <cell r="L1345">
            <v>0.98818137207366796</v>
          </cell>
          <cell r="M1345">
            <v>2894</v>
          </cell>
          <cell r="N1345">
            <v>1.0630284144037E-4</v>
          </cell>
          <cell r="O1345">
            <v>2874</v>
          </cell>
          <cell r="P1345">
            <v>0.14000000000000001</v>
          </cell>
          <cell r="Q1345">
            <v>1323</v>
          </cell>
        </row>
        <row r="1346">
          <cell r="B1346" t="str">
            <v>HALF MOON BAY 1102350336</v>
          </cell>
          <cell r="C1346">
            <v>24101102</v>
          </cell>
          <cell r="D1346" t="str">
            <v>HALF MOON BAY 1102</v>
          </cell>
          <cell r="E1346">
            <v>350336</v>
          </cell>
          <cell r="F1346" t="b">
            <v>0</v>
          </cell>
          <cell r="G1346">
            <v>2699.1632233220198</v>
          </cell>
          <cell r="H1346">
            <v>1936.9418433251899</v>
          </cell>
          <cell r="I1346">
            <v>13</v>
          </cell>
          <cell r="J1346">
            <v>7.7557867510992E-5</v>
          </cell>
          <cell r="K1346">
            <v>2276</v>
          </cell>
          <cell r="L1346">
            <v>139.025533230832</v>
          </cell>
          <cell r="M1346">
            <v>1813</v>
          </cell>
          <cell r="N1346">
            <v>1.1628791005270801E-2</v>
          </cell>
          <cell r="O1346">
            <v>1896</v>
          </cell>
          <cell r="Q1346">
            <v>3323</v>
          </cell>
        </row>
        <row r="1347">
          <cell r="B1347" t="str">
            <v>HALF MOON BAY 110258448</v>
          </cell>
          <cell r="C1347">
            <v>24101102</v>
          </cell>
          <cell r="D1347" t="str">
            <v>HALF MOON BAY 1102</v>
          </cell>
          <cell r="E1347">
            <v>58448</v>
          </cell>
          <cell r="F1347" t="b">
            <v>0</v>
          </cell>
          <cell r="G1347">
            <v>7774.1255986209298</v>
          </cell>
          <cell r="H1347">
            <v>7141.1011897930703</v>
          </cell>
          <cell r="I1347">
            <v>22</v>
          </cell>
          <cell r="J1347">
            <v>8.8642644641367897E-5</v>
          </cell>
          <cell r="K1347">
            <v>1966</v>
          </cell>
          <cell r="L1347">
            <v>261.63093465295702</v>
          </cell>
          <cell r="M1347">
            <v>1519</v>
          </cell>
          <cell r="N1347">
            <v>2.2766277452922701E-2</v>
          </cell>
          <cell r="O1347">
            <v>1610</v>
          </cell>
          <cell r="Q1347">
            <v>3368</v>
          </cell>
        </row>
        <row r="1348">
          <cell r="B1348" t="str">
            <v>HALF MOON BAY 1102650808</v>
          </cell>
          <cell r="C1348">
            <v>24101102</v>
          </cell>
          <cell r="D1348" t="str">
            <v>HALF MOON BAY 1102</v>
          </cell>
          <cell r="E1348">
            <v>650808</v>
          </cell>
          <cell r="F1348" t="b">
            <v>1</v>
          </cell>
          <cell r="G1348">
            <v>998.35723941225694</v>
          </cell>
          <cell r="H1348">
            <v>843.35917211127196</v>
          </cell>
          <cell r="I1348">
            <v>8</v>
          </cell>
          <cell r="J1348">
            <v>5.32637984633765E-5</v>
          </cell>
          <cell r="K1348">
            <v>2957</v>
          </cell>
          <cell r="L1348">
            <v>6.8807845003902898E-2</v>
          </cell>
          <cell r="M1348">
            <v>2945</v>
          </cell>
          <cell r="N1348">
            <v>3.6894336562338602E-6</v>
          </cell>
          <cell r="O1348">
            <v>3353</v>
          </cell>
          <cell r="Q1348">
            <v>3257</v>
          </cell>
        </row>
        <row r="1349">
          <cell r="B1349" t="str">
            <v>HALF MOON BAY 1102863822</v>
          </cell>
          <cell r="C1349">
            <v>24101102</v>
          </cell>
          <cell r="D1349" t="str">
            <v>HALF MOON BAY 1102</v>
          </cell>
          <cell r="E1349">
            <v>863822</v>
          </cell>
          <cell r="F1349" t="b">
            <v>1</v>
          </cell>
          <cell r="G1349">
            <v>1030.95002107597</v>
          </cell>
          <cell r="H1349">
            <v>168.75191909192301</v>
          </cell>
          <cell r="I1349">
            <v>8</v>
          </cell>
          <cell r="J1349">
            <v>3.6716253362101202E-5</v>
          </cell>
          <cell r="K1349">
            <v>3321</v>
          </cell>
          <cell r="L1349">
            <v>27.816252452321301</v>
          </cell>
          <cell r="M1349">
            <v>2364</v>
          </cell>
          <cell r="N1349">
            <v>1.69325366724893E-3</v>
          </cell>
          <cell r="O1349">
            <v>2519</v>
          </cell>
          <cell r="Q1349">
            <v>2906</v>
          </cell>
        </row>
        <row r="1350">
          <cell r="B1350" t="str">
            <v>HALF MOON BAY 11028848</v>
          </cell>
          <cell r="C1350">
            <v>24101102</v>
          </cell>
          <cell r="D1350" t="str">
            <v>HALF MOON BAY 1102</v>
          </cell>
          <cell r="E1350">
            <v>8848</v>
          </cell>
          <cell r="F1350" t="b">
            <v>0</v>
          </cell>
          <cell r="G1350">
            <v>16215.078510082099</v>
          </cell>
          <cell r="H1350">
            <v>6200.2521091071803</v>
          </cell>
          <cell r="I1350">
            <v>117</v>
          </cell>
          <cell r="J1350">
            <v>6.6972053304950794E-5</v>
          </cell>
          <cell r="K1350">
            <v>2558</v>
          </cell>
          <cell r="L1350">
            <v>11.046056305114</v>
          </cell>
          <cell r="M1350">
            <v>2608</v>
          </cell>
          <cell r="N1350">
            <v>9.6384626866010195E-4</v>
          </cell>
          <cell r="O1350">
            <v>2643</v>
          </cell>
          <cell r="P1350">
            <v>0.22</v>
          </cell>
          <cell r="Q1350">
            <v>1123</v>
          </cell>
        </row>
        <row r="1351">
          <cell r="B1351" t="str">
            <v>HALF MOON BAY 1102CB</v>
          </cell>
          <cell r="C1351">
            <v>24101102</v>
          </cell>
          <cell r="D1351" t="str">
            <v>HALF MOON BAY 1102</v>
          </cell>
          <cell r="E1351" t="str">
            <v>CB</v>
          </cell>
          <cell r="F1351" t="b">
            <v>1</v>
          </cell>
          <cell r="G1351">
            <v>5451.3153750992797</v>
          </cell>
          <cell r="H1351">
            <v>266.96947728519802</v>
          </cell>
          <cell r="I1351">
            <v>50</v>
          </cell>
          <cell r="J1351">
            <v>3.1382128399854902E-5</v>
          </cell>
          <cell r="K1351">
            <v>3410</v>
          </cell>
          <cell r="L1351">
            <v>8.3027767144143496</v>
          </cell>
          <cell r="M1351">
            <v>2663</v>
          </cell>
          <cell r="N1351">
            <v>5.6030353544729398E-4</v>
          </cell>
          <cell r="O1351">
            <v>2718</v>
          </cell>
          <cell r="P1351">
            <v>0.02</v>
          </cell>
          <cell r="Q1351">
            <v>2459</v>
          </cell>
        </row>
        <row r="1352">
          <cell r="B1352" t="str">
            <v>HALF MOON BAY 1103341542</v>
          </cell>
          <cell r="C1352">
            <v>24101103</v>
          </cell>
          <cell r="D1352" t="str">
            <v>HALF MOON BAY 1103</v>
          </cell>
          <cell r="E1352">
            <v>341542</v>
          </cell>
          <cell r="F1352" t="b">
            <v>0</v>
          </cell>
          <cell r="G1352">
            <v>10584.3319701199</v>
          </cell>
          <cell r="H1352">
            <v>9768.7601982895903</v>
          </cell>
          <cell r="I1352">
            <v>47</v>
          </cell>
          <cell r="J1352">
            <v>8.7167243186235595E-5</v>
          </cell>
          <cell r="K1352">
            <v>2009</v>
          </cell>
          <cell r="L1352">
            <v>161.048384519422</v>
          </cell>
          <cell r="M1352">
            <v>1744</v>
          </cell>
          <cell r="N1352">
            <v>1.0885206222637601E-2</v>
          </cell>
          <cell r="O1352">
            <v>1927</v>
          </cell>
          <cell r="Q1352">
            <v>3412</v>
          </cell>
        </row>
        <row r="1353">
          <cell r="B1353" t="str">
            <v>HALF MOON BAY 1103531594</v>
          </cell>
          <cell r="C1353">
            <v>24101103</v>
          </cell>
          <cell r="D1353" t="str">
            <v>HALF MOON BAY 1103</v>
          </cell>
          <cell r="E1353">
            <v>531594</v>
          </cell>
          <cell r="F1353" t="b">
            <v>0</v>
          </cell>
          <cell r="G1353">
            <v>4284.54991967156</v>
          </cell>
          <cell r="H1353">
            <v>3998.7287430163101</v>
          </cell>
          <cell r="I1353">
            <v>25</v>
          </cell>
          <cell r="J1353">
            <v>5.9727221341745401E-5</v>
          </cell>
          <cell r="K1353">
            <v>2782</v>
          </cell>
          <cell r="L1353">
            <v>338.54342318415598</v>
          </cell>
          <cell r="M1353">
            <v>1391</v>
          </cell>
          <cell r="N1353">
            <v>2.2917064207498401E-2</v>
          </cell>
          <cell r="O1353">
            <v>1603</v>
          </cell>
          <cell r="Q1353">
            <v>3558</v>
          </cell>
        </row>
        <row r="1354">
          <cell r="B1354" t="str">
            <v>HALF MOON BAY 1103540991</v>
          </cell>
          <cell r="C1354">
            <v>24101103</v>
          </cell>
          <cell r="D1354" t="str">
            <v>HALF MOON BAY 1103</v>
          </cell>
          <cell r="E1354">
            <v>540991</v>
          </cell>
          <cell r="F1354" t="b">
            <v>0</v>
          </cell>
          <cell r="G1354">
            <v>2594.67406260395</v>
          </cell>
          <cell r="H1354">
            <v>2544.5262105287002</v>
          </cell>
          <cell r="I1354">
            <v>16</v>
          </cell>
          <cell r="J1354">
            <v>6.9858701923900901E-5</v>
          </cell>
          <cell r="K1354">
            <v>2477</v>
          </cell>
          <cell r="L1354">
            <v>260.164993711747</v>
          </cell>
          <cell r="M1354">
            <v>1524</v>
          </cell>
          <cell r="N1354">
            <v>1.9417228290895299E-2</v>
          </cell>
          <cell r="O1354">
            <v>1682</v>
          </cell>
          <cell r="Q1354">
            <v>3290</v>
          </cell>
        </row>
        <row r="1355">
          <cell r="B1355" t="str">
            <v>HALF MOON BAY 11036012</v>
          </cell>
          <cell r="C1355">
            <v>24101103</v>
          </cell>
          <cell r="D1355" t="str">
            <v>HALF MOON BAY 1103</v>
          </cell>
          <cell r="E1355">
            <v>6012</v>
          </cell>
          <cell r="F1355" t="b">
            <v>0</v>
          </cell>
          <cell r="G1355">
            <v>15479.7976949478</v>
          </cell>
          <cell r="H1355">
            <v>10729.276379586299</v>
          </cell>
          <cell r="I1355">
            <v>79</v>
          </cell>
          <cell r="J1355">
            <v>9.0532571973129104E-5</v>
          </cell>
          <cell r="K1355">
            <v>1896</v>
          </cell>
          <cell r="L1355">
            <v>70.018000678725997</v>
          </cell>
          <cell r="M1355">
            <v>2095</v>
          </cell>
          <cell r="N1355">
            <v>5.4078483106597096E-3</v>
          </cell>
          <cell r="O1355">
            <v>2186</v>
          </cell>
          <cell r="P1355">
            <v>0.08</v>
          </cell>
          <cell r="Q1355">
            <v>1585</v>
          </cell>
        </row>
        <row r="1356">
          <cell r="B1356" t="str">
            <v>HALF MOON BAY 11036014</v>
          </cell>
          <cell r="C1356">
            <v>24101103</v>
          </cell>
          <cell r="D1356" t="str">
            <v>HALF MOON BAY 1103</v>
          </cell>
          <cell r="E1356">
            <v>6014</v>
          </cell>
          <cell r="F1356" t="b">
            <v>0</v>
          </cell>
          <cell r="G1356">
            <v>19985.203600147401</v>
          </cell>
          <cell r="H1356">
            <v>9962.9662500711092</v>
          </cell>
          <cell r="I1356">
            <v>106</v>
          </cell>
          <cell r="J1356">
            <v>7.6568378028154898E-5</v>
          </cell>
          <cell r="K1356">
            <v>2291</v>
          </cell>
          <cell r="L1356">
            <v>149.423224647582</v>
          </cell>
          <cell r="M1356">
            <v>1779</v>
          </cell>
          <cell r="N1356">
            <v>1.21383572594773E-2</v>
          </cell>
          <cell r="O1356">
            <v>1878</v>
          </cell>
          <cell r="P1356">
            <v>0.02</v>
          </cell>
          <cell r="Q1356">
            <v>2473</v>
          </cell>
        </row>
        <row r="1357">
          <cell r="B1357" t="str">
            <v>HALF MOON BAY 11036018</v>
          </cell>
          <cell r="C1357">
            <v>24101103</v>
          </cell>
          <cell r="D1357" t="str">
            <v>HALF MOON BAY 1103</v>
          </cell>
          <cell r="E1357">
            <v>6018</v>
          </cell>
          <cell r="F1357" t="b">
            <v>0</v>
          </cell>
          <cell r="G1357">
            <v>30239.533881482999</v>
          </cell>
          <cell r="H1357">
            <v>25219.552473106101</v>
          </cell>
          <cell r="I1357">
            <v>160</v>
          </cell>
          <cell r="J1357">
            <v>8.5245406447732893E-5</v>
          </cell>
          <cell r="K1357">
            <v>2048</v>
          </cell>
          <cell r="L1357">
            <v>248.645911749291</v>
          </cell>
          <cell r="M1357">
            <v>1544</v>
          </cell>
          <cell r="N1357">
            <v>1.9223189822898699E-2</v>
          </cell>
          <cell r="O1357">
            <v>1686</v>
          </cell>
          <cell r="P1357">
            <v>0.05</v>
          </cell>
          <cell r="Q1357">
            <v>1942</v>
          </cell>
        </row>
        <row r="1358">
          <cell r="B1358" t="str">
            <v>HALF MOON BAY 110369412</v>
          </cell>
          <cell r="C1358">
            <v>24101103</v>
          </cell>
          <cell r="D1358" t="str">
            <v>HALF MOON BAY 1103</v>
          </cell>
          <cell r="E1358">
            <v>69412</v>
          </cell>
          <cell r="F1358" t="b">
            <v>0</v>
          </cell>
          <cell r="G1358">
            <v>34124.525297524902</v>
          </cell>
          <cell r="H1358">
            <v>25048.7626184537</v>
          </cell>
          <cell r="I1358">
            <v>150</v>
          </cell>
          <cell r="J1358">
            <v>9.9166431903620106E-5</v>
          </cell>
          <cell r="K1358">
            <v>1664</v>
          </cell>
          <cell r="L1358">
            <v>96.719773757982594</v>
          </cell>
          <cell r="M1358">
            <v>1975</v>
          </cell>
          <cell r="N1358">
            <v>7.8448213061737201E-3</v>
          </cell>
          <cell r="O1358">
            <v>2055</v>
          </cell>
          <cell r="P1358">
            <v>0.06</v>
          </cell>
          <cell r="Q1358">
            <v>1862</v>
          </cell>
        </row>
        <row r="1359">
          <cell r="B1359" t="str">
            <v>HALF MOON BAY 1103695411</v>
          </cell>
          <cell r="C1359">
            <v>24101103</v>
          </cell>
          <cell r="D1359" t="str">
            <v>HALF MOON BAY 1103</v>
          </cell>
          <cell r="E1359">
            <v>695411</v>
          </cell>
          <cell r="F1359" t="b">
            <v>0</v>
          </cell>
          <cell r="G1359">
            <v>13352.9729873384</v>
          </cell>
          <cell r="H1359">
            <v>13352.9729873384</v>
          </cell>
          <cell r="I1359">
            <v>99</v>
          </cell>
          <cell r="J1359">
            <v>1.31986473610999E-4</v>
          </cell>
          <cell r="K1359">
            <v>984</v>
          </cell>
          <cell r="L1359">
            <v>79.325261575991505</v>
          </cell>
          <cell r="M1359">
            <v>2051</v>
          </cell>
          <cell r="N1359">
            <v>7.52923004191078E-3</v>
          </cell>
          <cell r="O1359">
            <v>2072</v>
          </cell>
          <cell r="Q1359">
            <v>3065</v>
          </cell>
        </row>
        <row r="1360">
          <cell r="B1360" t="str">
            <v>HALF MOON BAY 11038089</v>
          </cell>
          <cell r="C1360">
            <v>24101103</v>
          </cell>
          <cell r="D1360" t="str">
            <v>HALF MOON BAY 1103</v>
          </cell>
          <cell r="E1360">
            <v>8089</v>
          </cell>
          <cell r="F1360" t="b">
            <v>0</v>
          </cell>
          <cell r="G1360">
            <v>4528.4761022031198</v>
          </cell>
          <cell r="H1360">
            <v>4528.4761022031198</v>
          </cell>
          <cell r="I1360">
            <v>29</v>
          </cell>
          <cell r="J1360">
            <v>1.08665781414762E-4</v>
          </cell>
          <cell r="K1360">
            <v>1432</v>
          </cell>
          <cell r="L1360">
            <v>3.3453468194254601</v>
          </cell>
          <cell r="M1360">
            <v>2802</v>
          </cell>
          <cell r="N1360">
            <v>3.66142783510381E-4</v>
          </cell>
          <cell r="O1360">
            <v>2775</v>
          </cell>
          <cell r="P1360">
            <v>4.59</v>
          </cell>
          <cell r="Q1360">
            <v>513</v>
          </cell>
        </row>
        <row r="1361">
          <cell r="B1361" t="str">
            <v>HALF MOON BAY 11038894</v>
          </cell>
          <cell r="C1361">
            <v>24101103</v>
          </cell>
          <cell r="D1361" t="str">
            <v>HALF MOON BAY 1103</v>
          </cell>
          <cell r="E1361">
            <v>8894</v>
          </cell>
          <cell r="F1361" t="b">
            <v>0</v>
          </cell>
          <cell r="G1361">
            <v>18146.6987584132</v>
          </cell>
          <cell r="H1361">
            <v>18102.284226915901</v>
          </cell>
          <cell r="I1361">
            <v>110</v>
          </cell>
          <cell r="J1361">
            <v>1.13017431965232E-4</v>
          </cell>
          <cell r="K1361">
            <v>1343</v>
          </cell>
          <cell r="L1361">
            <v>4.8208664026413599</v>
          </cell>
          <cell r="M1361">
            <v>2759</v>
          </cell>
          <cell r="N1361">
            <v>5.3494482585125303E-4</v>
          </cell>
          <cell r="O1361">
            <v>2725</v>
          </cell>
          <cell r="P1361">
            <v>5.41</v>
          </cell>
          <cell r="Q1361">
            <v>487</v>
          </cell>
        </row>
        <row r="1362">
          <cell r="B1362" t="str">
            <v>HALF MOON BAY 11038898</v>
          </cell>
          <cell r="C1362">
            <v>24101103</v>
          </cell>
          <cell r="D1362" t="str">
            <v>HALF MOON BAY 1103</v>
          </cell>
          <cell r="E1362">
            <v>8898</v>
          </cell>
          <cell r="F1362" t="b">
            <v>0</v>
          </cell>
          <cell r="G1362">
            <v>1034.8012919688199</v>
          </cell>
          <cell r="H1362">
            <v>1034.8012919688199</v>
          </cell>
          <cell r="I1362">
            <v>9</v>
          </cell>
          <cell r="J1362">
            <v>1.7399125580494799E-4</v>
          </cell>
          <cell r="K1362">
            <v>534</v>
          </cell>
          <cell r="L1362">
            <v>6.6431229729116206E-2</v>
          </cell>
          <cell r="M1362">
            <v>3061</v>
          </cell>
          <cell r="N1362">
            <v>1.15584530852359E-5</v>
          </cell>
          <cell r="O1362">
            <v>3039</v>
          </cell>
          <cell r="P1362">
            <v>0.71</v>
          </cell>
          <cell r="Q1362">
            <v>804</v>
          </cell>
        </row>
        <row r="1363">
          <cell r="B1363" t="str">
            <v>HALF MOON BAY 11038920</v>
          </cell>
          <cell r="C1363">
            <v>24101103</v>
          </cell>
          <cell r="D1363" t="str">
            <v>HALF MOON BAY 1103</v>
          </cell>
          <cell r="E1363">
            <v>8920</v>
          </cell>
          <cell r="F1363" t="b">
            <v>1</v>
          </cell>
          <cell r="G1363">
            <v>158.12419485431201</v>
          </cell>
          <cell r="H1363">
            <v>158.12419485431201</v>
          </cell>
          <cell r="I1363">
            <v>2</v>
          </cell>
          <cell r="J1363">
            <v>1.7718401068123001E-4</v>
          </cell>
          <cell r="K1363">
            <v>518</v>
          </cell>
          <cell r="L1363">
            <v>499.49117145592601</v>
          </cell>
          <cell r="M1363">
            <v>1200</v>
          </cell>
          <cell r="N1363">
            <v>6.9477153833389496E-2</v>
          </cell>
          <cell r="O1363">
            <v>982</v>
          </cell>
          <cell r="P1363">
            <v>0.19</v>
          </cell>
          <cell r="Q1363">
            <v>1196</v>
          </cell>
        </row>
        <row r="1364">
          <cell r="B1364" t="str">
            <v>HALF MOON BAY 11039112</v>
          </cell>
          <cell r="C1364">
            <v>24101103</v>
          </cell>
          <cell r="D1364" t="str">
            <v>HALF MOON BAY 1103</v>
          </cell>
          <cell r="E1364">
            <v>9112</v>
          </cell>
          <cell r="F1364" t="b">
            <v>0</v>
          </cell>
          <cell r="G1364">
            <v>8500.5119038356806</v>
          </cell>
          <cell r="H1364">
            <v>1386.5142994319999</v>
          </cell>
          <cell r="I1364">
            <v>68</v>
          </cell>
          <cell r="J1364">
            <v>4.4335001555384099E-5</v>
          </cell>
          <cell r="K1364">
            <v>3182</v>
          </cell>
          <cell r="L1364">
            <v>101.786124661236</v>
          </cell>
          <cell r="M1364">
            <v>1948</v>
          </cell>
          <cell r="N1364">
            <v>6.0009058748584296E-3</v>
          </cell>
          <cell r="O1364">
            <v>2153</v>
          </cell>
          <cell r="P1364">
            <v>0.04</v>
          </cell>
          <cell r="Q1364">
            <v>2214</v>
          </cell>
        </row>
        <row r="1365">
          <cell r="B1365" t="str">
            <v>HALF MOON BAY 1103H80</v>
          </cell>
          <cell r="C1365">
            <v>24101103</v>
          </cell>
          <cell r="D1365" t="str">
            <v>HALF MOON BAY 1103</v>
          </cell>
          <cell r="E1365" t="str">
            <v>H80</v>
          </cell>
          <cell r="F1365" t="b">
            <v>0</v>
          </cell>
          <cell r="G1365">
            <v>31889.193957833799</v>
          </cell>
          <cell r="H1365">
            <v>31889.193957833799</v>
          </cell>
          <cell r="I1365">
            <v>164</v>
          </cell>
          <cell r="J1365">
            <v>9.8879976723301901E-5</v>
          </cell>
          <cell r="K1365">
            <v>1673</v>
          </cell>
          <cell r="L1365">
            <v>213.265659560275</v>
          </cell>
          <cell r="M1365">
            <v>1612</v>
          </cell>
          <cell r="N1365">
            <v>1.8248230678138001E-2</v>
          </cell>
          <cell r="O1365">
            <v>1698</v>
          </cell>
          <cell r="Q1365">
            <v>2739</v>
          </cell>
        </row>
        <row r="1366">
          <cell r="B1366" t="str">
            <v>HALF MOON BAY 1103H82</v>
          </cell>
          <cell r="C1366">
            <v>24101103</v>
          </cell>
          <cell r="D1366" t="str">
            <v>HALF MOON BAY 1103</v>
          </cell>
          <cell r="E1366" t="str">
            <v>H82</v>
          </cell>
          <cell r="F1366" t="b">
            <v>0</v>
          </cell>
          <cell r="G1366">
            <v>58651.475497125102</v>
          </cell>
          <cell r="H1366">
            <v>52489.340150189499</v>
          </cell>
          <cell r="I1366">
            <v>262</v>
          </cell>
          <cell r="J1366">
            <v>9.3414280053994898E-5</v>
          </cell>
          <cell r="K1366">
            <v>1811</v>
          </cell>
          <cell r="L1366">
            <v>388.90880828456301</v>
          </cell>
          <cell r="M1366">
            <v>1307</v>
          </cell>
          <cell r="N1366">
            <v>3.3242386241886301E-2</v>
          </cell>
          <cell r="O1366">
            <v>1402</v>
          </cell>
          <cell r="P1366">
            <v>0.77</v>
          </cell>
          <cell r="Q1366">
            <v>782</v>
          </cell>
        </row>
        <row r="1367">
          <cell r="B1367" t="str">
            <v>HALSEY 11011704</v>
          </cell>
          <cell r="C1367">
            <v>152241101</v>
          </cell>
          <cell r="D1367" t="str">
            <v>HALSEY 1101</v>
          </cell>
          <cell r="E1367">
            <v>1704</v>
          </cell>
          <cell r="F1367" t="b">
            <v>0</v>
          </cell>
          <cell r="G1367">
            <v>21239.391650775098</v>
          </cell>
          <cell r="H1367">
            <v>21231.818487019202</v>
          </cell>
          <cell r="I1367">
            <v>160</v>
          </cell>
          <cell r="J1367">
            <v>1.2962090899009101E-4</v>
          </cell>
          <cell r="K1367">
            <v>1014</v>
          </cell>
          <cell r="L1367">
            <v>19.378632352244502</v>
          </cell>
          <cell r="M1367">
            <v>2457</v>
          </cell>
          <cell r="N1367">
            <v>1.82301884239781E-3</v>
          </cell>
          <cell r="O1367">
            <v>2500</v>
          </cell>
          <cell r="P1367">
            <v>0.18</v>
          </cell>
          <cell r="Q1367">
            <v>1207</v>
          </cell>
        </row>
        <row r="1368">
          <cell r="B1368" t="str">
            <v>HALSEY 11012414</v>
          </cell>
          <cell r="C1368">
            <v>152241101</v>
          </cell>
          <cell r="D1368" t="str">
            <v>HALSEY 1101</v>
          </cell>
          <cell r="E1368">
            <v>2414</v>
          </cell>
          <cell r="F1368" t="b">
            <v>0</v>
          </cell>
          <cell r="G1368">
            <v>23793.414969799102</v>
          </cell>
          <cell r="H1368">
            <v>23793.414969799102</v>
          </cell>
          <cell r="I1368">
            <v>168</v>
          </cell>
          <cell r="J1368">
            <v>1.45667863892283E-4</v>
          </cell>
          <cell r="K1368">
            <v>794</v>
          </cell>
          <cell r="L1368">
            <v>312.36285922510302</v>
          </cell>
          <cell r="M1368">
            <v>1427</v>
          </cell>
          <cell r="N1368">
            <v>3.3488809307909997E-2</v>
          </cell>
          <cell r="O1368">
            <v>1399</v>
          </cell>
          <cell r="P1368">
            <v>0.1</v>
          </cell>
          <cell r="Q1368">
            <v>1503</v>
          </cell>
        </row>
        <row r="1369">
          <cell r="B1369" t="str">
            <v>HALSEY 11015731</v>
          </cell>
          <cell r="C1369">
            <v>152241101</v>
          </cell>
          <cell r="D1369" t="str">
            <v>HALSEY 1101</v>
          </cell>
          <cell r="E1369">
            <v>5731</v>
          </cell>
          <cell r="F1369" t="b">
            <v>0</v>
          </cell>
          <cell r="G1369">
            <v>5029.61936638725</v>
          </cell>
          <cell r="H1369">
            <v>5029.61936638725</v>
          </cell>
          <cell r="I1369">
            <v>41</v>
          </cell>
          <cell r="J1369">
            <v>1.55469076317541E-4</v>
          </cell>
          <cell r="K1369">
            <v>690</v>
          </cell>
          <cell r="L1369">
            <v>3.5443718519463601</v>
          </cell>
          <cell r="M1369">
            <v>2790</v>
          </cell>
          <cell r="N1369">
            <v>1.00668344734926E-3</v>
          </cell>
          <cell r="O1369">
            <v>2629</v>
          </cell>
          <cell r="P1369">
            <v>0.05</v>
          </cell>
          <cell r="Q1369">
            <v>1973</v>
          </cell>
        </row>
        <row r="1370">
          <cell r="B1370" t="str">
            <v>HALSEY 110176178</v>
          </cell>
          <cell r="C1370">
            <v>152241101</v>
          </cell>
          <cell r="D1370" t="str">
            <v>HALSEY 1101</v>
          </cell>
          <cell r="E1370">
            <v>76178</v>
          </cell>
          <cell r="F1370" t="b">
            <v>0</v>
          </cell>
          <cell r="G1370">
            <v>32532.304768140599</v>
          </cell>
          <cell r="H1370">
            <v>32532.304768140599</v>
          </cell>
          <cell r="I1370">
            <v>248</v>
          </cell>
          <cell r="J1370">
            <v>1.21771266330242E-4</v>
          </cell>
          <cell r="K1370">
            <v>1150</v>
          </cell>
          <cell r="L1370">
            <v>3.1330029521363798</v>
          </cell>
          <cell r="M1370">
            <v>2805</v>
          </cell>
          <cell r="N1370">
            <v>1.5934435227290801E-4</v>
          </cell>
          <cell r="O1370">
            <v>2852</v>
          </cell>
          <cell r="P1370">
            <v>0.13</v>
          </cell>
          <cell r="Q1370">
            <v>1361</v>
          </cell>
        </row>
        <row r="1371">
          <cell r="B1371" t="str">
            <v>HALSEY 1101CB</v>
          </cell>
          <cell r="C1371">
            <v>152241101</v>
          </cell>
          <cell r="D1371" t="str">
            <v>HALSEY 1101</v>
          </cell>
          <cell r="E1371" t="str">
            <v>CB</v>
          </cell>
          <cell r="F1371" t="b">
            <v>0</v>
          </cell>
          <cell r="G1371">
            <v>27644.348651867698</v>
          </cell>
          <cell r="H1371">
            <v>27644.348651867698</v>
          </cell>
          <cell r="I1371">
            <v>231</v>
          </cell>
          <cell r="J1371">
            <v>1.60532594669521E-4</v>
          </cell>
          <cell r="K1371">
            <v>637</v>
          </cell>
          <cell r="L1371">
            <v>70.336267022987201</v>
          </cell>
          <cell r="M1371">
            <v>2092</v>
          </cell>
          <cell r="N1371">
            <v>8.4421913590241194E-3</v>
          </cell>
          <cell r="O1371">
            <v>2035</v>
          </cell>
          <cell r="P1371">
            <v>0.21</v>
          </cell>
          <cell r="Q1371">
            <v>1148</v>
          </cell>
        </row>
        <row r="1372">
          <cell r="B1372" t="str">
            <v>HALSEY 11022514</v>
          </cell>
          <cell r="C1372">
            <v>152241102</v>
          </cell>
          <cell r="D1372" t="str">
            <v>HALSEY 1102</v>
          </cell>
          <cell r="E1372">
            <v>2514</v>
          </cell>
          <cell r="F1372" t="b">
            <v>0</v>
          </cell>
          <cell r="G1372">
            <v>31420.496525235099</v>
          </cell>
          <cell r="H1372">
            <v>17648.497858532501</v>
          </cell>
          <cell r="I1372">
            <v>212</v>
          </cell>
          <cell r="J1372">
            <v>1.9439272728050101E-4</v>
          </cell>
          <cell r="K1372">
            <v>421</v>
          </cell>
          <cell r="L1372">
            <v>17.578907749288799</v>
          </cell>
          <cell r="M1372">
            <v>2488</v>
          </cell>
          <cell r="N1372">
            <v>2.16865303733247E-3</v>
          </cell>
          <cell r="O1372">
            <v>2458</v>
          </cell>
          <cell r="P1372">
            <v>0.04</v>
          </cell>
          <cell r="Q1372">
            <v>2164</v>
          </cell>
        </row>
        <row r="1373">
          <cell r="B1373" t="str">
            <v>HALSEY 110239104</v>
          </cell>
          <cell r="C1373">
            <v>152241102</v>
          </cell>
          <cell r="D1373" t="str">
            <v>HALSEY 1102</v>
          </cell>
          <cell r="E1373">
            <v>39104</v>
          </cell>
          <cell r="F1373" t="b">
            <v>0</v>
          </cell>
          <cell r="G1373">
            <v>49366.034952296199</v>
          </cell>
          <cell r="H1373">
            <v>49366.034952296199</v>
          </cell>
          <cell r="I1373">
            <v>346</v>
          </cell>
          <cell r="J1373">
            <v>1.6953016265820099E-4</v>
          </cell>
          <cell r="K1373">
            <v>566</v>
          </cell>
          <cell r="L1373">
            <v>33.517317870221497</v>
          </cell>
          <cell r="M1373">
            <v>2314</v>
          </cell>
          <cell r="N1373">
            <v>7.8879525341243092E-3</v>
          </cell>
          <cell r="O1373">
            <v>2052</v>
          </cell>
          <cell r="P1373">
            <v>0.26</v>
          </cell>
          <cell r="Q1373">
            <v>1066</v>
          </cell>
        </row>
        <row r="1374">
          <cell r="B1374" t="str">
            <v>HALSEY 11025739</v>
          </cell>
          <cell r="C1374">
            <v>152241102</v>
          </cell>
          <cell r="D1374" t="str">
            <v>HALSEY 1102</v>
          </cell>
          <cell r="E1374">
            <v>5739</v>
          </cell>
          <cell r="F1374" t="b">
            <v>0</v>
          </cell>
          <cell r="G1374">
            <v>10731.869615722</v>
          </cell>
          <cell r="H1374">
            <v>10731.869615722</v>
          </cell>
          <cell r="I1374">
            <v>74</v>
          </cell>
          <cell r="J1374">
            <v>1.4981945226994601E-4</v>
          </cell>
          <cell r="K1374">
            <v>740</v>
          </cell>
          <cell r="L1374">
            <v>107.980542688192</v>
          </cell>
          <cell r="M1374">
            <v>1917</v>
          </cell>
          <cell r="N1374">
            <v>1.2581614568608099E-2</v>
          </cell>
          <cell r="O1374">
            <v>1857</v>
          </cell>
          <cell r="P1374">
            <v>0.05</v>
          </cell>
          <cell r="Q1374">
            <v>2052</v>
          </cell>
        </row>
        <row r="1375">
          <cell r="B1375" t="str">
            <v>HALSEY 11026129</v>
          </cell>
          <cell r="C1375">
            <v>152241102</v>
          </cell>
          <cell r="D1375" t="str">
            <v>HALSEY 1102</v>
          </cell>
          <cell r="E1375">
            <v>6129</v>
          </cell>
          <cell r="F1375" t="b">
            <v>0</v>
          </cell>
          <cell r="G1375">
            <v>5155.4944213009203</v>
          </cell>
          <cell r="H1375">
            <v>5155.4944213009203</v>
          </cell>
          <cell r="I1375">
            <v>39</v>
          </cell>
          <cell r="J1375">
            <v>1.4349813351052399E-4</v>
          </cell>
          <cell r="K1375">
            <v>819</v>
          </cell>
          <cell r="L1375">
            <v>6.6431531992944007E-2</v>
          </cell>
          <cell r="M1375">
            <v>3007</v>
          </cell>
          <cell r="N1375">
            <v>9.5328008472321504E-6</v>
          </cell>
          <cell r="O1375">
            <v>3077</v>
          </cell>
          <cell r="P1375">
            <v>0.06</v>
          </cell>
          <cell r="Q1375">
            <v>1793</v>
          </cell>
        </row>
        <row r="1376">
          <cell r="B1376" t="str">
            <v>HALSEY 1102CB</v>
          </cell>
          <cell r="C1376">
            <v>152241102</v>
          </cell>
          <cell r="D1376" t="str">
            <v>HALSEY 1102</v>
          </cell>
          <cell r="E1376" t="str">
            <v>CB</v>
          </cell>
          <cell r="F1376" t="b">
            <v>0</v>
          </cell>
          <cell r="G1376">
            <v>12882.1278240397</v>
          </cell>
          <cell r="H1376">
            <v>12682.5012973722</v>
          </cell>
          <cell r="I1376">
            <v>86</v>
          </cell>
          <cell r="J1376">
            <v>2.8931582820341801E-4</v>
          </cell>
          <cell r="K1376">
            <v>141</v>
          </cell>
          <cell r="L1376">
            <v>75.417730429529797</v>
          </cell>
          <cell r="M1376">
            <v>2064</v>
          </cell>
          <cell r="N1376">
            <v>2.2171539836611399E-2</v>
          </cell>
          <cell r="O1376">
            <v>1627</v>
          </cell>
          <cell r="P1376">
            <v>7.0000000000000007E-2</v>
          </cell>
          <cell r="Q1376">
            <v>1701</v>
          </cell>
        </row>
        <row r="1377">
          <cell r="B1377" t="str">
            <v>HAMILTON BRANCH 11012046</v>
          </cell>
          <cell r="C1377">
            <v>102361101</v>
          </cell>
          <cell r="D1377" t="str">
            <v>HAMILTON BRANCH 1101</v>
          </cell>
          <cell r="E1377">
            <v>2046</v>
          </cell>
          <cell r="F1377" t="b">
            <v>0</v>
          </cell>
          <cell r="G1377">
            <v>14788.054300224199</v>
          </cell>
          <cell r="H1377">
            <v>14724.190035939</v>
          </cell>
          <cell r="I1377">
            <v>57</v>
          </cell>
          <cell r="J1377">
            <v>2.9134711042967201E-5</v>
          </cell>
          <cell r="K1377">
            <v>3438</v>
          </cell>
          <cell r="L1377">
            <v>49.519178855482998</v>
          </cell>
          <cell r="M1377">
            <v>2213</v>
          </cell>
          <cell r="N1377">
            <v>2.8140574474735999E-3</v>
          </cell>
          <cell r="O1377">
            <v>2371</v>
          </cell>
          <cell r="P1377">
            <v>3.25</v>
          </cell>
          <cell r="Q1377">
            <v>552</v>
          </cell>
        </row>
        <row r="1378">
          <cell r="B1378" t="str">
            <v>HAMILTON BRANCH 11012082</v>
          </cell>
          <cell r="C1378">
            <v>102361101</v>
          </cell>
          <cell r="D1378" t="str">
            <v>HAMILTON BRANCH 1101</v>
          </cell>
          <cell r="E1378">
            <v>2082</v>
          </cell>
          <cell r="F1378" t="b">
            <v>0</v>
          </cell>
          <cell r="G1378">
            <v>4925.5932717463402</v>
          </cell>
          <cell r="H1378">
            <v>2445.1964660927101</v>
          </cell>
          <cell r="I1378">
            <v>46</v>
          </cell>
          <cell r="J1378">
            <v>3.27577360582401E-5</v>
          </cell>
          <cell r="K1378">
            <v>3390</v>
          </cell>
          <cell r="L1378">
            <v>6.5762070537459194E-2</v>
          </cell>
          <cell r="M1378">
            <v>3292</v>
          </cell>
          <cell r="N1378">
            <v>2.1551876651751302E-6</v>
          </cell>
          <cell r="O1378">
            <v>3497</v>
          </cell>
          <cell r="P1378">
            <v>0.08</v>
          </cell>
          <cell r="Q1378">
            <v>1612</v>
          </cell>
        </row>
        <row r="1379">
          <cell r="B1379" t="str">
            <v>HAMILTON BRANCH 11012436</v>
          </cell>
          <cell r="C1379">
            <v>102361101</v>
          </cell>
          <cell r="D1379" t="str">
            <v>HAMILTON BRANCH 1101</v>
          </cell>
          <cell r="E1379">
            <v>2436</v>
          </cell>
          <cell r="F1379" t="b">
            <v>0</v>
          </cell>
          <cell r="G1379">
            <v>8535.8961138935192</v>
          </cell>
          <cell r="H1379">
            <v>8535.8961138935192</v>
          </cell>
          <cell r="I1379">
            <v>19</v>
          </cell>
          <cell r="J1379">
            <v>3.5783011897269397E-5</v>
          </cell>
          <cell r="K1379">
            <v>3338</v>
          </cell>
          <cell r="L1379">
            <v>86.470336154517895</v>
          </cell>
          <cell r="M1379">
            <v>2020</v>
          </cell>
          <cell r="N1379">
            <v>2.7597653274111199E-3</v>
          </cell>
          <cell r="O1379">
            <v>2374</v>
          </cell>
          <cell r="P1379">
            <v>0.06</v>
          </cell>
          <cell r="Q1379">
            <v>1878</v>
          </cell>
        </row>
        <row r="1380">
          <cell r="B1380" t="str">
            <v>HAMILTON BRANCH 11013049</v>
          </cell>
          <cell r="C1380">
            <v>102361101</v>
          </cell>
          <cell r="D1380" t="str">
            <v>HAMILTON BRANCH 1101</v>
          </cell>
          <cell r="E1380">
            <v>3049</v>
          </cell>
          <cell r="F1380" t="b">
            <v>0</v>
          </cell>
          <cell r="G1380">
            <v>2682.1997730830599</v>
          </cell>
          <cell r="H1380">
            <v>1650.99465721096</v>
          </cell>
          <cell r="I1380">
            <v>23</v>
          </cell>
          <cell r="J1380">
            <v>3.7080123587182403E-5</v>
          </cell>
          <cell r="K1380">
            <v>3312</v>
          </cell>
          <cell r="L1380">
            <v>6.5873685227112594E-2</v>
          </cell>
          <cell r="M1380">
            <v>3249</v>
          </cell>
          <cell r="N1380">
            <v>2.4445425923373999E-6</v>
          </cell>
          <cell r="O1380">
            <v>3471</v>
          </cell>
          <cell r="P1380">
            <v>2.64</v>
          </cell>
          <cell r="Q1380">
            <v>592</v>
          </cell>
        </row>
        <row r="1381">
          <cell r="B1381" t="str">
            <v>HAMILTON BRANCH 110137436</v>
          </cell>
          <cell r="C1381">
            <v>102361101</v>
          </cell>
          <cell r="D1381" t="str">
            <v>HAMILTON BRANCH 1101</v>
          </cell>
          <cell r="E1381">
            <v>37436</v>
          </cell>
          <cell r="F1381" t="b">
            <v>0</v>
          </cell>
          <cell r="G1381">
            <v>3311.0304593741098</v>
          </cell>
          <cell r="H1381">
            <v>1208.0742956223601</v>
          </cell>
          <cell r="I1381">
            <v>33</v>
          </cell>
          <cell r="J1381">
            <v>3.8690915351418703E-5</v>
          </cell>
          <cell r="K1381">
            <v>3289</v>
          </cell>
          <cell r="L1381">
            <v>6.5576046054703505E-2</v>
          </cell>
          <cell r="M1381">
            <v>3347</v>
          </cell>
          <cell r="N1381">
            <v>2.5374315367213799E-6</v>
          </cell>
          <cell r="O1381">
            <v>3462</v>
          </cell>
          <cell r="P1381">
            <v>0.1</v>
          </cell>
          <cell r="Q1381">
            <v>1485</v>
          </cell>
        </row>
        <row r="1382">
          <cell r="B1382" t="str">
            <v>HAMILTON BRANCH 110153192</v>
          </cell>
          <cell r="C1382">
            <v>102361101</v>
          </cell>
          <cell r="D1382" t="str">
            <v>HAMILTON BRANCH 1101</v>
          </cell>
          <cell r="E1382">
            <v>53192</v>
          </cell>
          <cell r="F1382" t="b">
            <v>1</v>
          </cell>
          <cell r="G1382">
            <v>3316.9891719514799</v>
          </cell>
          <cell r="H1382">
            <v>889.75803170843096</v>
          </cell>
          <cell r="I1382">
            <v>30</v>
          </cell>
          <cell r="J1382">
            <v>5.4104641822050303E-5</v>
          </cell>
          <cell r="K1382">
            <v>2941</v>
          </cell>
          <cell r="L1382">
            <v>5.3376766855100399</v>
          </cell>
          <cell r="M1382">
            <v>2737</v>
          </cell>
          <cell r="N1382">
            <v>1.93698082263553E-4</v>
          </cell>
          <cell r="O1382">
            <v>2841</v>
          </cell>
          <cell r="Q1382">
            <v>3032</v>
          </cell>
        </row>
        <row r="1383">
          <cell r="B1383" t="str">
            <v>HAMILTON BRANCH 110187784</v>
          </cell>
          <cell r="C1383">
            <v>102361101</v>
          </cell>
          <cell r="D1383" t="str">
            <v>HAMILTON BRANCH 1101</v>
          </cell>
          <cell r="E1383">
            <v>87784</v>
          </cell>
          <cell r="F1383" t="b">
            <v>0</v>
          </cell>
          <cell r="G1383">
            <v>2328.7215260747898</v>
          </cell>
          <cell r="H1383">
            <v>2328.7215260747898</v>
          </cell>
          <cell r="I1383">
            <v>23</v>
          </cell>
          <cell r="J1383">
            <v>4.3586920978471003E-5</v>
          </cell>
          <cell r="K1383">
            <v>3199</v>
          </cell>
          <cell r="L1383">
            <v>6.6431758675379496E-2</v>
          </cell>
          <cell r="M1383">
            <v>2997</v>
          </cell>
          <cell r="N1383">
            <v>2.8955558158446199E-6</v>
          </cell>
          <cell r="O1383">
            <v>3425</v>
          </cell>
          <cell r="P1383">
            <v>0.12</v>
          </cell>
          <cell r="Q1383">
            <v>1383</v>
          </cell>
        </row>
        <row r="1384">
          <cell r="B1384" t="str">
            <v>HAMILTON BRANCH 110190334</v>
          </cell>
          <cell r="C1384">
            <v>102361101</v>
          </cell>
          <cell r="D1384" t="str">
            <v>HAMILTON BRANCH 1101</v>
          </cell>
          <cell r="E1384">
            <v>90334</v>
          </cell>
          <cell r="F1384" t="b">
            <v>0</v>
          </cell>
          <cell r="G1384">
            <v>5394.0455450245499</v>
          </cell>
          <cell r="H1384">
            <v>5394.0455450245499</v>
          </cell>
          <cell r="I1384">
            <v>44</v>
          </cell>
          <cell r="J1384">
            <v>3.2302564064097598E-5</v>
          </cell>
          <cell r="K1384">
            <v>3396</v>
          </cell>
          <cell r="L1384">
            <v>20.587498866066699</v>
          </cell>
          <cell r="M1384">
            <v>2442</v>
          </cell>
          <cell r="N1384">
            <v>6.1497446878496496E-4</v>
          </cell>
          <cell r="O1384">
            <v>2704</v>
          </cell>
          <cell r="P1384">
            <v>11.09</v>
          </cell>
          <cell r="Q1384">
            <v>388</v>
          </cell>
        </row>
        <row r="1385">
          <cell r="B1385" t="str">
            <v>HAMILTON BRANCH 1101CB</v>
          </cell>
          <cell r="C1385">
            <v>102361101</v>
          </cell>
          <cell r="D1385" t="str">
            <v>HAMILTON BRANCH 1101</v>
          </cell>
          <cell r="E1385" t="str">
            <v>CB</v>
          </cell>
          <cell r="F1385" t="b">
            <v>0</v>
          </cell>
          <cell r="G1385">
            <v>5887.1186054334003</v>
          </cell>
          <cell r="H1385">
            <v>3755.8808274851399</v>
          </cell>
          <cell r="I1385">
            <v>56</v>
          </cell>
          <cell r="J1385">
            <v>5.4710088550434302E-5</v>
          </cell>
          <cell r="K1385">
            <v>2926</v>
          </cell>
          <cell r="L1385">
            <v>5.5818909829678702</v>
          </cell>
          <cell r="M1385">
            <v>2728</v>
          </cell>
          <cell r="N1385">
            <v>5.4657250778200302E-4</v>
          </cell>
          <cell r="O1385">
            <v>2723</v>
          </cell>
          <cell r="P1385">
            <v>7.0000000000000007E-2</v>
          </cell>
          <cell r="Q1385">
            <v>1682</v>
          </cell>
        </row>
        <row r="1386">
          <cell r="B1386" t="str">
            <v>HARRIS 11082062</v>
          </cell>
          <cell r="C1386">
            <v>192431108</v>
          </cell>
          <cell r="D1386" t="str">
            <v>HARRIS 1108</v>
          </cell>
          <cell r="E1386">
            <v>2062</v>
          </cell>
          <cell r="F1386" t="b">
            <v>0</v>
          </cell>
          <cell r="G1386">
            <v>8420.6852393950794</v>
          </cell>
          <cell r="H1386">
            <v>2556.2544200275402</v>
          </cell>
          <cell r="I1386">
            <v>83</v>
          </cell>
          <cell r="J1386">
            <v>1.24020621739643E-4</v>
          </cell>
          <cell r="K1386">
            <v>1119</v>
          </cell>
          <cell r="L1386">
            <v>6.5580821748418699E-2</v>
          </cell>
          <cell r="M1386">
            <v>3338</v>
          </cell>
          <cell r="N1386">
            <v>8.1612884583869598E-6</v>
          </cell>
          <cell r="O1386">
            <v>3118</v>
          </cell>
          <cell r="P1386">
            <v>0.04</v>
          </cell>
          <cell r="Q1386">
            <v>2221</v>
          </cell>
        </row>
        <row r="1387">
          <cell r="B1387" t="str">
            <v>HARRIS 1108395498</v>
          </cell>
          <cell r="C1387">
            <v>192431108</v>
          </cell>
          <cell r="D1387" t="str">
            <v>HARRIS 1108</v>
          </cell>
          <cell r="E1387">
            <v>395498</v>
          </cell>
          <cell r="F1387" t="b">
            <v>1</v>
          </cell>
          <cell r="G1387">
            <v>792.38554071959504</v>
          </cell>
          <cell r="H1387">
            <v>171.02907961795299</v>
          </cell>
          <cell r="I1387">
            <v>8</v>
          </cell>
          <cell r="J1387">
            <v>4.5438887241289099E-5</v>
          </cell>
          <cell r="K1387">
            <v>3154</v>
          </cell>
          <cell r="L1387">
            <v>6.5307820564535699E-2</v>
          </cell>
          <cell r="M1387">
            <v>3459</v>
          </cell>
          <cell r="N1387">
            <v>2.9622335244639702E-6</v>
          </cell>
          <cell r="O1387">
            <v>3416</v>
          </cell>
          <cell r="Q1387">
            <v>3227</v>
          </cell>
        </row>
        <row r="1388">
          <cell r="B1388" t="str">
            <v>HARRIS 11084674</v>
          </cell>
          <cell r="C1388">
            <v>192431108</v>
          </cell>
          <cell r="D1388" t="str">
            <v>HARRIS 1108</v>
          </cell>
          <cell r="E1388">
            <v>4674</v>
          </cell>
          <cell r="F1388" t="b">
            <v>1</v>
          </cell>
          <cell r="G1388">
            <v>11266.478344449601</v>
          </cell>
          <cell r="H1388">
            <v>72.799958225212507</v>
          </cell>
          <cell r="I1388">
            <v>85</v>
          </cell>
          <cell r="J1388">
            <v>6.8436071420104999E-5</v>
          </cell>
          <cell r="K1388">
            <v>2524</v>
          </cell>
          <cell r="L1388">
            <v>6.51475052530502E-2</v>
          </cell>
          <cell r="M1388">
            <v>3604</v>
          </cell>
          <cell r="N1388">
            <v>4.4584370725792801E-6</v>
          </cell>
          <cell r="O1388">
            <v>3299</v>
          </cell>
          <cell r="P1388">
            <v>0.02</v>
          </cell>
          <cell r="Q1388">
            <v>2468</v>
          </cell>
        </row>
        <row r="1389">
          <cell r="B1389" t="str">
            <v>HARRIS 1108705523</v>
          </cell>
          <cell r="C1389">
            <v>192431108</v>
          </cell>
          <cell r="D1389" t="str">
            <v>HARRIS 1108</v>
          </cell>
          <cell r="E1389">
            <v>705523</v>
          </cell>
          <cell r="F1389" t="b">
            <v>1</v>
          </cell>
          <cell r="G1389">
            <v>1068.2354841589299</v>
          </cell>
          <cell r="H1389">
            <v>321.92977748343498</v>
          </cell>
          <cell r="I1389">
            <v>11</v>
          </cell>
          <cell r="J1389">
            <v>1.1081219666018299E-4</v>
          </cell>
          <cell r="K1389">
            <v>1395</v>
          </cell>
          <cell r="L1389">
            <v>6.56145878615116E-2</v>
          </cell>
          <cell r="M1389">
            <v>3332</v>
          </cell>
          <cell r="N1389">
            <v>7.29304688196533E-6</v>
          </cell>
          <cell r="O1389">
            <v>3153</v>
          </cell>
          <cell r="Q1389">
            <v>3044</v>
          </cell>
        </row>
        <row r="1390">
          <cell r="B1390" t="str">
            <v>HARRIS 1109183860</v>
          </cell>
          <cell r="C1390">
            <v>192431109</v>
          </cell>
          <cell r="D1390" t="str">
            <v>HARRIS 1109</v>
          </cell>
          <cell r="E1390">
            <v>183860</v>
          </cell>
          <cell r="F1390" t="b">
            <v>0</v>
          </cell>
          <cell r="G1390">
            <v>12288.139794385799</v>
          </cell>
          <cell r="H1390">
            <v>7942.1795880966902</v>
          </cell>
          <cell r="I1390">
            <v>92</v>
          </cell>
          <cell r="J1390">
            <v>1.8091256500625999E-4</v>
          </cell>
          <cell r="K1390">
            <v>505</v>
          </cell>
          <cell r="L1390">
            <v>20.1229673342865</v>
          </cell>
          <cell r="M1390">
            <v>2446</v>
          </cell>
          <cell r="N1390">
            <v>3.2842895773826501E-3</v>
          </cell>
          <cell r="O1390">
            <v>2318</v>
          </cell>
          <cell r="Q1390">
            <v>2779</v>
          </cell>
        </row>
        <row r="1391">
          <cell r="B1391" t="str">
            <v>HARRIS 1109237791</v>
          </cell>
          <cell r="C1391">
            <v>192431109</v>
          </cell>
          <cell r="D1391" t="str">
            <v>HARRIS 1109</v>
          </cell>
          <cell r="E1391">
            <v>237791</v>
          </cell>
          <cell r="F1391" t="b">
            <v>0</v>
          </cell>
          <cell r="G1391">
            <v>3420.2948822194899</v>
          </cell>
          <cell r="H1391">
            <v>2280.4466735907999</v>
          </cell>
          <cell r="I1391">
            <v>23</v>
          </cell>
          <cell r="J1391">
            <v>1.98699143022002E-4</v>
          </cell>
          <cell r="K1391">
            <v>399</v>
          </cell>
          <cell r="L1391">
            <v>3.1650228375059499</v>
          </cell>
          <cell r="M1391">
            <v>2804</v>
          </cell>
          <cell r="N1391">
            <v>6.9283135330609996E-4</v>
          </cell>
          <cell r="O1391">
            <v>2688</v>
          </cell>
          <cell r="Q1391">
            <v>3489</v>
          </cell>
        </row>
        <row r="1392">
          <cell r="B1392" t="str">
            <v>HARRIS 1109355914</v>
          </cell>
          <cell r="C1392">
            <v>192431109</v>
          </cell>
          <cell r="D1392" t="str">
            <v>HARRIS 1109</v>
          </cell>
          <cell r="E1392">
            <v>355914</v>
          </cell>
          <cell r="F1392" t="b">
            <v>0</v>
          </cell>
          <cell r="G1392">
            <v>14935.383216731099</v>
          </cell>
          <cell r="H1392">
            <v>13002.780696293201</v>
          </cell>
          <cell r="I1392">
            <v>104</v>
          </cell>
          <cell r="J1392">
            <v>2.0479972030867401E-4</v>
          </cell>
          <cell r="K1392">
            <v>382</v>
          </cell>
          <cell r="L1392">
            <v>13.314796677505299</v>
          </cell>
          <cell r="M1392">
            <v>2566</v>
          </cell>
          <cell r="N1392">
            <v>2.1470804677014002E-3</v>
          </cell>
          <cell r="O1392">
            <v>2462</v>
          </cell>
          <cell r="Q1392">
            <v>2817</v>
          </cell>
        </row>
        <row r="1393">
          <cell r="B1393" t="str">
            <v>HARRIS 1109661309</v>
          </cell>
          <cell r="C1393">
            <v>192431109</v>
          </cell>
          <cell r="D1393" t="str">
            <v>HARRIS 1109</v>
          </cell>
          <cell r="E1393">
            <v>661309</v>
          </cell>
          <cell r="F1393" t="b">
            <v>1</v>
          </cell>
          <cell r="G1393">
            <v>2205.0427923007701</v>
          </cell>
          <cell r="H1393">
            <v>453.796587217016</v>
          </cell>
          <cell r="I1393">
            <v>16</v>
          </cell>
          <cell r="J1393">
            <v>2.0886273511374899E-4</v>
          </cell>
          <cell r="K1393">
            <v>365</v>
          </cell>
          <cell r="L1393">
            <v>6.5468651008660603E-2</v>
          </cell>
          <cell r="M1393">
            <v>3383</v>
          </cell>
          <cell r="N1393">
            <v>1.36670266078547E-5</v>
          </cell>
          <cell r="O1393">
            <v>3022</v>
          </cell>
          <cell r="Q1393">
            <v>3369</v>
          </cell>
        </row>
        <row r="1394">
          <cell r="B1394" t="str">
            <v>HARTLEY 11011306</v>
          </cell>
          <cell r="C1394">
            <v>43211101</v>
          </cell>
          <cell r="D1394" t="str">
            <v>HARTLEY 1101</v>
          </cell>
          <cell r="E1394">
            <v>1306</v>
          </cell>
          <cell r="F1394" t="b">
            <v>0</v>
          </cell>
          <cell r="G1394">
            <v>19638.941936489598</v>
          </cell>
          <cell r="H1394">
            <v>15260.277032727099</v>
          </cell>
          <cell r="I1394">
            <v>117</v>
          </cell>
          <cell r="J1394">
            <v>9.0494965746999696E-5</v>
          </cell>
          <cell r="K1394">
            <v>1898</v>
          </cell>
          <cell r="L1394">
            <v>1507.2615711997901</v>
          </cell>
          <cell r="M1394">
            <v>595</v>
          </cell>
          <cell r="N1394">
            <v>0.133032647955727</v>
          </cell>
          <cell r="O1394">
            <v>593</v>
          </cell>
          <cell r="P1394">
            <v>7.0000000000000007E-2</v>
          </cell>
          <cell r="Q1394">
            <v>1743</v>
          </cell>
        </row>
        <row r="1395">
          <cell r="B1395" t="str">
            <v>HARTLEY 1101471</v>
          </cell>
          <cell r="C1395">
            <v>43211101</v>
          </cell>
          <cell r="D1395" t="str">
            <v>HARTLEY 1101</v>
          </cell>
          <cell r="E1395">
            <v>471</v>
          </cell>
          <cell r="F1395" t="b">
            <v>1</v>
          </cell>
          <cell r="G1395">
            <v>2001.81295470186</v>
          </cell>
          <cell r="H1395">
            <v>0</v>
          </cell>
          <cell r="I1395">
            <v>16</v>
          </cell>
          <cell r="J1395">
            <v>7.9063093380682403E-5</v>
          </cell>
          <cell r="K1395">
            <v>2233</v>
          </cell>
          <cell r="L1395">
            <v>6.5229528004749293E-2</v>
          </cell>
          <cell r="M1395">
            <v>3491</v>
          </cell>
          <cell r="N1395">
            <v>5.1542572793718098E-6</v>
          </cell>
          <cell r="O1395">
            <v>3261</v>
          </cell>
          <cell r="P1395">
            <v>0.33</v>
          </cell>
          <cell r="Q1395">
            <v>988</v>
          </cell>
        </row>
        <row r="1396">
          <cell r="B1396" t="str">
            <v>HARTLEY 11014710</v>
          </cell>
          <cell r="C1396">
            <v>43211101</v>
          </cell>
          <cell r="D1396" t="str">
            <v>HARTLEY 1101</v>
          </cell>
          <cell r="E1396">
            <v>4710</v>
          </cell>
          <cell r="F1396" t="b">
            <v>0</v>
          </cell>
          <cell r="G1396">
            <v>2414.0516501151901</v>
          </cell>
          <cell r="H1396">
            <v>2414.0516501151901</v>
          </cell>
          <cell r="I1396">
            <v>18</v>
          </cell>
          <cell r="J1396">
            <v>7.3983485385219295E-5</v>
          </cell>
          <cell r="K1396">
            <v>2359</v>
          </cell>
          <cell r="L1396">
            <v>3402.6995668985801</v>
          </cell>
          <cell r="M1396">
            <v>211</v>
          </cell>
          <cell r="N1396">
            <v>0.26308402187232899</v>
          </cell>
          <cell r="O1396">
            <v>192</v>
          </cell>
          <cell r="P1396">
            <v>0.06</v>
          </cell>
          <cell r="Q1396">
            <v>1858</v>
          </cell>
        </row>
        <row r="1397">
          <cell r="B1397" t="str">
            <v>HARTLEY 1101534548</v>
          </cell>
          <cell r="C1397">
            <v>43211101</v>
          </cell>
          <cell r="D1397" t="str">
            <v>HARTLEY 1101</v>
          </cell>
          <cell r="E1397">
            <v>534548</v>
          </cell>
          <cell r="F1397" t="b">
            <v>1</v>
          </cell>
          <cell r="G1397">
            <v>825.25128534832197</v>
          </cell>
          <cell r="H1397">
            <v>643.68301837193803</v>
          </cell>
          <cell r="I1397">
            <v>7</v>
          </cell>
          <cell r="J1397">
            <v>8.8762665005300895E-5</v>
          </cell>
          <cell r="K1397">
            <v>1960</v>
          </cell>
          <cell r="L1397">
            <v>139.41904719747899</v>
          </cell>
          <cell r="M1397">
            <v>1812</v>
          </cell>
          <cell r="N1397">
            <v>8.7460397959950795E-3</v>
          </cell>
          <cell r="O1397">
            <v>2015</v>
          </cell>
          <cell r="Q1397">
            <v>3194</v>
          </cell>
        </row>
        <row r="1398">
          <cell r="B1398" t="str">
            <v>HARTLEY 110158095</v>
          </cell>
          <cell r="C1398">
            <v>43211101</v>
          </cell>
          <cell r="D1398" t="str">
            <v>HARTLEY 1101</v>
          </cell>
          <cell r="E1398">
            <v>58095</v>
          </cell>
          <cell r="F1398" t="b">
            <v>1</v>
          </cell>
          <cell r="G1398">
            <v>251.91576006104299</v>
          </cell>
          <cell r="H1398">
            <v>251.91576006104299</v>
          </cell>
          <cell r="I1398">
            <v>2</v>
          </cell>
          <cell r="J1398">
            <v>1.3161026436137E-4</v>
          </cell>
          <cell r="K1398">
            <v>987</v>
          </cell>
          <cell r="L1398">
            <v>71.435853280413198</v>
          </cell>
          <cell r="M1398">
            <v>2085</v>
          </cell>
          <cell r="N1398">
            <v>9.4016915351152492E-3</v>
          </cell>
          <cell r="O1398">
            <v>1990</v>
          </cell>
          <cell r="P1398">
            <v>1.66</v>
          </cell>
          <cell r="Q1398">
            <v>656</v>
          </cell>
        </row>
        <row r="1399">
          <cell r="B1399" t="str">
            <v>HARTLEY 1101658</v>
          </cell>
          <cell r="C1399">
            <v>43211101</v>
          </cell>
          <cell r="D1399" t="str">
            <v>HARTLEY 1101</v>
          </cell>
          <cell r="E1399">
            <v>658</v>
          </cell>
          <cell r="F1399" t="b">
            <v>0</v>
          </cell>
          <cell r="G1399">
            <v>21722.425982377099</v>
          </cell>
          <cell r="H1399">
            <v>4561.1196879154504</v>
          </cell>
          <cell r="I1399">
            <v>136</v>
          </cell>
          <cell r="J1399">
            <v>9.6216484761873006E-5</v>
          </cell>
          <cell r="K1399">
            <v>1727</v>
          </cell>
          <cell r="L1399">
            <v>1846.282207839</v>
          </cell>
          <cell r="M1399">
            <v>492</v>
          </cell>
          <cell r="N1399">
            <v>0.16942633825159401</v>
          </cell>
          <cell r="O1399">
            <v>439</v>
          </cell>
          <cell r="P1399">
            <v>0.53</v>
          </cell>
          <cell r="Q1399">
            <v>882</v>
          </cell>
        </row>
        <row r="1400">
          <cell r="B1400" t="str">
            <v>HARTLEY 1101698</v>
          </cell>
          <cell r="C1400">
            <v>43211101</v>
          </cell>
          <cell r="D1400" t="str">
            <v>HARTLEY 1101</v>
          </cell>
          <cell r="E1400">
            <v>698</v>
          </cell>
          <cell r="F1400" t="b">
            <v>0</v>
          </cell>
          <cell r="G1400">
            <v>16605.929016055801</v>
          </cell>
          <cell r="H1400">
            <v>11071.046624775599</v>
          </cell>
          <cell r="I1400">
            <v>97</v>
          </cell>
          <cell r="J1400">
            <v>9.4178634135084902E-5</v>
          </cell>
          <cell r="K1400">
            <v>1790</v>
          </cell>
          <cell r="L1400">
            <v>4392.8078468882004</v>
          </cell>
          <cell r="M1400">
            <v>115</v>
          </cell>
          <cell r="N1400">
            <v>0.39722930322274103</v>
          </cell>
          <cell r="O1400">
            <v>58</v>
          </cell>
          <cell r="P1400">
            <v>0.06</v>
          </cell>
          <cell r="Q1400">
            <v>1832</v>
          </cell>
        </row>
        <row r="1401">
          <cell r="B1401" t="str">
            <v>HARTLEY 1101738</v>
          </cell>
          <cell r="C1401">
            <v>43211101</v>
          </cell>
          <cell r="D1401" t="str">
            <v>HARTLEY 1101</v>
          </cell>
          <cell r="E1401">
            <v>738</v>
          </cell>
          <cell r="F1401" t="b">
            <v>0</v>
          </cell>
          <cell r="G1401">
            <v>12990.118681378601</v>
          </cell>
          <cell r="H1401">
            <v>4208.5049011247202</v>
          </cell>
          <cell r="I1401">
            <v>106</v>
          </cell>
          <cell r="J1401">
            <v>7.6100674652265904E-5</v>
          </cell>
          <cell r="K1401">
            <v>2304</v>
          </cell>
          <cell r="L1401">
            <v>26.518770668537901</v>
          </cell>
          <cell r="M1401">
            <v>2371</v>
          </cell>
          <cell r="N1401">
            <v>2.21587204900464E-3</v>
          </cell>
          <cell r="O1401">
            <v>2450</v>
          </cell>
          <cell r="P1401">
            <v>0.03</v>
          </cell>
          <cell r="Q1401">
            <v>2251</v>
          </cell>
        </row>
        <row r="1402">
          <cell r="B1402" t="str">
            <v>HARTLEY 110186876</v>
          </cell>
          <cell r="C1402">
            <v>43211101</v>
          </cell>
          <cell r="D1402" t="str">
            <v>HARTLEY 1101</v>
          </cell>
          <cell r="E1402">
            <v>86876</v>
          </cell>
          <cell r="F1402" t="b">
            <v>0</v>
          </cell>
          <cell r="G1402">
            <v>13761.5335200794</v>
          </cell>
          <cell r="H1402">
            <v>3945.93512312143</v>
          </cell>
          <cell r="I1402">
            <v>110</v>
          </cell>
          <cell r="J1402">
            <v>6.2134254221746205E-5</v>
          </cell>
          <cell r="K1402">
            <v>2715</v>
          </cell>
          <cell r="L1402">
            <v>110.516008994302</v>
          </cell>
          <cell r="M1402">
            <v>1909</v>
          </cell>
          <cell r="N1402">
            <v>1.8006898168372702E-2</v>
          </cell>
          <cell r="O1402">
            <v>1708</v>
          </cell>
          <cell r="P1402">
            <v>0.03</v>
          </cell>
          <cell r="Q1402">
            <v>2303</v>
          </cell>
        </row>
        <row r="1403">
          <cell r="B1403" t="str">
            <v>HARTLEY 110194178</v>
          </cell>
          <cell r="C1403">
            <v>43211101</v>
          </cell>
          <cell r="D1403" t="str">
            <v>HARTLEY 1101</v>
          </cell>
          <cell r="E1403">
            <v>94178</v>
          </cell>
          <cell r="F1403" t="b">
            <v>0</v>
          </cell>
          <cell r="G1403">
            <v>6646.4631645093395</v>
          </cell>
          <cell r="H1403">
            <v>3457.4483522753299</v>
          </cell>
          <cell r="I1403">
            <v>57</v>
          </cell>
          <cell r="J1403">
            <v>7.32716624106774E-5</v>
          </cell>
          <cell r="K1403">
            <v>2388</v>
          </cell>
          <cell r="L1403">
            <v>42.030568170771197</v>
          </cell>
          <cell r="M1403">
            <v>2265</v>
          </cell>
          <cell r="N1403">
            <v>5.4614716430114799E-3</v>
          </cell>
          <cell r="O1403">
            <v>2184</v>
          </cell>
          <cell r="P1403">
            <v>0.03</v>
          </cell>
          <cell r="Q1403">
            <v>2290</v>
          </cell>
        </row>
        <row r="1404">
          <cell r="B1404" t="str">
            <v>HARTLEY 1101980662</v>
          </cell>
          <cell r="C1404">
            <v>43211101</v>
          </cell>
          <cell r="D1404" t="str">
            <v>HARTLEY 1101</v>
          </cell>
          <cell r="E1404">
            <v>980662</v>
          </cell>
          <cell r="F1404" t="b">
            <v>1</v>
          </cell>
          <cell r="G1404">
            <v>366.26348193185203</v>
          </cell>
          <cell r="H1404">
            <v>366.26348193185203</v>
          </cell>
          <cell r="I1404">
            <v>3</v>
          </cell>
          <cell r="J1404">
            <v>1.43252212486307E-4</v>
          </cell>
          <cell r="K1404">
            <v>821</v>
          </cell>
          <cell r="L1404">
            <v>4824.4796622705899</v>
          </cell>
          <cell r="M1404">
            <v>89</v>
          </cell>
          <cell r="N1404">
            <v>0.64187331574842599</v>
          </cell>
          <cell r="O1404">
            <v>19</v>
          </cell>
          <cell r="Q1404">
            <v>3599</v>
          </cell>
        </row>
        <row r="1405">
          <cell r="B1405" t="str">
            <v>HARTLEY 1101CB</v>
          </cell>
          <cell r="C1405">
            <v>43211101</v>
          </cell>
          <cell r="D1405" t="str">
            <v>HARTLEY 1101</v>
          </cell>
          <cell r="E1405" t="str">
            <v>CB</v>
          </cell>
          <cell r="F1405" t="b">
            <v>0</v>
          </cell>
          <cell r="G1405">
            <v>4864.6418339259099</v>
          </cell>
          <cell r="H1405">
            <v>2361.7077997331298</v>
          </cell>
          <cell r="I1405">
            <v>33</v>
          </cell>
          <cell r="J1405">
            <v>1.00621868279466E-4</v>
          </cell>
          <cell r="K1405">
            <v>1634</v>
          </cell>
          <cell r="L1405">
            <v>651.04672137074101</v>
          </cell>
          <cell r="M1405">
            <v>1063</v>
          </cell>
          <cell r="N1405">
            <v>5.14160602237572E-2</v>
          </cell>
          <cell r="O1405">
            <v>1163</v>
          </cell>
          <cell r="P1405">
            <v>0.02</v>
          </cell>
          <cell r="Q1405">
            <v>2516</v>
          </cell>
        </row>
        <row r="1406">
          <cell r="B1406" t="str">
            <v>HARTLEY 1102385838</v>
          </cell>
          <cell r="C1406">
            <v>43211102</v>
          </cell>
          <cell r="D1406" t="str">
            <v>HARTLEY 1102</v>
          </cell>
          <cell r="E1406">
            <v>385838</v>
          </cell>
          <cell r="F1406" t="b">
            <v>0</v>
          </cell>
          <cell r="G1406">
            <v>2645.3496571748301</v>
          </cell>
          <cell r="H1406">
            <v>2006.1587952300599</v>
          </cell>
          <cell r="I1406">
            <v>11</v>
          </cell>
          <cell r="J1406">
            <v>9.3255887887525195E-5</v>
          </cell>
          <cell r="K1406">
            <v>1815</v>
          </cell>
          <cell r="L1406">
            <v>1869.8053889231001</v>
          </cell>
          <cell r="M1406">
            <v>483</v>
          </cell>
          <cell r="N1406">
            <v>0.213487719318186</v>
          </cell>
          <cell r="O1406">
            <v>299</v>
          </cell>
          <cell r="Q1406">
            <v>3295</v>
          </cell>
        </row>
        <row r="1407">
          <cell r="B1407" t="str">
            <v>HARTLEY 1102524</v>
          </cell>
          <cell r="C1407">
            <v>43211102</v>
          </cell>
          <cell r="D1407" t="str">
            <v>HARTLEY 1102</v>
          </cell>
          <cell r="E1407">
            <v>524</v>
          </cell>
          <cell r="F1407" t="b">
            <v>1</v>
          </cell>
          <cell r="G1407">
            <v>4106.6103234421898</v>
          </cell>
          <cell r="H1407">
            <v>399.45522110124</v>
          </cell>
          <cell r="I1407">
            <v>31</v>
          </cell>
          <cell r="J1407">
            <v>8.7723124300781202E-5</v>
          </cell>
          <cell r="K1407">
            <v>1992</v>
          </cell>
          <cell r="L1407">
            <v>2173.4373892129702</v>
          </cell>
          <cell r="M1407">
            <v>408</v>
          </cell>
          <cell r="N1407">
            <v>0.190149553374105</v>
          </cell>
          <cell r="O1407">
            <v>369</v>
          </cell>
          <cell r="P1407">
            <v>0.71</v>
          </cell>
          <cell r="Q1407">
            <v>803</v>
          </cell>
        </row>
        <row r="1408">
          <cell r="B1408" t="str">
            <v>HARTLEY 1102824</v>
          </cell>
          <cell r="C1408">
            <v>43211102</v>
          </cell>
          <cell r="D1408" t="str">
            <v>HARTLEY 1102</v>
          </cell>
          <cell r="E1408">
            <v>824</v>
          </cell>
          <cell r="F1408" t="b">
            <v>1</v>
          </cell>
          <cell r="G1408">
            <v>12575.4803080232</v>
          </cell>
          <cell r="H1408">
            <v>137.51070713388799</v>
          </cell>
          <cell r="I1408">
            <v>103</v>
          </cell>
          <cell r="J1408">
            <v>1.0133347481738401E-4</v>
          </cell>
          <cell r="K1408">
            <v>1619</v>
          </cell>
          <cell r="L1408">
            <v>3.4456809345560302</v>
          </cell>
          <cell r="M1408">
            <v>2797</v>
          </cell>
          <cell r="N1408">
            <v>7.27207572613528E-4</v>
          </cell>
          <cell r="O1408">
            <v>2680</v>
          </cell>
          <cell r="Q1408">
            <v>2674</v>
          </cell>
        </row>
        <row r="1409">
          <cell r="B1409" t="str">
            <v>HARTLEY 1102CB</v>
          </cell>
          <cell r="C1409">
            <v>43211102</v>
          </cell>
          <cell r="D1409" t="str">
            <v>HARTLEY 1102</v>
          </cell>
          <cell r="E1409" t="str">
            <v>CB</v>
          </cell>
          <cell r="F1409" t="b">
            <v>0</v>
          </cell>
          <cell r="G1409">
            <v>18838.798217784199</v>
          </cell>
          <cell r="H1409">
            <v>5515.70184158559</v>
          </cell>
          <cell r="I1409">
            <v>135</v>
          </cell>
          <cell r="J1409">
            <v>1.09574547653875E-4</v>
          </cell>
          <cell r="K1409">
            <v>1419</v>
          </cell>
          <cell r="L1409">
            <v>752.82158938636599</v>
          </cell>
          <cell r="M1409">
            <v>973</v>
          </cell>
          <cell r="N1409">
            <v>7.7778140795491502E-2</v>
          </cell>
          <cell r="O1409">
            <v>918</v>
          </cell>
          <cell r="P1409">
            <v>0.02</v>
          </cell>
          <cell r="Q1409">
            <v>2544</v>
          </cell>
        </row>
        <row r="1410">
          <cell r="B1410" t="str">
            <v>HATTON 11012026</v>
          </cell>
          <cell r="C1410">
            <v>182291101</v>
          </cell>
          <cell r="D1410" t="str">
            <v>HATTON 1101</v>
          </cell>
          <cell r="E1410">
            <v>2026</v>
          </cell>
          <cell r="F1410" t="b">
            <v>0</v>
          </cell>
          <cell r="G1410">
            <v>16422.8166309308</v>
          </cell>
          <cell r="H1410">
            <v>8438.7955302057107</v>
          </cell>
          <cell r="I1410">
            <v>126</v>
          </cell>
          <cell r="J1410">
            <v>4.8316770554871798E-5</v>
          </cell>
          <cell r="K1410">
            <v>3086</v>
          </cell>
          <cell r="L1410">
            <v>5.7250465195741604</v>
          </cell>
          <cell r="M1410">
            <v>2719</v>
          </cell>
          <cell r="N1410">
            <v>2.17530792607559E-4</v>
          </cell>
          <cell r="O1410">
            <v>2826</v>
          </cell>
          <cell r="P1410">
            <v>7.0000000000000007E-2</v>
          </cell>
          <cell r="Q1410">
            <v>1690</v>
          </cell>
        </row>
        <row r="1411">
          <cell r="B1411" t="str">
            <v>HATTON 110137088</v>
          </cell>
          <cell r="C1411">
            <v>182291101</v>
          </cell>
          <cell r="D1411" t="str">
            <v>HATTON 1101</v>
          </cell>
          <cell r="E1411">
            <v>37088</v>
          </cell>
          <cell r="F1411" t="b">
            <v>0</v>
          </cell>
          <cell r="G1411">
            <v>18269.998760923201</v>
          </cell>
          <cell r="H1411">
            <v>11434.487529784799</v>
          </cell>
          <cell r="I1411">
            <v>135</v>
          </cell>
          <cell r="J1411">
            <v>4.8424396521325502E-5</v>
          </cell>
          <cell r="K1411">
            <v>3080</v>
          </cell>
          <cell r="L1411">
            <v>2.3540226633025698</v>
          </cell>
          <cell r="M1411">
            <v>2829</v>
          </cell>
          <cell r="N1411">
            <v>7.3379810521713795E-5</v>
          </cell>
          <cell r="O1411">
            <v>2887</v>
          </cell>
          <cell r="P1411">
            <v>0.04</v>
          </cell>
          <cell r="Q1411">
            <v>2198</v>
          </cell>
        </row>
        <row r="1412">
          <cell r="B1412" t="str">
            <v>HATTON 1101CB</v>
          </cell>
          <cell r="C1412">
            <v>182291101</v>
          </cell>
          <cell r="D1412" t="str">
            <v>HATTON 1101</v>
          </cell>
          <cell r="E1412" t="str">
            <v>CB</v>
          </cell>
          <cell r="F1412" t="b">
            <v>0</v>
          </cell>
          <cell r="G1412">
            <v>2551.5910976904402</v>
          </cell>
          <cell r="H1412">
            <v>2551.5910976904402</v>
          </cell>
          <cell r="I1412">
            <v>22</v>
          </cell>
          <cell r="J1412">
            <v>9.0659798760580899E-5</v>
          </cell>
          <cell r="K1412">
            <v>1892</v>
          </cell>
          <cell r="L1412">
            <v>6.6431834237477602E-2</v>
          </cell>
          <cell r="M1412">
            <v>2986</v>
          </cell>
          <cell r="N1412">
            <v>6.0226967232659904E-6</v>
          </cell>
          <cell r="O1412">
            <v>3208</v>
          </cell>
          <cell r="P1412">
            <v>7.0000000000000007E-2</v>
          </cell>
          <cell r="Q1412">
            <v>1703</v>
          </cell>
        </row>
        <row r="1413">
          <cell r="B1413" t="str">
            <v>HATTON 11022010</v>
          </cell>
          <cell r="C1413">
            <v>182291102</v>
          </cell>
          <cell r="D1413" t="str">
            <v>HATTON 1102</v>
          </cell>
          <cell r="E1413">
            <v>2010</v>
          </cell>
          <cell r="F1413" t="b">
            <v>0</v>
          </cell>
          <cell r="G1413">
            <v>6409.6213312937798</v>
          </cell>
          <cell r="H1413">
            <v>6409.6213312937798</v>
          </cell>
          <cell r="I1413">
            <v>43</v>
          </cell>
          <cell r="J1413">
            <v>8.8563062342663406E-5</v>
          </cell>
          <cell r="K1413">
            <v>1970</v>
          </cell>
          <cell r="L1413">
            <v>8.3552965907207692</v>
          </cell>
          <cell r="M1413">
            <v>2660</v>
          </cell>
          <cell r="N1413">
            <v>8.4365319252852403E-4</v>
          </cell>
          <cell r="O1413">
            <v>2664</v>
          </cell>
          <cell r="P1413">
            <v>0.11</v>
          </cell>
          <cell r="Q1413">
            <v>1409</v>
          </cell>
        </row>
        <row r="1414">
          <cell r="B1414" t="str">
            <v>HATTON 11022070</v>
          </cell>
          <cell r="C1414">
            <v>182291102</v>
          </cell>
          <cell r="D1414" t="str">
            <v>HATTON 1102</v>
          </cell>
          <cell r="E1414">
            <v>2070</v>
          </cell>
          <cell r="F1414" t="b">
            <v>1</v>
          </cell>
          <cell r="G1414">
            <v>3077.1707341866299</v>
          </cell>
          <cell r="H1414">
            <v>843.46279359336995</v>
          </cell>
          <cell r="I1414">
            <v>26</v>
          </cell>
          <cell r="J1414">
            <v>3.31587228720309E-5</v>
          </cell>
          <cell r="K1414">
            <v>3383</v>
          </cell>
          <cell r="L1414">
            <v>6.54439540027935E-2</v>
          </cell>
          <cell r="M1414">
            <v>3398</v>
          </cell>
          <cell r="N1414">
            <v>2.1767122729172201E-6</v>
          </cell>
          <cell r="O1414">
            <v>3495</v>
          </cell>
          <cell r="P1414">
            <v>0.04</v>
          </cell>
          <cell r="Q1414">
            <v>2156</v>
          </cell>
        </row>
        <row r="1415">
          <cell r="B1415" t="str">
            <v>HATTON 1102648928</v>
          </cell>
          <cell r="C1415">
            <v>182291102</v>
          </cell>
          <cell r="D1415" t="str">
            <v>HATTON 1102</v>
          </cell>
          <cell r="E1415">
            <v>648928</v>
          </cell>
          <cell r="F1415" t="b">
            <v>0</v>
          </cell>
          <cell r="G1415">
            <v>7727.8742908115701</v>
          </cell>
          <cell r="H1415">
            <v>6359.2353280759999</v>
          </cell>
          <cell r="I1415">
            <v>44</v>
          </cell>
          <cell r="J1415">
            <v>6.1330504290391303E-5</v>
          </cell>
          <cell r="K1415">
            <v>2741</v>
          </cell>
          <cell r="L1415">
            <v>57.704164299868197</v>
          </cell>
          <cell r="M1415">
            <v>2168</v>
          </cell>
          <cell r="N1415">
            <v>1.8436945621581799E-3</v>
          </cell>
          <cell r="O1415">
            <v>2494</v>
          </cell>
          <cell r="P1415">
            <v>0.04</v>
          </cell>
          <cell r="Q1415">
            <v>2170</v>
          </cell>
        </row>
        <row r="1416">
          <cell r="B1416" t="str">
            <v>HATTON 11029642</v>
          </cell>
          <cell r="C1416">
            <v>182291102</v>
          </cell>
          <cell r="D1416" t="str">
            <v>HATTON 1102</v>
          </cell>
          <cell r="E1416">
            <v>9642</v>
          </cell>
          <cell r="F1416" t="b">
            <v>0</v>
          </cell>
          <cell r="G1416">
            <v>1925.89343872468</v>
          </cell>
          <cell r="H1416">
            <v>1925.89343872468</v>
          </cell>
          <cell r="I1416">
            <v>18</v>
          </cell>
          <cell r="J1416">
            <v>6.2785307717503106E-5</v>
          </cell>
          <cell r="K1416">
            <v>2690</v>
          </cell>
          <cell r="L1416">
            <v>6.6431834237477602E-2</v>
          </cell>
          <cell r="M1416">
            <v>2983</v>
          </cell>
          <cell r="N1416">
            <v>4.1709431548381897E-6</v>
          </cell>
          <cell r="O1416">
            <v>3323</v>
          </cell>
          <cell r="P1416">
            <v>0.04</v>
          </cell>
          <cell r="Q1416">
            <v>2171</v>
          </cell>
        </row>
        <row r="1417">
          <cell r="B1417" t="str">
            <v>HATTON 1102CB</v>
          </cell>
          <cell r="C1417">
            <v>182291102</v>
          </cell>
          <cell r="D1417" t="str">
            <v>HATTON 1102</v>
          </cell>
          <cell r="E1417" t="str">
            <v>CB</v>
          </cell>
          <cell r="F1417" t="b">
            <v>0</v>
          </cell>
          <cell r="G1417">
            <v>7725.5743238168998</v>
          </cell>
          <cell r="H1417">
            <v>3167.0883118112802</v>
          </cell>
          <cell r="I1417">
            <v>66</v>
          </cell>
          <cell r="J1417">
            <v>5.6001909530413402E-5</v>
          </cell>
          <cell r="K1417">
            <v>2888</v>
          </cell>
          <cell r="L1417">
            <v>47.878700708769202</v>
          </cell>
          <cell r="M1417">
            <v>2223</v>
          </cell>
          <cell r="N1417">
            <v>2.2933639852052599E-3</v>
          </cell>
          <cell r="O1417">
            <v>2434</v>
          </cell>
          <cell r="P1417">
            <v>0.04</v>
          </cell>
          <cell r="Q1417">
            <v>2137</v>
          </cell>
        </row>
        <row r="1418">
          <cell r="B1418" t="str">
            <v>HICKS 111512494</v>
          </cell>
          <cell r="C1418">
            <v>83431115</v>
          </cell>
          <cell r="D1418" t="str">
            <v>HICKS 1115</v>
          </cell>
          <cell r="E1418">
            <v>12494</v>
          </cell>
          <cell r="F1418" t="b">
            <v>1</v>
          </cell>
          <cell r="G1418">
            <v>4190.5486194180503</v>
          </cell>
          <cell r="H1418">
            <v>220.11672607041299</v>
          </cell>
          <cell r="I1418">
            <v>35</v>
          </cell>
          <cell r="J1418">
            <v>3.9122203430231403E-5</v>
          </cell>
          <cell r="K1418">
            <v>3283</v>
          </cell>
          <cell r="L1418">
            <v>6.5183702111244204E-2</v>
          </cell>
          <cell r="M1418">
            <v>3532</v>
          </cell>
          <cell r="N1418">
            <v>2.5505053489905401E-6</v>
          </cell>
          <cell r="O1418">
            <v>3459</v>
          </cell>
          <cell r="Q1418">
            <v>3101</v>
          </cell>
        </row>
        <row r="1419">
          <cell r="B1419" t="str">
            <v>HICKS 1116203897</v>
          </cell>
          <cell r="C1419">
            <v>83431116</v>
          </cell>
          <cell r="D1419" t="str">
            <v>HICKS 1116</v>
          </cell>
          <cell r="E1419">
            <v>203897</v>
          </cell>
          <cell r="F1419" t="b">
            <v>1</v>
          </cell>
          <cell r="G1419">
            <v>1017.37128827949</v>
          </cell>
          <cell r="H1419">
            <v>367.907326942856</v>
          </cell>
          <cell r="I1419">
            <v>9</v>
          </cell>
          <cell r="J1419">
            <v>3.2838874984817097E-5</v>
          </cell>
          <cell r="K1419">
            <v>3388</v>
          </cell>
          <cell r="L1419">
            <v>6.5432527826892004E-2</v>
          </cell>
          <cell r="M1419">
            <v>3405</v>
          </cell>
          <cell r="N1419">
            <v>2.1509240460191902E-6</v>
          </cell>
          <cell r="O1419">
            <v>3498</v>
          </cell>
          <cell r="Q1419">
            <v>3108</v>
          </cell>
        </row>
        <row r="1420">
          <cell r="B1420" t="str">
            <v>HICKS 1116583284</v>
          </cell>
          <cell r="C1420">
            <v>83431116</v>
          </cell>
          <cell r="D1420" t="str">
            <v>HICKS 1116</v>
          </cell>
          <cell r="E1420">
            <v>583284</v>
          </cell>
          <cell r="F1420" t="b">
            <v>1</v>
          </cell>
          <cell r="G1420">
            <v>404.41330974564102</v>
          </cell>
          <cell r="H1420">
            <v>236.576559077497</v>
          </cell>
          <cell r="I1420">
            <v>4</v>
          </cell>
          <cell r="J1420">
            <v>9.5520954346284203E-5</v>
          </cell>
          <cell r="K1420">
            <v>1741</v>
          </cell>
          <cell r="L1420">
            <v>6.6110679879784501E-2</v>
          </cell>
          <cell r="M1420">
            <v>3197</v>
          </cell>
          <cell r="N1420">
            <v>6.3368373617848196E-6</v>
          </cell>
          <cell r="O1420">
            <v>3196</v>
          </cell>
          <cell r="Q1420">
            <v>3325</v>
          </cell>
        </row>
        <row r="1421">
          <cell r="B1421" t="str">
            <v>HICKS 111660050</v>
          </cell>
          <cell r="C1421">
            <v>83431116</v>
          </cell>
          <cell r="D1421" t="str">
            <v>HICKS 1116</v>
          </cell>
          <cell r="E1421">
            <v>60050</v>
          </cell>
          <cell r="F1421" t="b">
            <v>0</v>
          </cell>
          <cell r="G1421">
            <v>13116.246045398701</v>
          </cell>
          <cell r="H1421">
            <v>13116.246045398701</v>
          </cell>
          <cell r="I1421">
            <v>98</v>
          </cell>
          <cell r="J1421">
            <v>1.0760956390687101E-4</v>
          </cell>
          <cell r="K1421">
            <v>1461</v>
          </cell>
          <cell r="L1421">
            <v>16.5516890589229</v>
          </cell>
          <cell r="M1421">
            <v>2508</v>
          </cell>
          <cell r="N1421">
            <v>1.55459488972583E-3</v>
          </cell>
          <cell r="O1421">
            <v>2546</v>
          </cell>
          <cell r="P1421">
            <v>0.1</v>
          </cell>
          <cell r="Q1421">
            <v>1480</v>
          </cell>
        </row>
        <row r="1422">
          <cell r="B1422" t="str">
            <v>HICKS 1116733078</v>
          </cell>
          <cell r="C1422">
            <v>83431116</v>
          </cell>
          <cell r="D1422" t="str">
            <v>HICKS 1116</v>
          </cell>
          <cell r="E1422">
            <v>733078</v>
          </cell>
          <cell r="F1422" t="b">
            <v>1</v>
          </cell>
          <cell r="G1422">
            <v>567.87304079708099</v>
          </cell>
          <cell r="H1422">
            <v>551.87096969274603</v>
          </cell>
          <cell r="I1422">
            <v>7</v>
          </cell>
          <cell r="J1422">
            <v>4.2162506230982E-5</v>
          </cell>
          <cell r="K1422">
            <v>3221</v>
          </cell>
          <cell r="L1422">
            <v>6.6064789891242898E-2</v>
          </cell>
          <cell r="M1422">
            <v>3206</v>
          </cell>
          <cell r="N1422">
            <v>2.7770463326444102E-6</v>
          </cell>
          <cell r="O1422">
            <v>3434</v>
          </cell>
          <cell r="Q1422">
            <v>3310</v>
          </cell>
        </row>
        <row r="1423">
          <cell r="B1423" t="str">
            <v>HICKS 1116983580</v>
          </cell>
          <cell r="C1423">
            <v>83431116</v>
          </cell>
          <cell r="D1423" t="str">
            <v>HICKS 1116</v>
          </cell>
          <cell r="E1423">
            <v>983580</v>
          </cell>
          <cell r="F1423" t="b">
            <v>0</v>
          </cell>
          <cell r="G1423">
            <v>4036.4762642646701</v>
          </cell>
          <cell r="H1423">
            <v>3958.5011098178202</v>
          </cell>
          <cell r="I1423">
            <v>33</v>
          </cell>
          <cell r="J1423">
            <v>1.07558790301537E-4</v>
          </cell>
          <cell r="K1423">
            <v>1462</v>
          </cell>
          <cell r="L1423">
            <v>6.6392972839601105E-2</v>
          </cell>
          <cell r="M1423">
            <v>3122</v>
          </cell>
          <cell r="N1423">
            <v>7.1401706017508602E-6</v>
          </cell>
          <cell r="O1423">
            <v>3161</v>
          </cell>
          <cell r="Q1423">
            <v>3159</v>
          </cell>
        </row>
        <row r="1424">
          <cell r="B1424" t="str">
            <v>HICKS 1116CB</v>
          </cell>
          <cell r="C1424">
            <v>83431116</v>
          </cell>
          <cell r="D1424" t="str">
            <v>HICKS 1116</v>
          </cell>
          <cell r="E1424" t="str">
            <v>CB</v>
          </cell>
          <cell r="F1424" t="b">
            <v>1</v>
          </cell>
          <cell r="G1424">
            <v>22837.599065999799</v>
          </cell>
          <cell r="H1424">
            <v>336.16475525966803</v>
          </cell>
          <cell r="I1424">
            <v>165</v>
          </cell>
          <cell r="J1424">
            <v>2.9963135016113199E-5</v>
          </cell>
          <cell r="K1424">
            <v>3426</v>
          </cell>
          <cell r="L1424">
            <v>6.5178139688390604E-2</v>
          </cell>
          <cell r="M1424">
            <v>3539</v>
          </cell>
          <cell r="N1424">
            <v>1.9552616592511399E-6</v>
          </cell>
          <cell r="O1424">
            <v>3512</v>
          </cell>
          <cell r="P1424">
            <v>0.04</v>
          </cell>
          <cell r="Q1424">
            <v>2128</v>
          </cell>
        </row>
        <row r="1425">
          <cell r="B1425" t="str">
            <v>HICKS 1116LB16</v>
          </cell>
          <cell r="C1425">
            <v>83431116</v>
          </cell>
          <cell r="D1425" t="str">
            <v>HICKS 1116</v>
          </cell>
          <cell r="E1425" t="str">
            <v>LB16</v>
          </cell>
          <cell r="F1425" t="b">
            <v>0</v>
          </cell>
          <cell r="G1425">
            <v>13211.9514616085</v>
          </cell>
          <cell r="H1425">
            <v>4399.06523296668</v>
          </cell>
          <cell r="I1425">
            <v>97</v>
          </cell>
          <cell r="J1425">
            <v>5.1468254750161303E-5</v>
          </cell>
          <cell r="K1425">
            <v>3006</v>
          </cell>
          <cell r="L1425">
            <v>6.5597374337850095E-2</v>
          </cell>
          <cell r="M1425">
            <v>3335</v>
          </cell>
          <cell r="N1425">
            <v>3.3964427017233699E-6</v>
          </cell>
          <cell r="O1425">
            <v>3375</v>
          </cell>
          <cell r="P1425">
            <v>0.03</v>
          </cell>
          <cell r="Q1425">
            <v>2296</v>
          </cell>
        </row>
        <row r="1426">
          <cell r="B1426" t="str">
            <v>HICKS 2101574315</v>
          </cell>
          <cell r="C1426">
            <v>83432101</v>
          </cell>
          <cell r="D1426" t="str">
            <v>HICKS 2101</v>
          </cell>
          <cell r="E1426">
            <v>574315</v>
          </cell>
          <cell r="F1426" t="b">
            <v>0</v>
          </cell>
          <cell r="G1426">
            <v>12024.0849205549</v>
          </cell>
          <cell r="H1426">
            <v>11904.985243946199</v>
          </cell>
          <cell r="I1426">
            <v>78</v>
          </cell>
          <cell r="J1426">
            <v>1.08858728118001E-4</v>
          </cell>
          <cell r="K1426">
            <v>1429</v>
          </cell>
          <cell r="L1426">
            <v>65.671079891105094</v>
          </cell>
          <cell r="M1426">
            <v>2118</v>
          </cell>
          <cell r="N1426">
            <v>5.3180122450192397E-3</v>
          </cell>
          <cell r="O1426">
            <v>2194</v>
          </cell>
          <cell r="Q1426">
            <v>2800</v>
          </cell>
        </row>
        <row r="1427">
          <cell r="B1427" t="str">
            <v>HICKS 2101949522</v>
          </cell>
          <cell r="C1427">
            <v>83432101</v>
          </cell>
          <cell r="D1427" t="str">
            <v>HICKS 2101</v>
          </cell>
          <cell r="E1427">
            <v>949522</v>
          </cell>
          <cell r="F1427" t="b">
            <v>1</v>
          </cell>
          <cell r="G1427">
            <v>726.83279886257003</v>
          </cell>
          <cell r="H1427">
            <v>708.21713310160897</v>
          </cell>
          <cell r="I1427">
            <v>2</v>
          </cell>
          <cell r="J1427">
            <v>1.4681871107313701E-4</v>
          </cell>
          <cell r="K1427">
            <v>775</v>
          </cell>
          <cell r="L1427">
            <v>72.288273811340304</v>
          </cell>
          <cell r="M1427">
            <v>2082</v>
          </cell>
          <cell r="N1427">
            <v>3.5464374306444502E-3</v>
          </cell>
          <cell r="O1427">
            <v>2292</v>
          </cell>
          <cell r="Q1427">
            <v>3609</v>
          </cell>
        </row>
        <row r="1428">
          <cell r="B1428" t="str">
            <v>HICKS 2101984788</v>
          </cell>
          <cell r="C1428">
            <v>83432101</v>
          </cell>
          <cell r="D1428" t="str">
            <v>HICKS 2101</v>
          </cell>
          <cell r="E1428">
            <v>984788</v>
          </cell>
          <cell r="F1428" t="b">
            <v>1</v>
          </cell>
          <cell r="G1428">
            <v>5.0643705740422398</v>
          </cell>
          <cell r="H1428">
            <v>5.0643705740422398</v>
          </cell>
          <cell r="I1428">
            <v>1</v>
          </cell>
          <cell r="J1428">
            <v>7.6237804023548906E-5</v>
          </cell>
          <cell r="K1428">
            <v>2303</v>
          </cell>
          <cell r="L1428">
            <v>4898.92822265625</v>
          </cell>
          <cell r="M1428">
            <v>84</v>
          </cell>
          <cell r="N1428">
            <v>0.37348352976429999</v>
          </cell>
          <cell r="O1428">
            <v>77</v>
          </cell>
          <cell r="Q1428">
            <v>3623</v>
          </cell>
        </row>
        <row r="1429">
          <cell r="B1429" t="str">
            <v>HICKS 2101CB</v>
          </cell>
          <cell r="C1429">
            <v>83432101</v>
          </cell>
          <cell r="D1429" t="str">
            <v>HICKS 2101</v>
          </cell>
          <cell r="E1429" t="str">
            <v>CB</v>
          </cell>
          <cell r="F1429" t="b">
            <v>0</v>
          </cell>
          <cell r="G1429">
            <v>17493.694873956301</v>
          </cell>
          <cell r="H1429">
            <v>8660.4867047795997</v>
          </cell>
          <cell r="I1429">
            <v>20</v>
          </cell>
          <cell r="J1429">
            <v>9.4687344723129894E-5</v>
          </cell>
          <cell r="K1429">
            <v>1773</v>
          </cell>
          <cell r="L1429">
            <v>120.743132252246</v>
          </cell>
          <cell r="M1429">
            <v>1868</v>
          </cell>
          <cell r="N1429">
            <v>1.27417035009302E-2</v>
          </cell>
          <cell r="O1429">
            <v>1853</v>
          </cell>
          <cell r="Q1429">
            <v>3269</v>
          </cell>
        </row>
        <row r="1430">
          <cell r="B1430" t="str">
            <v>HICKS 2101XR162</v>
          </cell>
          <cell r="C1430">
            <v>83432101</v>
          </cell>
          <cell r="D1430" t="str">
            <v>HICKS 2101</v>
          </cell>
          <cell r="E1430" t="str">
            <v>XR162</v>
          </cell>
          <cell r="F1430" t="b">
            <v>1</v>
          </cell>
          <cell r="G1430">
            <v>14645.8547844146</v>
          </cell>
          <cell r="H1430">
            <v>989.17650867635803</v>
          </cell>
          <cell r="I1430">
            <v>122</v>
          </cell>
          <cell r="J1430">
            <v>5.6507866344470399E-5</v>
          </cell>
          <cell r="K1430">
            <v>2874</v>
          </cell>
          <cell r="L1430">
            <v>50.847261929121103</v>
          </cell>
          <cell r="M1430">
            <v>2208</v>
          </cell>
          <cell r="N1430">
            <v>3.5231785231116201E-3</v>
          </cell>
          <cell r="O1430">
            <v>2294</v>
          </cell>
          <cell r="P1430">
            <v>0.05</v>
          </cell>
          <cell r="Q1430">
            <v>1985</v>
          </cell>
        </row>
        <row r="1431">
          <cell r="B1431" t="str">
            <v>HICKS 2101XR250</v>
          </cell>
          <cell r="C1431">
            <v>83432101</v>
          </cell>
          <cell r="D1431" t="str">
            <v>HICKS 2101</v>
          </cell>
          <cell r="E1431" t="str">
            <v>XR250</v>
          </cell>
          <cell r="F1431" t="b">
            <v>1</v>
          </cell>
          <cell r="G1431">
            <v>9406.4623760586692</v>
          </cell>
          <cell r="H1431">
            <v>0</v>
          </cell>
          <cell r="I1431">
            <v>80</v>
          </cell>
          <cell r="J1431">
            <v>6.5498793605911403E-5</v>
          </cell>
          <cell r="K1431">
            <v>2601</v>
          </cell>
          <cell r="L1431">
            <v>5.0344976183355996</v>
          </cell>
          <cell r="M1431">
            <v>2750</v>
          </cell>
          <cell r="N1431">
            <v>5.7262362505522901E-4</v>
          </cell>
          <cell r="O1431">
            <v>2716</v>
          </cell>
          <cell r="P1431">
            <v>4.0999999999999996</v>
          </cell>
          <cell r="Q1431">
            <v>527</v>
          </cell>
        </row>
        <row r="1432">
          <cell r="B1432" t="str">
            <v>HICKS 2101XR548</v>
          </cell>
          <cell r="C1432">
            <v>83432101</v>
          </cell>
          <cell r="D1432" t="str">
            <v>HICKS 2101</v>
          </cell>
          <cell r="E1432" t="str">
            <v>XR548</v>
          </cell>
          <cell r="F1432" t="b">
            <v>0</v>
          </cell>
          <cell r="G1432">
            <v>14288.883881473799</v>
          </cell>
          <cell r="H1432">
            <v>2708.1629102576298</v>
          </cell>
          <cell r="I1432">
            <v>95</v>
          </cell>
          <cell r="J1432">
            <v>8.7871127557024702E-5</v>
          </cell>
          <cell r="K1432">
            <v>1987</v>
          </cell>
          <cell r="L1432">
            <v>271.265151939215</v>
          </cell>
          <cell r="M1432">
            <v>1492</v>
          </cell>
          <cell r="N1432">
            <v>2.3159034825126799E-2</v>
          </cell>
          <cell r="O1432">
            <v>1600</v>
          </cell>
          <cell r="P1432">
            <v>0.04</v>
          </cell>
          <cell r="Q1432">
            <v>2088</v>
          </cell>
        </row>
        <row r="1433">
          <cell r="B1433" t="str">
            <v>HICKS 2103LB50</v>
          </cell>
          <cell r="C1433">
            <v>83432103</v>
          </cell>
          <cell r="D1433" t="str">
            <v>HICKS 2103</v>
          </cell>
          <cell r="E1433" t="str">
            <v>LB50</v>
          </cell>
          <cell r="F1433" t="b">
            <v>0</v>
          </cell>
          <cell r="G1433">
            <v>18304.0567836724</v>
          </cell>
          <cell r="H1433">
            <v>18130.258143359199</v>
          </cell>
          <cell r="I1433">
            <v>65</v>
          </cell>
          <cell r="J1433">
            <v>1.28130651506898E-4</v>
          </cell>
          <cell r="K1433">
            <v>1046</v>
          </cell>
          <cell r="L1433">
            <v>26.260615792977301</v>
          </cell>
          <cell r="M1433">
            <v>2373</v>
          </cell>
          <cell r="N1433">
            <v>2.9902086754211299E-3</v>
          </cell>
          <cell r="O1433">
            <v>2352</v>
          </cell>
          <cell r="P1433">
            <v>0.21</v>
          </cell>
          <cell r="Q1433">
            <v>1142</v>
          </cell>
        </row>
        <row r="1434">
          <cell r="B1434" t="str">
            <v>HICKS 2103XR248</v>
          </cell>
          <cell r="C1434">
            <v>83432103</v>
          </cell>
          <cell r="D1434" t="str">
            <v>HICKS 2103</v>
          </cell>
          <cell r="E1434" t="str">
            <v>XR248</v>
          </cell>
          <cell r="F1434" t="b">
            <v>1</v>
          </cell>
          <cell r="G1434">
            <v>2436.81914362611</v>
          </cell>
          <cell r="H1434">
            <v>0</v>
          </cell>
          <cell r="I1434">
            <v>22</v>
          </cell>
          <cell r="J1434">
            <v>6.2539522332372103E-5</v>
          </cell>
          <cell r="K1434">
            <v>2700</v>
          </cell>
          <cell r="L1434">
            <v>6.5146990120410905E-2</v>
          </cell>
          <cell r="M1434">
            <v>3632</v>
          </cell>
          <cell r="N1434">
            <v>4.0742616435222602E-6</v>
          </cell>
          <cell r="O1434">
            <v>3333</v>
          </cell>
          <cell r="Q1434">
            <v>3052</v>
          </cell>
        </row>
        <row r="1435">
          <cell r="B1435" t="str">
            <v>HIGGINS 11032194</v>
          </cell>
          <cell r="C1435">
            <v>152691103</v>
          </cell>
          <cell r="D1435" t="str">
            <v>HIGGINS 1103</v>
          </cell>
          <cell r="E1435">
            <v>2194</v>
          </cell>
          <cell r="F1435" t="b">
            <v>0</v>
          </cell>
          <cell r="G1435">
            <v>4329.2095929759998</v>
          </cell>
          <cell r="H1435">
            <v>2142.6429308778702</v>
          </cell>
          <cell r="I1435">
            <v>36</v>
          </cell>
          <cell r="J1435">
            <v>1.8518579256326299E-4</v>
          </cell>
          <cell r="K1435">
            <v>470</v>
          </cell>
          <cell r="L1435">
            <v>3.3664003446625901</v>
          </cell>
          <cell r="M1435">
            <v>2801</v>
          </cell>
          <cell r="N1435">
            <v>6.0703126282773902E-4</v>
          </cell>
          <cell r="O1435">
            <v>2705</v>
          </cell>
          <cell r="P1435">
            <v>1.88</v>
          </cell>
          <cell r="Q1435">
            <v>634</v>
          </cell>
        </row>
        <row r="1436">
          <cell r="B1436" t="str">
            <v>HIGGINS 110332120</v>
          </cell>
          <cell r="C1436">
            <v>152691103</v>
          </cell>
          <cell r="D1436" t="str">
            <v>HIGGINS 1103</v>
          </cell>
          <cell r="E1436">
            <v>32120</v>
          </cell>
          <cell r="F1436" t="b">
            <v>0</v>
          </cell>
          <cell r="G1436">
            <v>65924.487158275399</v>
          </cell>
          <cell r="H1436">
            <v>65394.326932946402</v>
          </cell>
          <cell r="I1436">
            <v>485</v>
          </cell>
          <cell r="J1436">
            <v>1.54948546546667E-4</v>
          </cell>
          <cell r="K1436">
            <v>695</v>
          </cell>
          <cell r="L1436">
            <v>454.72885398074101</v>
          </cell>
          <cell r="M1436">
            <v>1240</v>
          </cell>
          <cell r="N1436">
            <v>4.9958860369929199E-2</v>
          </cell>
          <cell r="O1436">
            <v>1178</v>
          </cell>
          <cell r="P1436">
            <v>0.23</v>
          </cell>
          <cell r="Q1436">
            <v>1120</v>
          </cell>
        </row>
        <row r="1437">
          <cell r="B1437" t="str">
            <v>HIGGINS 11039753</v>
          </cell>
          <cell r="C1437">
            <v>152691103</v>
          </cell>
          <cell r="D1437" t="str">
            <v>HIGGINS 1103</v>
          </cell>
          <cell r="E1437">
            <v>9753</v>
          </cell>
          <cell r="F1437" t="b">
            <v>0</v>
          </cell>
          <cell r="G1437">
            <v>3306.11658931595</v>
          </cell>
          <cell r="H1437">
            <v>3306.11658931595</v>
          </cell>
          <cell r="I1437">
            <v>23</v>
          </cell>
          <cell r="J1437">
            <v>6.1493554075359896E-5</v>
          </cell>
          <cell r="K1437">
            <v>2733</v>
          </cell>
          <cell r="L1437">
            <v>2174.0980110876199</v>
          </cell>
          <cell r="M1437">
            <v>407</v>
          </cell>
          <cell r="N1437">
            <v>0.13059313583415399</v>
          </cell>
          <cell r="O1437">
            <v>602</v>
          </cell>
          <cell r="P1437">
            <v>0.08</v>
          </cell>
          <cell r="Q1437">
            <v>1584</v>
          </cell>
        </row>
        <row r="1438">
          <cell r="B1438" t="str">
            <v>HIGGINS 1103995672</v>
          </cell>
          <cell r="C1438">
            <v>152691103</v>
          </cell>
          <cell r="D1438" t="str">
            <v>HIGGINS 1103</v>
          </cell>
          <cell r="E1438">
            <v>995672</v>
          </cell>
          <cell r="F1438" t="b">
            <v>0</v>
          </cell>
          <cell r="G1438">
            <v>9263.8952506060195</v>
          </cell>
          <cell r="H1438">
            <v>5928.6386538030802</v>
          </cell>
          <cell r="I1438">
            <v>79</v>
          </cell>
          <cell r="J1438">
            <v>1.82578433286604E-4</v>
          </cell>
          <cell r="K1438">
            <v>492</v>
          </cell>
          <cell r="L1438">
            <v>13.4012668673415</v>
          </cell>
          <cell r="M1438">
            <v>2564</v>
          </cell>
          <cell r="N1438">
            <v>1.9604027412550699E-3</v>
          </cell>
          <cell r="O1438">
            <v>2482</v>
          </cell>
          <cell r="P1438">
            <v>0.08</v>
          </cell>
          <cell r="Q1438">
            <v>1645</v>
          </cell>
        </row>
        <row r="1439">
          <cell r="B1439" t="str">
            <v>HIGGINS 1103CB</v>
          </cell>
          <cell r="C1439">
            <v>152691103</v>
          </cell>
          <cell r="D1439" t="str">
            <v>HIGGINS 1103</v>
          </cell>
          <cell r="E1439" t="str">
            <v>CB</v>
          </cell>
          <cell r="F1439" t="b">
            <v>0</v>
          </cell>
          <cell r="G1439">
            <v>45692.9259642748</v>
          </cell>
          <cell r="H1439">
            <v>45174.683852346003</v>
          </cell>
          <cell r="I1439">
            <v>315</v>
          </cell>
          <cell r="J1439">
            <v>1.4304891643567599E-4</v>
          </cell>
          <cell r="K1439">
            <v>825</v>
          </cell>
          <cell r="L1439">
            <v>1166.4722394590799</v>
          </cell>
          <cell r="M1439">
            <v>747</v>
          </cell>
          <cell r="N1439">
            <v>0.119161985278033</v>
          </cell>
          <cell r="O1439">
            <v>651</v>
          </cell>
          <cell r="P1439">
            <v>0.25</v>
          </cell>
          <cell r="Q1439">
            <v>1090</v>
          </cell>
        </row>
        <row r="1440">
          <cell r="B1440" t="str">
            <v>HIGGINS 11041006</v>
          </cell>
          <cell r="C1440">
            <v>152691104</v>
          </cell>
          <cell r="D1440" t="str">
            <v>HIGGINS 1104</v>
          </cell>
          <cell r="E1440">
            <v>1006</v>
          </cell>
          <cell r="F1440" t="b">
            <v>0</v>
          </cell>
          <cell r="G1440">
            <v>32324.699246511002</v>
          </cell>
          <cell r="H1440">
            <v>17529.482635058299</v>
          </cell>
          <cell r="I1440">
            <v>266</v>
          </cell>
          <cell r="J1440">
            <v>1.7104886322165399E-4</v>
          </cell>
          <cell r="K1440">
            <v>556</v>
          </cell>
          <cell r="L1440">
            <v>184.06522658939201</v>
          </cell>
          <cell r="M1440">
            <v>1676</v>
          </cell>
          <cell r="N1440">
            <v>1.4638722489515201E-2</v>
          </cell>
          <cell r="O1440">
            <v>1798</v>
          </cell>
          <cell r="P1440">
            <v>0.05</v>
          </cell>
          <cell r="Q1440">
            <v>1920</v>
          </cell>
        </row>
        <row r="1441">
          <cell r="B1441" t="str">
            <v>HIGGINS 11041374</v>
          </cell>
          <cell r="C1441">
            <v>152691104</v>
          </cell>
          <cell r="D1441" t="str">
            <v>HIGGINS 1104</v>
          </cell>
          <cell r="E1441">
            <v>1374</v>
          </cell>
          <cell r="F1441" t="b">
            <v>0</v>
          </cell>
          <cell r="G1441">
            <v>13460.5941122893</v>
          </cell>
          <cell r="H1441">
            <v>12470.1526788919</v>
          </cell>
          <cell r="I1441">
            <v>117</v>
          </cell>
          <cell r="J1441">
            <v>1.7559542408353301E-4</v>
          </cell>
          <cell r="K1441">
            <v>523</v>
          </cell>
          <cell r="L1441">
            <v>21.2591908358125</v>
          </cell>
          <cell r="M1441">
            <v>2433</v>
          </cell>
          <cell r="N1441">
            <v>3.46936680055007E-3</v>
          </cell>
          <cell r="O1441">
            <v>2299</v>
          </cell>
          <cell r="P1441">
            <v>0.12</v>
          </cell>
          <cell r="Q1441">
            <v>1408</v>
          </cell>
        </row>
        <row r="1442">
          <cell r="B1442" t="str">
            <v>HIGGINS 1104324510</v>
          </cell>
          <cell r="C1442">
            <v>152691104</v>
          </cell>
          <cell r="D1442" t="str">
            <v>HIGGINS 1104</v>
          </cell>
          <cell r="E1442">
            <v>324510</v>
          </cell>
          <cell r="F1442" t="b">
            <v>0</v>
          </cell>
          <cell r="G1442">
            <v>20073.601562271098</v>
          </cell>
          <cell r="H1442">
            <v>20073.601562271098</v>
          </cell>
          <cell r="I1442">
            <v>154</v>
          </cell>
          <cell r="J1442">
            <v>6.2523373320824203E-5</v>
          </cell>
          <cell r="K1442">
            <v>2702</v>
          </cell>
          <cell r="L1442">
            <v>194.52574445068601</v>
          </cell>
          <cell r="M1442">
            <v>1656</v>
          </cell>
          <cell r="N1442">
            <v>1.1403635985848801E-2</v>
          </cell>
          <cell r="O1442">
            <v>1907</v>
          </cell>
          <cell r="P1442">
            <v>0.14000000000000001</v>
          </cell>
          <cell r="Q1442">
            <v>1320</v>
          </cell>
        </row>
        <row r="1443">
          <cell r="B1443" t="str">
            <v>HIGGINS 110432747</v>
          </cell>
          <cell r="C1443">
            <v>152691104</v>
          </cell>
          <cell r="D1443" t="str">
            <v>HIGGINS 1104</v>
          </cell>
          <cell r="E1443">
            <v>32747</v>
          </cell>
          <cell r="F1443" t="b">
            <v>0</v>
          </cell>
          <cell r="G1443">
            <v>2820.8108466640801</v>
          </cell>
          <cell r="H1443">
            <v>1047.4929480296501</v>
          </cell>
          <cell r="I1443">
            <v>26</v>
          </cell>
          <cell r="J1443">
            <v>1.46487142466447E-4</v>
          </cell>
          <cell r="K1443">
            <v>780</v>
          </cell>
          <cell r="L1443">
            <v>1.2824513433229601</v>
          </cell>
          <cell r="M1443">
            <v>2876</v>
          </cell>
          <cell r="N1443">
            <v>1.6086307639342299E-4</v>
          </cell>
          <cell r="O1443">
            <v>2851</v>
          </cell>
          <cell r="P1443">
            <v>1.65</v>
          </cell>
          <cell r="Q1443">
            <v>658</v>
          </cell>
        </row>
        <row r="1444">
          <cell r="B1444" t="str">
            <v>HIGGINS 11044281</v>
          </cell>
          <cell r="C1444">
            <v>152691104</v>
          </cell>
          <cell r="D1444" t="str">
            <v>HIGGINS 1104</v>
          </cell>
          <cell r="E1444">
            <v>4281</v>
          </cell>
          <cell r="F1444" t="b">
            <v>0</v>
          </cell>
          <cell r="G1444">
            <v>21439.832029327201</v>
          </cell>
          <cell r="H1444">
            <v>21439.832029327201</v>
          </cell>
          <cell r="I1444">
            <v>138</v>
          </cell>
          <cell r="J1444">
            <v>8.4233945721027902E-5</v>
          </cell>
          <cell r="K1444">
            <v>2085</v>
          </cell>
          <cell r="L1444">
            <v>980.95594306683597</v>
          </cell>
          <cell r="M1444">
            <v>844</v>
          </cell>
          <cell r="N1444">
            <v>7.8646310052212204E-2</v>
          </cell>
          <cell r="O1444">
            <v>912</v>
          </cell>
          <cell r="P1444">
            <v>0.09</v>
          </cell>
          <cell r="Q1444">
            <v>1527</v>
          </cell>
        </row>
        <row r="1445">
          <cell r="B1445" t="str">
            <v>HIGGINS 1104498932</v>
          </cell>
          <cell r="C1445">
            <v>152691104</v>
          </cell>
          <cell r="D1445" t="str">
            <v>HIGGINS 1104</v>
          </cell>
          <cell r="E1445">
            <v>498932</v>
          </cell>
          <cell r="F1445" t="b">
            <v>0</v>
          </cell>
          <cell r="G1445">
            <v>6861.4640550055001</v>
          </cell>
          <cell r="H1445">
            <v>6024.2456307666298</v>
          </cell>
          <cell r="I1445">
            <v>57</v>
          </cell>
          <cell r="J1445">
            <v>1.4671529763226999E-4</v>
          </cell>
          <cell r="K1445">
            <v>777</v>
          </cell>
          <cell r="L1445">
            <v>8.6826463452180906</v>
          </cell>
          <cell r="M1445">
            <v>2649</v>
          </cell>
          <cell r="N1445">
            <v>1.0075628291394401E-3</v>
          </cell>
          <cell r="O1445">
            <v>2628</v>
          </cell>
          <cell r="P1445">
            <v>0.09</v>
          </cell>
          <cell r="Q1445">
            <v>1548</v>
          </cell>
        </row>
        <row r="1446">
          <cell r="B1446" t="str">
            <v>HIGGINS 1104533648</v>
          </cell>
          <cell r="C1446">
            <v>152691104</v>
          </cell>
          <cell r="D1446" t="str">
            <v>HIGGINS 1104</v>
          </cell>
          <cell r="E1446">
            <v>533648</v>
          </cell>
          <cell r="F1446" t="b">
            <v>0</v>
          </cell>
          <cell r="G1446">
            <v>10867.8258445751</v>
          </cell>
          <cell r="H1446">
            <v>10867.8258445751</v>
          </cell>
          <cell r="I1446">
            <v>93</v>
          </cell>
          <cell r="J1446">
            <v>1.620494809314E-4</v>
          </cell>
          <cell r="K1446">
            <v>621</v>
          </cell>
          <cell r="L1446">
            <v>8.4995024016901901</v>
          </cell>
          <cell r="M1446">
            <v>2655</v>
          </cell>
          <cell r="N1446">
            <v>1.43232847035143E-3</v>
          </cell>
          <cell r="O1446">
            <v>2568</v>
          </cell>
          <cell r="P1446">
            <v>0.11</v>
          </cell>
          <cell r="Q1446">
            <v>1415</v>
          </cell>
        </row>
        <row r="1447">
          <cell r="B1447" t="str">
            <v>HIGGINS 1104842642</v>
          </cell>
          <cell r="C1447">
            <v>152691104</v>
          </cell>
          <cell r="D1447" t="str">
            <v>HIGGINS 1104</v>
          </cell>
          <cell r="E1447">
            <v>842642</v>
          </cell>
          <cell r="F1447" t="b">
            <v>0</v>
          </cell>
          <cell r="G1447">
            <v>9353.8420351348504</v>
          </cell>
          <cell r="H1447">
            <v>9353.8420351348504</v>
          </cell>
          <cell r="I1447">
            <v>80</v>
          </cell>
          <cell r="J1447">
            <v>1.50436896228711E-4</v>
          </cell>
          <cell r="K1447">
            <v>731</v>
          </cell>
          <cell r="L1447">
            <v>10.166950918541399</v>
          </cell>
          <cell r="M1447">
            <v>2622</v>
          </cell>
          <cell r="N1447">
            <v>1.0502665698337401E-3</v>
          </cell>
          <cell r="O1447">
            <v>2621</v>
          </cell>
          <cell r="P1447">
            <v>0.11</v>
          </cell>
          <cell r="Q1447">
            <v>1445</v>
          </cell>
        </row>
        <row r="1448">
          <cell r="B1448" t="str">
            <v>HIGGINS 1104CB</v>
          </cell>
          <cell r="C1448">
            <v>152691104</v>
          </cell>
          <cell r="D1448" t="str">
            <v>HIGGINS 1104</v>
          </cell>
          <cell r="E1448" t="str">
            <v>CB</v>
          </cell>
          <cell r="F1448" t="b">
            <v>0</v>
          </cell>
          <cell r="G1448">
            <v>18716.511046832598</v>
          </cell>
          <cell r="H1448">
            <v>18050.107202015599</v>
          </cell>
          <cell r="I1448">
            <v>124</v>
          </cell>
          <cell r="J1448">
            <v>1.3240770191966301E-4</v>
          </cell>
          <cell r="K1448">
            <v>974</v>
          </cell>
          <cell r="L1448">
            <v>792.69794136360599</v>
          </cell>
          <cell r="M1448">
            <v>948</v>
          </cell>
          <cell r="N1448">
            <v>0.115921548028094</v>
          </cell>
          <cell r="O1448">
            <v>669</v>
          </cell>
          <cell r="P1448">
            <v>0.08</v>
          </cell>
          <cell r="Q1448">
            <v>1643</v>
          </cell>
        </row>
        <row r="1449">
          <cell r="B1449" t="str">
            <v>HIGGINS 11071070</v>
          </cell>
          <cell r="C1449">
            <v>152691107</v>
          </cell>
          <cell r="D1449" t="str">
            <v>HIGGINS 1107</v>
          </cell>
          <cell r="E1449">
            <v>1070</v>
          </cell>
          <cell r="F1449" t="b">
            <v>0</v>
          </cell>
          <cell r="G1449">
            <v>13188.313533311701</v>
          </cell>
          <cell r="H1449">
            <v>12735.664596652001</v>
          </cell>
          <cell r="I1449">
            <v>100</v>
          </cell>
          <cell r="J1449">
            <v>8.3599862628034295E-5</v>
          </cell>
          <cell r="K1449">
            <v>2108</v>
          </cell>
          <cell r="L1449">
            <v>545.06955795659599</v>
          </cell>
          <cell r="M1449">
            <v>1153</v>
          </cell>
          <cell r="N1449">
            <v>4.8737307233753899E-2</v>
          </cell>
          <cell r="O1449">
            <v>1188</v>
          </cell>
          <cell r="P1449">
            <v>0.08</v>
          </cell>
          <cell r="Q1449">
            <v>1639</v>
          </cell>
        </row>
        <row r="1450">
          <cell r="B1450" t="str">
            <v>HIGGINS 1107746082</v>
          </cell>
          <cell r="C1450">
            <v>152691107</v>
          </cell>
          <cell r="D1450" t="str">
            <v>HIGGINS 1107</v>
          </cell>
          <cell r="E1450">
            <v>746082</v>
          </cell>
          <cell r="F1450" t="b">
            <v>0</v>
          </cell>
          <cell r="G1450">
            <v>1306.1318016462899</v>
          </cell>
          <cell r="H1450">
            <v>1306.1318016462899</v>
          </cell>
          <cell r="I1450">
            <v>6</v>
          </cell>
          <cell r="J1450">
            <v>1.15468954390962E-4</v>
          </cell>
          <cell r="K1450">
            <v>1287</v>
          </cell>
          <cell r="L1450">
            <v>1442.5612002831999</v>
          </cell>
          <cell r="M1450">
            <v>617</v>
          </cell>
          <cell r="N1450">
            <v>0.140161672051967</v>
          </cell>
          <cell r="O1450">
            <v>570</v>
          </cell>
          <cell r="P1450">
            <v>0.11</v>
          </cell>
          <cell r="Q1450">
            <v>1442</v>
          </cell>
        </row>
        <row r="1451">
          <cell r="B1451" t="str">
            <v>HIGGINS 11077559</v>
          </cell>
          <cell r="C1451">
            <v>152691107</v>
          </cell>
          <cell r="D1451" t="str">
            <v>HIGGINS 1107</v>
          </cell>
          <cell r="E1451">
            <v>7559</v>
          </cell>
          <cell r="F1451" t="b">
            <v>0</v>
          </cell>
          <cell r="G1451">
            <v>7193.5228796885303</v>
          </cell>
          <cell r="H1451">
            <v>7193.5228796885303</v>
          </cell>
          <cell r="I1451">
            <v>52</v>
          </cell>
          <cell r="J1451">
            <v>6.8485939244475495E-5</v>
          </cell>
          <cell r="K1451">
            <v>2522</v>
          </cell>
          <cell r="L1451">
            <v>1663.4994028123001</v>
          </cell>
          <cell r="M1451">
            <v>538</v>
          </cell>
          <cell r="N1451">
            <v>9.9806666436415795E-2</v>
          </cell>
          <cell r="O1451">
            <v>765</v>
          </cell>
          <cell r="P1451">
            <v>0.1</v>
          </cell>
          <cell r="Q1451">
            <v>1474</v>
          </cell>
        </row>
        <row r="1452">
          <cell r="B1452" t="str">
            <v>HIGGINS 1107CB</v>
          </cell>
          <cell r="C1452">
            <v>152691107</v>
          </cell>
          <cell r="D1452" t="str">
            <v>HIGGINS 1107</v>
          </cell>
          <cell r="E1452" t="str">
            <v>CB</v>
          </cell>
          <cell r="F1452" t="b">
            <v>0</v>
          </cell>
          <cell r="G1452">
            <v>30614.892207973298</v>
          </cell>
          <cell r="H1452">
            <v>9216.7854029296905</v>
          </cell>
          <cell r="I1452">
            <v>243</v>
          </cell>
          <cell r="J1452">
            <v>2.3354663850219001E-4</v>
          </cell>
          <cell r="K1452">
            <v>268</v>
          </cell>
          <cell r="L1452">
            <v>176.68707550809</v>
          </cell>
          <cell r="M1452">
            <v>1693</v>
          </cell>
          <cell r="N1452">
            <v>3.8730073578134301E-2</v>
          </cell>
          <cell r="O1452">
            <v>1320</v>
          </cell>
          <cell r="P1452">
            <v>0.04</v>
          </cell>
          <cell r="Q1452">
            <v>2075</v>
          </cell>
        </row>
        <row r="1453">
          <cell r="B1453" t="str">
            <v>HIGGINS 110950072</v>
          </cell>
          <cell r="C1453">
            <v>152691109</v>
          </cell>
          <cell r="D1453" t="str">
            <v>HIGGINS 1109</v>
          </cell>
          <cell r="E1453">
            <v>50072</v>
          </cell>
          <cell r="F1453" t="b">
            <v>0</v>
          </cell>
          <cell r="G1453">
            <v>68212.365649637504</v>
          </cell>
          <cell r="H1453">
            <v>68212.365649637504</v>
          </cell>
          <cell r="I1453">
            <v>424</v>
          </cell>
          <cell r="J1453">
            <v>8.3822514750059605E-5</v>
          </cell>
          <cell r="K1453">
            <v>2099</v>
          </cell>
          <cell r="L1453">
            <v>2904.6654486335801</v>
          </cell>
          <cell r="M1453">
            <v>290</v>
          </cell>
          <cell r="N1453">
            <v>0.26524352818676999</v>
          </cell>
          <cell r="O1453">
            <v>186</v>
          </cell>
          <cell r="P1453">
            <v>0.17</v>
          </cell>
          <cell r="Q1453">
            <v>1228</v>
          </cell>
        </row>
        <row r="1454">
          <cell r="B1454" t="str">
            <v>HIGGINS 110950078</v>
          </cell>
          <cell r="C1454">
            <v>152691109</v>
          </cell>
          <cell r="D1454" t="str">
            <v>HIGGINS 1109</v>
          </cell>
          <cell r="E1454">
            <v>50078</v>
          </cell>
          <cell r="F1454" t="b">
            <v>0</v>
          </cell>
          <cell r="G1454">
            <v>77925.0015467872</v>
          </cell>
          <cell r="H1454">
            <v>77925.0015467872</v>
          </cell>
          <cell r="I1454">
            <v>427</v>
          </cell>
          <cell r="J1454">
            <v>6.6515831778661704E-5</v>
          </cell>
          <cell r="K1454">
            <v>2573</v>
          </cell>
          <cell r="L1454">
            <v>3492.1838162068102</v>
          </cell>
          <cell r="M1454">
            <v>203</v>
          </cell>
          <cell r="N1454">
            <v>0.22791438694574301</v>
          </cell>
          <cell r="O1454">
            <v>264</v>
          </cell>
          <cell r="P1454">
            <v>0.18</v>
          </cell>
          <cell r="Q1454">
            <v>1215</v>
          </cell>
        </row>
        <row r="1455">
          <cell r="B1455" t="str">
            <v>HIGGINS 1109594</v>
          </cell>
          <cell r="C1455">
            <v>152691109</v>
          </cell>
          <cell r="D1455" t="str">
            <v>HIGGINS 1109</v>
          </cell>
          <cell r="E1455">
            <v>594</v>
          </cell>
          <cell r="F1455" t="b">
            <v>0</v>
          </cell>
          <cell r="G1455">
            <v>23079.044722105598</v>
          </cell>
          <cell r="H1455">
            <v>23079.044722105598</v>
          </cell>
          <cell r="I1455">
            <v>155</v>
          </cell>
          <cell r="J1455">
            <v>1.19293334432473E-4</v>
          </cell>
          <cell r="K1455">
            <v>1200</v>
          </cell>
          <cell r="L1455">
            <v>1640.47131347611</v>
          </cell>
          <cell r="M1455">
            <v>546</v>
          </cell>
          <cell r="N1455">
            <v>0.17562542644604001</v>
          </cell>
          <cell r="O1455">
            <v>412</v>
          </cell>
          <cell r="P1455">
            <v>0.16</v>
          </cell>
          <cell r="Q1455">
            <v>1253</v>
          </cell>
        </row>
        <row r="1456">
          <cell r="B1456" t="str">
            <v>HIGGINS 11097831</v>
          </cell>
          <cell r="C1456">
            <v>152691109</v>
          </cell>
          <cell r="D1456" t="str">
            <v>HIGGINS 1109</v>
          </cell>
          <cell r="E1456">
            <v>7831</v>
          </cell>
          <cell r="F1456" t="b">
            <v>0</v>
          </cell>
          <cell r="G1456">
            <v>14300.9674002306</v>
          </cell>
          <cell r="H1456">
            <v>14300.9674002306</v>
          </cell>
          <cell r="I1456">
            <v>86</v>
          </cell>
          <cell r="J1456">
            <v>5.81644529987432E-5</v>
          </cell>
          <cell r="K1456">
            <v>2831</v>
          </cell>
          <cell r="L1456">
            <v>1904.47237922353</v>
          </cell>
          <cell r="M1456">
            <v>475</v>
          </cell>
          <cell r="N1456">
            <v>0.111300912169546</v>
          </cell>
          <cell r="O1456">
            <v>707</v>
          </cell>
          <cell r="P1456">
            <v>0.1</v>
          </cell>
          <cell r="Q1456">
            <v>1473</v>
          </cell>
        </row>
        <row r="1457">
          <cell r="B1457" t="str">
            <v>HIGGINS 11097863</v>
          </cell>
          <cell r="C1457">
            <v>152691109</v>
          </cell>
          <cell r="D1457" t="str">
            <v>HIGGINS 1109</v>
          </cell>
          <cell r="E1457">
            <v>7863</v>
          </cell>
          <cell r="F1457" t="b">
            <v>0</v>
          </cell>
          <cell r="G1457">
            <v>6797.0988263785503</v>
          </cell>
          <cell r="H1457">
            <v>6797.0988263785503</v>
          </cell>
          <cell r="I1457">
            <v>42</v>
          </cell>
          <cell r="J1457">
            <v>6.11617479513543E-5</v>
          </cell>
          <cell r="K1457">
            <v>2744</v>
          </cell>
          <cell r="L1457">
            <v>1254.51825954486</v>
          </cell>
          <cell r="M1457">
            <v>699</v>
          </cell>
          <cell r="N1457">
            <v>7.8616496930544996E-2</v>
          </cell>
          <cell r="O1457">
            <v>913</v>
          </cell>
          <cell r="P1457">
            <v>0.06</v>
          </cell>
          <cell r="Q1457">
            <v>1859</v>
          </cell>
        </row>
        <row r="1458">
          <cell r="B1458" t="str">
            <v>HIGGINS 1109CB</v>
          </cell>
          <cell r="C1458">
            <v>152691109</v>
          </cell>
          <cell r="D1458" t="str">
            <v>HIGGINS 1109</v>
          </cell>
          <cell r="E1458" t="str">
            <v>CB</v>
          </cell>
          <cell r="F1458" t="b">
            <v>0</v>
          </cell>
          <cell r="G1458">
            <v>37179.854717438</v>
          </cell>
          <cell r="H1458">
            <v>36440.098877938697</v>
          </cell>
          <cell r="I1458">
            <v>254</v>
          </cell>
          <cell r="J1458">
            <v>1.2368038828879701E-4</v>
          </cell>
          <cell r="K1458">
            <v>1127</v>
          </cell>
          <cell r="L1458">
            <v>2336.1435494719399</v>
          </cell>
          <cell r="M1458">
            <v>377</v>
          </cell>
          <cell r="N1458">
            <v>0.267839957209968</v>
          </cell>
          <cell r="O1458">
            <v>182</v>
          </cell>
          <cell r="P1458">
            <v>0.11</v>
          </cell>
          <cell r="Q1458">
            <v>1411</v>
          </cell>
        </row>
        <row r="1459">
          <cell r="B1459" t="str">
            <v>HIGGINS 1110166282</v>
          </cell>
          <cell r="C1459">
            <v>152691110</v>
          </cell>
          <cell r="D1459" t="str">
            <v>HIGGINS 1110</v>
          </cell>
          <cell r="E1459">
            <v>166282</v>
          </cell>
          <cell r="F1459" t="b">
            <v>0</v>
          </cell>
          <cell r="G1459">
            <v>38601.3639551792</v>
          </cell>
          <cell r="H1459">
            <v>38601.3639551792</v>
          </cell>
          <cell r="I1459">
            <v>256</v>
          </cell>
          <cell r="J1459">
            <v>1.2662033274324301E-4</v>
          </cell>
          <cell r="K1459">
            <v>1069</v>
          </cell>
          <cell r="L1459">
            <v>425.84591657266702</v>
          </cell>
          <cell r="M1459">
            <v>1266</v>
          </cell>
          <cell r="N1459">
            <v>4.2498352869297602E-2</v>
          </cell>
          <cell r="O1459">
            <v>1259</v>
          </cell>
          <cell r="Q1459">
            <v>2757</v>
          </cell>
        </row>
        <row r="1460">
          <cell r="B1460" t="str">
            <v>HIGGINS 11102408</v>
          </cell>
          <cell r="C1460">
            <v>152691110</v>
          </cell>
          <cell r="D1460" t="str">
            <v>HIGGINS 1110</v>
          </cell>
          <cell r="E1460">
            <v>2408</v>
          </cell>
          <cell r="F1460" t="b">
            <v>0</v>
          </cell>
          <cell r="G1460">
            <v>18614.566083025002</v>
          </cell>
          <cell r="H1460">
            <v>18614.566083025002</v>
          </cell>
          <cell r="I1460">
            <v>124</v>
          </cell>
          <cell r="J1460">
            <v>1.06003638628012E-4</v>
          </cell>
          <cell r="K1460">
            <v>1493</v>
          </cell>
          <cell r="L1460">
            <v>623.620343537439</v>
          </cell>
          <cell r="M1460">
            <v>1079</v>
          </cell>
          <cell r="N1460">
            <v>6.0863907104878698E-2</v>
          </cell>
          <cell r="O1460">
            <v>1054</v>
          </cell>
          <cell r="P1460">
            <v>0.34</v>
          </cell>
          <cell r="Q1460">
            <v>981</v>
          </cell>
        </row>
        <row r="1461">
          <cell r="B1461" t="str">
            <v>HIGGINS 111051794</v>
          </cell>
          <cell r="C1461">
            <v>152691110</v>
          </cell>
          <cell r="D1461" t="str">
            <v>HIGGINS 1110</v>
          </cell>
          <cell r="E1461">
            <v>51794</v>
          </cell>
          <cell r="F1461" t="b">
            <v>0</v>
          </cell>
          <cell r="G1461">
            <v>6308.4166507268201</v>
          </cell>
          <cell r="H1461">
            <v>6303.8445592251501</v>
          </cell>
          <cell r="I1461">
            <v>32</v>
          </cell>
          <cell r="J1461">
            <v>2.1523119357880199E-4</v>
          </cell>
          <cell r="K1461">
            <v>339</v>
          </cell>
          <cell r="L1461">
            <v>651.60998906329905</v>
          </cell>
          <cell r="M1461">
            <v>1061</v>
          </cell>
          <cell r="N1461">
            <v>0.1688325797679</v>
          </cell>
          <cell r="O1461">
            <v>443</v>
          </cell>
          <cell r="P1461">
            <v>0.05</v>
          </cell>
          <cell r="Q1461">
            <v>1924</v>
          </cell>
        </row>
        <row r="1462">
          <cell r="B1462" t="str">
            <v>HIGGINS 1110861610</v>
          </cell>
          <cell r="C1462">
            <v>152691110</v>
          </cell>
          <cell r="D1462" t="str">
            <v>HIGGINS 1110</v>
          </cell>
          <cell r="E1462">
            <v>861610</v>
          </cell>
          <cell r="F1462" t="b">
            <v>0</v>
          </cell>
          <cell r="G1462">
            <v>11222.360298448501</v>
          </cell>
          <cell r="H1462">
            <v>1689.7743420485799</v>
          </cell>
          <cell r="I1462">
            <v>99</v>
          </cell>
          <cell r="J1462">
            <v>2.7832815844290397E-4</v>
          </cell>
          <cell r="K1462">
            <v>162</v>
          </cell>
          <cell r="L1462">
            <v>23.491581454564301</v>
          </cell>
          <cell r="M1462">
            <v>2410</v>
          </cell>
          <cell r="N1462">
            <v>6.52858932137071E-3</v>
          </cell>
          <cell r="O1462">
            <v>2120</v>
          </cell>
          <cell r="Q1462">
            <v>2695</v>
          </cell>
        </row>
        <row r="1463">
          <cell r="B1463" t="str">
            <v>HIGGINS 1110869408</v>
          </cell>
          <cell r="C1463">
            <v>152691110</v>
          </cell>
          <cell r="D1463" t="str">
            <v>HIGGINS 1110</v>
          </cell>
          <cell r="E1463">
            <v>869408</v>
          </cell>
          <cell r="F1463" t="b">
            <v>1</v>
          </cell>
          <cell r="G1463">
            <v>710.71028545776403</v>
          </cell>
          <cell r="H1463">
            <v>710.71028545776403</v>
          </cell>
          <cell r="I1463">
            <v>6</v>
          </cell>
          <cell r="J1463">
            <v>1.6423106717411399E-4</v>
          </cell>
          <cell r="K1463">
            <v>597</v>
          </cell>
          <cell r="L1463">
            <v>150.59668736239001</v>
          </cell>
          <cell r="M1463">
            <v>1775</v>
          </cell>
          <cell r="N1463">
            <v>2.7041185360792301E-2</v>
          </cell>
          <cell r="O1463">
            <v>1513</v>
          </cell>
          <cell r="Q1463">
            <v>2977</v>
          </cell>
        </row>
        <row r="1464">
          <cell r="B1464" t="str">
            <v>HIGGINS 1110CB</v>
          </cell>
          <cell r="C1464">
            <v>152691110</v>
          </cell>
          <cell r="D1464" t="str">
            <v>HIGGINS 1110</v>
          </cell>
          <cell r="E1464" t="str">
            <v>CB</v>
          </cell>
          <cell r="F1464" t="b">
            <v>0</v>
          </cell>
          <cell r="G1464">
            <v>17394.4701573026</v>
          </cell>
          <cell r="H1464">
            <v>14019.0952471533</v>
          </cell>
          <cell r="I1464">
            <v>134</v>
          </cell>
          <cell r="J1464">
            <v>2.31843630519587E-4</v>
          </cell>
          <cell r="K1464">
            <v>280</v>
          </cell>
          <cell r="L1464">
            <v>615.37894938694706</v>
          </cell>
          <cell r="M1464">
            <v>1088</v>
          </cell>
          <cell r="N1464">
            <v>0.11172149492002301</v>
          </cell>
          <cell r="O1464">
            <v>704</v>
          </cell>
          <cell r="P1464">
            <v>0.06</v>
          </cell>
          <cell r="Q1464">
            <v>1909</v>
          </cell>
        </row>
        <row r="1465">
          <cell r="B1465" t="str">
            <v>HIGHLANDS 1101CB</v>
          </cell>
          <cell r="C1465">
            <v>43361101</v>
          </cell>
          <cell r="D1465" t="str">
            <v>HIGHLANDS 1101</v>
          </cell>
          <cell r="E1465" t="str">
            <v>CB</v>
          </cell>
          <cell r="F1465" t="b">
            <v>1</v>
          </cell>
          <cell r="G1465">
            <v>42.501941755413696</v>
          </cell>
          <cell r="H1465">
            <v>42.501941755413696</v>
          </cell>
          <cell r="I1465">
            <v>1</v>
          </cell>
          <cell r="J1465">
            <v>9.8386633908376098E-5</v>
          </cell>
          <cell r="K1465">
            <v>1681</v>
          </cell>
          <cell r="L1465">
            <v>6.6431607551183297E-2</v>
          </cell>
          <cell r="M1465">
            <v>2999</v>
          </cell>
          <cell r="N1465">
            <v>6.5359822520831797E-6</v>
          </cell>
          <cell r="O1465">
            <v>3186</v>
          </cell>
          <cell r="P1465">
            <v>0.03</v>
          </cell>
          <cell r="Q1465">
            <v>2336</v>
          </cell>
        </row>
        <row r="1466">
          <cell r="B1466" t="str">
            <v>HIGHLANDS 1102556</v>
          </cell>
          <cell r="C1466">
            <v>43361102</v>
          </cell>
          <cell r="D1466" t="str">
            <v>HIGHLANDS 1102</v>
          </cell>
          <cell r="E1466">
            <v>556</v>
          </cell>
          <cell r="F1466" t="b">
            <v>1</v>
          </cell>
          <cell r="G1466">
            <v>12171.5187416013</v>
          </cell>
          <cell r="H1466">
            <v>285.91310554896199</v>
          </cell>
          <cell r="I1466">
            <v>90</v>
          </cell>
          <cell r="J1466">
            <v>6.0968595274365102E-5</v>
          </cell>
          <cell r="K1466">
            <v>2748</v>
          </cell>
          <cell r="L1466">
            <v>422.95868475091498</v>
          </cell>
          <cell r="M1466">
            <v>1269</v>
          </cell>
          <cell r="N1466">
            <v>2.7227352292466801E-2</v>
          </cell>
          <cell r="O1466">
            <v>1510</v>
          </cell>
          <cell r="P1466">
            <v>1.68</v>
          </cell>
          <cell r="Q1466">
            <v>652</v>
          </cell>
        </row>
        <row r="1467">
          <cell r="B1467" t="str">
            <v>HIGHLANDS 1102623120</v>
          </cell>
          <cell r="C1467">
            <v>43361102</v>
          </cell>
          <cell r="D1467" t="str">
            <v>HIGHLANDS 1102</v>
          </cell>
          <cell r="E1467">
            <v>623120</v>
          </cell>
          <cell r="F1467" t="b">
            <v>0</v>
          </cell>
          <cell r="G1467">
            <v>12233.579004352599</v>
          </cell>
          <cell r="H1467">
            <v>10535.1094454586</v>
          </cell>
          <cell r="I1467">
            <v>67</v>
          </cell>
          <cell r="J1467">
            <v>1.31705792558601E-4</v>
          </cell>
          <cell r="K1467">
            <v>986</v>
          </cell>
          <cell r="L1467">
            <v>3211.10579371209</v>
          </cell>
          <cell r="M1467">
            <v>239</v>
          </cell>
          <cell r="N1467">
            <v>0.37739562519504999</v>
          </cell>
          <cell r="O1467">
            <v>74</v>
          </cell>
          <cell r="Q1467">
            <v>2966</v>
          </cell>
        </row>
        <row r="1468">
          <cell r="B1468" t="str">
            <v>HIGHLANDS 1102628</v>
          </cell>
          <cell r="C1468">
            <v>43361102</v>
          </cell>
          <cell r="D1468" t="str">
            <v>HIGHLANDS 1102</v>
          </cell>
          <cell r="E1468">
            <v>628</v>
          </cell>
          <cell r="F1468" t="b">
            <v>0</v>
          </cell>
          <cell r="G1468">
            <v>22883.904994214499</v>
          </cell>
          <cell r="H1468">
            <v>22883.904994214499</v>
          </cell>
          <cell r="I1468">
            <v>51</v>
          </cell>
          <cell r="J1468">
            <v>1.00643035805159E-4</v>
          </cell>
          <cell r="K1468">
            <v>1633</v>
          </cell>
          <cell r="L1468">
            <v>5903.6104528673504</v>
          </cell>
          <cell r="M1468">
            <v>33</v>
          </cell>
          <cell r="N1468">
            <v>0.54870131115374099</v>
          </cell>
          <cell r="O1468">
            <v>27</v>
          </cell>
          <cell r="P1468">
            <v>5.08</v>
          </cell>
          <cell r="Q1468">
            <v>496</v>
          </cell>
        </row>
        <row r="1469">
          <cell r="B1469" t="str">
            <v>HIGHLANDS 110275140</v>
          </cell>
          <cell r="C1469">
            <v>43361102</v>
          </cell>
          <cell r="D1469" t="str">
            <v>HIGHLANDS 1102</v>
          </cell>
          <cell r="E1469">
            <v>75140</v>
          </cell>
          <cell r="F1469" t="b">
            <v>0</v>
          </cell>
          <cell r="G1469">
            <v>32224.010464756298</v>
          </cell>
          <cell r="H1469">
            <v>13968.9875426574</v>
          </cell>
          <cell r="I1469">
            <v>238</v>
          </cell>
          <cell r="J1469">
            <v>4.9487306145015503E-5</v>
          </cell>
          <cell r="K1469">
            <v>3050</v>
          </cell>
          <cell r="L1469">
            <v>824.06672218701203</v>
          </cell>
          <cell r="M1469">
            <v>924</v>
          </cell>
          <cell r="N1469">
            <v>5.4483188756265198E-2</v>
          </cell>
          <cell r="O1469">
            <v>1129</v>
          </cell>
          <cell r="P1469">
            <v>7.0000000000000007E-2</v>
          </cell>
          <cell r="Q1469">
            <v>1713</v>
          </cell>
        </row>
        <row r="1470">
          <cell r="B1470" t="str">
            <v>HIGHLANDS 1102CB</v>
          </cell>
          <cell r="C1470">
            <v>43361102</v>
          </cell>
          <cell r="D1470" t="str">
            <v>HIGHLANDS 1102</v>
          </cell>
          <cell r="E1470" t="str">
            <v>CB</v>
          </cell>
          <cell r="F1470" t="b">
            <v>0</v>
          </cell>
          <cell r="G1470">
            <v>11922.4207020824</v>
          </cell>
          <cell r="H1470">
            <v>11922.4207020824</v>
          </cell>
          <cell r="I1470">
            <v>78</v>
          </cell>
          <cell r="J1470">
            <v>6.4644018097262702E-5</v>
          </cell>
          <cell r="K1470">
            <v>2617</v>
          </cell>
          <cell r="L1470">
            <v>270.23378364916198</v>
          </cell>
          <cell r="M1470">
            <v>1497</v>
          </cell>
          <cell r="N1470">
            <v>2.6651968381216699E-2</v>
          </cell>
          <cell r="O1470">
            <v>1518</v>
          </cell>
          <cell r="P1470">
            <v>0.11</v>
          </cell>
          <cell r="Q1470">
            <v>1413</v>
          </cell>
        </row>
        <row r="1471">
          <cell r="B1471" t="str">
            <v>HIGHLANDS 11031282</v>
          </cell>
          <cell r="C1471">
            <v>43361103</v>
          </cell>
          <cell r="D1471" t="str">
            <v>HIGHLANDS 1103</v>
          </cell>
          <cell r="E1471">
            <v>1282</v>
          </cell>
          <cell r="F1471" t="b">
            <v>0</v>
          </cell>
          <cell r="G1471">
            <v>26604.671289630001</v>
          </cell>
          <cell r="H1471">
            <v>22934.927690096902</v>
          </cell>
          <cell r="I1471">
            <v>164</v>
          </cell>
          <cell r="J1471">
            <v>7.8872210551486293E-5</v>
          </cell>
          <cell r="K1471">
            <v>2239</v>
          </cell>
          <cell r="L1471">
            <v>1748.66536923335</v>
          </cell>
          <cell r="M1471">
            <v>515</v>
          </cell>
          <cell r="N1471">
            <v>0.123762788487064</v>
          </cell>
          <cell r="O1471">
            <v>626</v>
          </cell>
          <cell r="P1471">
            <v>4.57</v>
          </cell>
          <cell r="Q1471">
            <v>514</v>
          </cell>
        </row>
        <row r="1472">
          <cell r="B1472" t="str">
            <v>HIGHLANDS 11034630</v>
          </cell>
          <cell r="C1472">
            <v>43361103</v>
          </cell>
          <cell r="D1472" t="str">
            <v>HIGHLANDS 1103</v>
          </cell>
          <cell r="E1472">
            <v>4630</v>
          </cell>
          <cell r="F1472" t="b">
            <v>0</v>
          </cell>
          <cell r="G1472">
            <v>5558.0772792913904</v>
          </cell>
          <cell r="H1472">
            <v>1729.1766994256</v>
          </cell>
          <cell r="I1472">
            <v>42</v>
          </cell>
          <cell r="J1472">
            <v>7.7824188554673305E-5</v>
          </cell>
          <cell r="K1472">
            <v>2266</v>
          </cell>
          <cell r="L1472">
            <v>548.697533501615</v>
          </cell>
          <cell r="M1472">
            <v>1148</v>
          </cell>
          <cell r="N1472">
            <v>4.2814350542295002E-2</v>
          </cell>
          <cell r="O1472">
            <v>1258</v>
          </cell>
          <cell r="P1472">
            <v>0.05</v>
          </cell>
          <cell r="Q1472">
            <v>2061</v>
          </cell>
        </row>
        <row r="1473">
          <cell r="B1473" t="str">
            <v>HIGHLANDS 1103482</v>
          </cell>
          <cell r="C1473">
            <v>43361103</v>
          </cell>
          <cell r="D1473" t="str">
            <v>HIGHLANDS 1103</v>
          </cell>
          <cell r="E1473">
            <v>482</v>
          </cell>
          <cell r="F1473" t="b">
            <v>0</v>
          </cell>
          <cell r="G1473">
            <v>41604.967879563897</v>
          </cell>
          <cell r="H1473">
            <v>39433.473619385397</v>
          </cell>
          <cell r="I1473">
            <v>188</v>
          </cell>
          <cell r="J1473">
            <v>8.3389016052368199E-5</v>
          </cell>
          <cell r="K1473">
            <v>2120</v>
          </cell>
          <cell r="L1473">
            <v>3402.5308145215799</v>
          </cell>
          <cell r="M1473">
            <v>212</v>
          </cell>
          <cell r="N1473">
            <v>0.26974915144990502</v>
          </cell>
          <cell r="O1473">
            <v>181</v>
          </cell>
          <cell r="P1473">
            <v>0.11</v>
          </cell>
          <cell r="Q1473">
            <v>1426</v>
          </cell>
        </row>
        <row r="1474">
          <cell r="B1474" t="str">
            <v>HIGHLANDS 1103520</v>
          </cell>
          <cell r="C1474">
            <v>43361103</v>
          </cell>
          <cell r="D1474" t="str">
            <v>HIGHLANDS 1103</v>
          </cell>
          <cell r="E1474">
            <v>520</v>
          </cell>
          <cell r="F1474" t="b">
            <v>0</v>
          </cell>
          <cell r="G1474">
            <v>75123.245971149605</v>
          </cell>
          <cell r="H1474">
            <v>75123.245971149605</v>
          </cell>
          <cell r="I1474">
            <v>437</v>
          </cell>
          <cell r="J1474">
            <v>8.2362549413253996E-5</v>
          </cell>
          <cell r="K1474">
            <v>2144</v>
          </cell>
          <cell r="L1474">
            <v>2644.04096735758</v>
          </cell>
          <cell r="M1474">
            <v>320</v>
          </cell>
          <cell r="N1474">
            <v>0.16914536262834201</v>
          </cell>
          <cell r="O1474">
            <v>440</v>
          </cell>
          <cell r="P1474">
            <v>35.85</v>
          </cell>
          <cell r="Q1474">
            <v>210</v>
          </cell>
        </row>
        <row r="1475">
          <cell r="B1475" t="str">
            <v>HIGHLANDS 1103568</v>
          </cell>
          <cell r="C1475">
            <v>43361103</v>
          </cell>
          <cell r="D1475" t="str">
            <v>HIGHLANDS 1103</v>
          </cell>
          <cell r="E1475">
            <v>568</v>
          </cell>
          <cell r="F1475" t="b">
            <v>0</v>
          </cell>
          <cell r="G1475">
            <v>14789.9902558706</v>
          </cell>
          <cell r="H1475">
            <v>12940.618395454199</v>
          </cell>
          <cell r="I1475">
            <v>118</v>
          </cell>
          <cell r="J1475">
            <v>1.29110313645145E-4</v>
          </cell>
          <cell r="K1475">
            <v>1024</v>
          </cell>
          <cell r="L1475">
            <v>2034.97481817983</v>
          </cell>
          <cell r="M1475">
            <v>449</v>
          </cell>
          <cell r="N1475">
            <v>0.25222489183927199</v>
          </cell>
          <cell r="O1475">
            <v>212</v>
          </cell>
          <cell r="P1475">
            <v>0.1</v>
          </cell>
          <cell r="Q1475">
            <v>1493</v>
          </cell>
        </row>
        <row r="1476">
          <cell r="B1476" t="str">
            <v>HIGHLANDS 1103828</v>
          </cell>
          <cell r="C1476">
            <v>43361103</v>
          </cell>
          <cell r="D1476" t="str">
            <v>HIGHLANDS 1103</v>
          </cell>
          <cell r="E1476">
            <v>828</v>
          </cell>
          <cell r="F1476" t="b">
            <v>0</v>
          </cell>
          <cell r="G1476">
            <v>17153.3337879235</v>
          </cell>
          <cell r="H1476">
            <v>13828.970607049299</v>
          </cell>
          <cell r="I1476">
            <v>112</v>
          </cell>
          <cell r="J1476">
            <v>8.3933751214702502E-5</v>
          </cell>
          <cell r="K1476">
            <v>2094</v>
          </cell>
          <cell r="L1476">
            <v>3831.1552224386601</v>
          </cell>
          <cell r="M1476">
            <v>164</v>
          </cell>
          <cell r="N1476">
            <v>0.31086107278902803</v>
          </cell>
          <cell r="O1476">
            <v>127</v>
          </cell>
          <cell r="P1476">
            <v>5.94</v>
          </cell>
          <cell r="Q1476">
            <v>476</v>
          </cell>
        </row>
        <row r="1477">
          <cell r="B1477" t="str">
            <v>HIGHLANDS 1103CB</v>
          </cell>
          <cell r="C1477">
            <v>43361103</v>
          </cell>
          <cell r="D1477" t="str">
            <v>HIGHLANDS 1103</v>
          </cell>
          <cell r="E1477" t="str">
            <v>CB</v>
          </cell>
          <cell r="F1477" t="b">
            <v>0</v>
          </cell>
          <cell r="G1477">
            <v>19725.7627940989</v>
          </cell>
          <cell r="H1477">
            <v>17048.206957239199</v>
          </cell>
          <cell r="I1477">
            <v>144</v>
          </cell>
          <cell r="J1477">
            <v>1.03372068881273E-4</v>
          </cell>
          <cell r="K1477">
            <v>1563</v>
          </cell>
          <cell r="L1477">
            <v>1745.34692837384</v>
          </cell>
          <cell r="M1477">
            <v>516</v>
          </cell>
          <cell r="N1477">
            <v>0.16237984879560199</v>
          </cell>
          <cell r="O1477">
            <v>461</v>
          </cell>
          <cell r="P1477">
            <v>0.11</v>
          </cell>
          <cell r="Q1477">
            <v>1421</v>
          </cell>
        </row>
        <row r="1478">
          <cell r="B1478" t="str">
            <v>HIGHLANDS 110439458</v>
          </cell>
          <cell r="C1478">
            <v>43361104</v>
          </cell>
          <cell r="D1478" t="str">
            <v>HIGHLANDS 1104</v>
          </cell>
          <cell r="E1478">
            <v>39458</v>
          </cell>
          <cell r="F1478" t="b">
            <v>0</v>
          </cell>
          <cell r="G1478">
            <v>8594.1592227701294</v>
          </cell>
          <cell r="H1478">
            <v>1902.65305764866</v>
          </cell>
          <cell r="I1478">
            <v>72</v>
          </cell>
          <cell r="J1478">
            <v>7.6302762055193893E-5</v>
          </cell>
          <cell r="K1478">
            <v>2298</v>
          </cell>
          <cell r="L1478">
            <v>85.833531563764893</v>
          </cell>
          <cell r="M1478">
            <v>2024</v>
          </cell>
          <cell r="N1478">
            <v>6.6626739207699803E-3</v>
          </cell>
          <cell r="O1478">
            <v>2111</v>
          </cell>
          <cell r="P1478">
            <v>0.27</v>
          </cell>
          <cell r="Q1478">
            <v>1048</v>
          </cell>
        </row>
        <row r="1479">
          <cell r="B1479" t="str">
            <v>HIGHLANDS 110448262</v>
          </cell>
          <cell r="C1479">
            <v>43361104</v>
          </cell>
          <cell r="D1479" t="str">
            <v>HIGHLANDS 1104</v>
          </cell>
          <cell r="E1479">
            <v>48262</v>
          </cell>
          <cell r="F1479" t="b">
            <v>0</v>
          </cell>
          <cell r="G1479">
            <v>9974.9979509738696</v>
          </cell>
          <cell r="H1479">
            <v>9974.9979509738696</v>
          </cell>
          <cell r="I1479">
            <v>74</v>
          </cell>
          <cell r="J1479">
            <v>6.8225087095531801E-5</v>
          </cell>
          <cell r="K1479">
            <v>2528</v>
          </cell>
          <cell r="L1479">
            <v>6.6414280278441901E-2</v>
          </cell>
          <cell r="M1479">
            <v>3115</v>
          </cell>
          <cell r="N1479">
            <v>4.5315045581087501E-6</v>
          </cell>
          <cell r="O1479">
            <v>3295</v>
          </cell>
          <cell r="P1479">
            <v>0.16</v>
          </cell>
          <cell r="Q1479">
            <v>1266</v>
          </cell>
        </row>
        <row r="1480">
          <cell r="B1480" t="str">
            <v>HIGHLANDS 110484640</v>
          </cell>
          <cell r="C1480">
            <v>43361104</v>
          </cell>
          <cell r="D1480" t="str">
            <v>HIGHLANDS 1104</v>
          </cell>
          <cell r="E1480">
            <v>84640</v>
          </cell>
          <cell r="F1480" t="b">
            <v>1</v>
          </cell>
          <cell r="G1480">
            <v>1219.4212504493901</v>
          </cell>
          <cell r="H1480">
            <v>660.54758509850001</v>
          </cell>
          <cell r="I1480">
            <v>14</v>
          </cell>
          <cell r="J1480">
            <v>1.1439422035306999E-4</v>
          </cell>
          <cell r="K1480">
            <v>1310</v>
          </cell>
          <cell r="L1480">
            <v>6.5790498459751795E-2</v>
          </cell>
          <cell r="M1480">
            <v>3276</v>
          </cell>
          <cell r="N1480">
            <v>7.5306978721836398E-6</v>
          </cell>
          <cell r="O1480">
            <v>3144</v>
          </cell>
          <cell r="P1480">
            <v>0.06</v>
          </cell>
          <cell r="Q1480">
            <v>1834</v>
          </cell>
        </row>
        <row r="1481">
          <cell r="B1481" t="str">
            <v>HIGHLANDS 1104CB</v>
          </cell>
          <cell r="C1481">
            <v>43361104</v>
          </cell>
          <cell r="D1481" t="str">
            <v>HIGHLANDS 1104</v>
          </cell>
          <cell r="E1481" t="str">
            <v>CB</v>
          </cell>
          <cell r="F1481" t="b">
            <v>0</v>
          </cell>
          <cell r="G1481">
            <v>13332.3504487215</v>
          </cell>
          <cell r="H1481">
            <v>7661.9306287496302</v>
          </cell>
          <cell r="I1481">
            <v>102</v>
          </cell>
          <cell r="J1481">
            <v>7.7931722673861396E-5</v>
          </cell>
          <cell r="K1481">
            <v>2261</v>
          </cell>
          <cell r="L1481">
            <v>7.2303470395452596E-2</v>
          </cell>
          <cell r="M1481">
            <v>2941</v>
          </cell>
          <cell r="N1481">
            <v>5.4342219223224198E-6</v>
          </cell>
          <cell r="O1481">
            <v>3243</v>
          </cell>
          <cell r="P1481">
            <v>7.0000000000000007E-2</v>
          </cell>
          <cell r="Q1481">
            <v>1735</v>
          </cell>
        </row>
        <row r="1482">
          <cell r="B1482" t="str">
            <v>HOLLISTER 2102113634</v>
          </cell>
          <cell r="C1482">
            <v>182492102</v>
          </cell>
          <cell r="D1482" t="str">
            <v>HOLLISTER 2102</v>
          </cell>
          <cell r="E1482">
            <v>113634</v>
          </cell>
          <cell r="F1482" t="b">
            <v>0</v>
          </cell>
          <cell r="G1482">
            <v>13932.9880045789</v>
          </cell>
          <cell r="H1482">
            <v>2941.0752148031702</v>
          </cell>
          <cell r="I1482">
            <v>76</v>
          </cell>
          <cell r="J1482">
            <v>7.4758975424629094E-5</v>
          </cell>
          <cell r="K1482">
            <v>2338</v>
          </cell>
          <cell r="L1482">
            <v>364.12141626796699</v>
          </cell>
          <cell r="M1482">
            <v>1346</v>
          </cell>
          <cell r="N1482">
            <v>3.2653768810829903E-2</v>
          </cell>
          <cell r="O1482">
            <v>1413</v>
          </cell>
          <cell r="Q1482">
            <v>3229</v>
          </cell>
        </row>
        <row r="1483">
          <cell r="B1483" t="str">
            <v>HOLLISTER 2102676164</v>
          </cell>
          <cell r="C1483">
            <v>182492102</v>
          </cell>
          <cell r="D1483" t="str">
            <v>HOLLISTER 2102</v>
          </cell>
          <cell r="E1483">
            <v>676164</v>
          </cell>
          <cell r="F1483" t="b">
            <v>1</v>
          </cell>
          <cell r="G1483">
            <v>4417.8948197739901</v>
          </cell>
          <cell r="H1483">
            <v>487.500778254637</v>
          </cell>
          <cell r="I1483">
            <v>26</v>
          </cell>
          <cell r="J1483">
            <v>4.5548539341885197E-5</v>
          </cell>
          <cell r="K1483">
            <v>3152</v>
          </cell>
          <cell r="L1483">
            <v>245.92441976968101</v>
          </cell>
          <cell r="M1483">
            <v>1551</v>
          </cell>
          <cell r="N1483">
            <v>1.2061719296283E-2</v>
          </cell>
          <cell r="O1483">
            <v>1879</v>
          </cell>
          <cell r="Q1483">
            <v>3115</v>
          </cell>
        </row>
        <row r="1484">
          <cell r="B1484" t="str">
            <v>HOLLISTER 2102855412</v>
          </cell>
          <cell r="C1484">
            <v>182492102</v>
          </cell>
          <cell r="D1484" t="str">
            <v>HOLLISTER 2102</v>
          </cell>
          <cell r="E1484">
            <v>855412</v>
          </cell>
          <cell r="F1484" t="b">
            <v>0</v>
          </cell>
          <cell r="G1484">
            <v>50683.351613060702</v>
          </cell>
          <cell r="H1484">
            <v>45702.3864701848</v>
          </cell>
          <cell r="I1484">
            <v>108</v>
          </cell>
          <cell r="J1484">
            <v>6.4443008909620403E-5</v>
          </cell>
          <cell r="K1484">
            <v>2629</v>
          </cell>
          <cell r="L1484">
            <v>1812.7947072157201</v>
          </cell>
          <cell r="M1484">
            <v>504</v>
          </cell>
          <cell r="N1484">
            <v>0.119558605610648</v>
          </cell>
          <cell r="O1484">
            <v>647</v>
          </cell>
          <cell r="P1484">
            <v>0.05</v>
          </cell>
          <cell r="Q1484">
            <v>2051</v>
          </cell>
        </row>
        <row r="1485">
          <cell r="B1485" t="str">
            <v>HOLLISTER 2104117328</v>
          </cell>
          <cell r="C1485">
            <v>182492104</v>
          </cell>
          <cell r="D1485" t="str">
            <v>HOLLISTER 2104</v>
          </cell>
          <cell r="E1485">
            <v>117328</v>
          </cell>
          <cell r="F1485" t="b">
            <v>0</v>
          </cell>
          <cell r="G1485">
            <v>23158.473189384698</v>
          </cell>
          <cell r="H1485">
            <v>9894.6539219304304</v>
          </cell>
          <cell r="I1485">
            <v>44</v>
          </cell>
          <cell r="J1485">
            <v>4.0861319531558799E-5</v>
          </cell>
          <cell r="K1485">
            <v>3248</v>
          </cell>
          <cell r="L1485">
            <v>400.677035154436</v>
          </cell>
          <cell r="M1485">
            <v>1296</v>
          </cell>
          <cell r="N1485">
            <v>1.7549060098301199E-2</v>
          </cell>
          <cell r="O1485">
            <v>1723</v>
          </cell>
          <cell r="Q1485">
            <v>3271</v>
          </cell>
        </row>
        <row r="1486">
          <cell r="B1486" t="str">
            <v>HOLLISTER 210491424</v>
          </cell>
          <cell r="C1486">
            <v>182492104</v>
          </cell>
          <cell r="D1486" t="str">
            <v>HOLLISTER 2104</v>
          </cell>
          <cell r="E1486">
            <v>91424</v>
          </cell>
          <cell r="F1486" t="b">
            <v>1</v>
          </cell>
          <cell r="G1486">
            <v>14089.3649408078</v>
          </cell>
          <cell r="H1486">
            <v>303.16583518812701</v>
          </cell>
          <cell r="I1486">
            <v>95</v>
          </cell>
          <cell r="J1486">
            <v>6.4005246864932503E-5</v>
          </cell>
          <cell r="K1486">
            <v>2646</v>
          </cell>
          <cell r="L1486">
            <v>160.20494826810699</v>
          </cell>
          <cell r="M1486">
            <v>1745</v>
          </cell>
          <cell r="N1486">
            <v>1.15504989431729E-2</v>
          </cell>
          <cell r="O1486">
            <v>1899</v>
          </cell>
          <cell r="P1486">
            <v>0.02</v>
          </cell>
          <cell r="Q1486">
            <v>2546</v>
          </cell>
        </row>
        <row r="1487">
          <cell r="B1487" t="str">
            <v>HOLLISTER 21054018</v>
          </cell>
          <cell r="C1487">
            <v>182492105</v>
          </cell>
          <cell r="D1487" t="str">
            <v>HOLLISTER 2105</v>
          </cell>
          <cell r="E1487">
            <v>4018</v>
          </cell>
          <cell r="F1487" t="b">
            <v>0</v>
          </cell>
          <cell r="G1487">
            <v>85010.366765432307</v>
          </cell>
          <cell r="H1487">
            <v>71470.996412431807</v>
          </cell>
          <cell r="I1487">
            <v>280</v>
          </cell>
          <cell r="J1487">
            <v>6.7671103117225502E-5</v>
          </cell>
          <cell r="K1487">
            <v>2541</v>
          </cell>
          <cell r="L1487">
            <v>115.53730850986</v>
          </cell>
          <cell r="M1487">
            <v>1893</v>
          </cell>
          <cell r="N1487">
            <v>7.2679486908669398E-3</v>
          </cell>
          <cell r="O1487">
            <v>2083</v>
          </cell>
          <cell r="P1487">
            <v>0.08</v>
          </cell>
          <cell r="Q1487">
            <v>1661</v>
          </cell>
        </row>
        <row r="1488">
          <cell r="B1488" t="str">
            <v>HOLLISTER 21054048</v>
          </cell>
          <cell r="C1488">
            <v>182492105</v>
          </cell>
          <cell r="D1488" t="str">
            <v>HOLLISTER 2105</v>
          </cell>
          <cell r="E1488">
            <v>4048</v>
          </cell>
          <cell r="F1488" t="b">
            <v>0</v>
          </cell>
          <cell r="G1488">
            <v>45554.479413275898</v>
          </cell>
          <cell r="H1488">
            <v>29209.899721362301</v>
          </cell>
          <cell r="I1488">
            <v>157</v>
          </cell>
          <cell r="J1488">
            <v>5.51739190834603E-5</v>
          </cell>
          <cell r="K1488">
            <v>2907</v>
          </cell>
          <cell r="L1488">
            <v>56.288820084255498</v>
          </cell>
          <cell r="M1488">
            <v>2174</v>
          </cell>
          <cell r="N1488">
            <v>2.7193539117331702E-3</v>
          </cell>
          <cell r="O1488">
            <v>2382</v>
          </cell>
          <cell r="P1488">
            <v>7.0000000000000007E-2</v>
          </cell>
          <cell r="Q1488">
            <v>1678</v>
          </cell>
        </row>
        <row r="1489">
          <cell r="B1489" t="str">
            <v>HOLLISTER 2105480430</v>
          </cell>
          <cell r="C1489">
            <v>182492105</v>
          </cell>
          <cell r="D1489" t="str">
            <v>HOLLISTER 2105</v>
          </cell>
          <cell r="E1489">
            <v>480430</v>
          </cell>
          <cell r="F1489" t="b">
            <v>0</v>
          </cell>
          <cell r="G1489">
            <v>8153.3700147445797</v>
          </cell>
          <cell r="H1489">
            <v>1450.1347942274699</v>
          </cell>
          <cell r="I1489">
            <v>39</v>
          </cell>
          <cell r="J1489">
            <v>5.7434837272969698E-5</v>
          </cell>
          <cell r="K1489">
            <v>2851</v>
          </cell>
          <cell r="L1489">
            <v>18.765258393990599</v>
          </cell>
          <cell r="M1489">
            <v>2463</v>
          </cell>
          <cell r="N1489">
            <v>6.8138242127111404E-4</v>
          </cell>
          <cell r="O1489">
            <v>2692</v>
          </cell>
          <cell r="Q1489">
            <v>3372</v>
          </cell>
        </row>
        <row r="1490">
          <cell r="B1490" t="str">
            <v>HOLLISTER 2105903238</v>
          </cell>
          <cell r="C1490">
            <v>182492105</v>
          </cell>
          <cell r="D1490" t="str">
            <v>HOLLISTER 2105</v>
          </cell>
          <cell r="E1490">
            <v>903238</v>
          </cell>
          <cell r="F1490" t="b">
            <v>0</v>
          </cell>
          <cell r="G1490">
            <v>9893.8006508589006</v>
          </cell>
          <cell r="H1490">
            <v>6450.8713163377297</v>
          </cell>
          <cell r="I1490">
            <v>30</v>
          </cell>
          <cell r="J1490">
            <v>4.73327744219676E-5</v>
          </cell>
          <cell r="K1490">
            <v>3108</v>
          </cell>
          <cell r="L1490">
            <v>30.0306276631852</v>
          </cell>
          <cell r="M1490">
            <v>2344</v>
          </cell>
          <cell r="N1490">
            <v>1.2580191392441E-3</v>
          </cell>
          <cell r="O1490">
            <v>2591</v>
          </cell>
          <cell r="Q1490">
            <v>3186</v>
          </cell>
        </row>
        <row r="1491">
          <cell r="B1491" t="str">
            <v>HOLLISTER 21064004</v>
          </cell>
          <cell r="C1491">
            <v>182492106</v>
          </cell>
          <cell r="D1491" t="str">
            <v>HOLLISTER 2106</v>
          </cell>
          <cell r="E1491">
            <v>4004</v>
          </cell>
          <cell r="F1491" t="b">
            <v>0</v>
          </cell>
          <cell r="G1491">
            <v>32627.9425322229</v>
          </cell>
          <cell r="H1491">
            <v>14083.796591501199</v>
          </cell>
          <cell r="I1491">
            <v>180</v>
          </cell>
          <cell r="J1491">
            <v>5.37363773622184E-5</v>
          </cell>
          <cell r="K1491">
            <v>2948</v>
          </cell>
          <cell r="L1491">
            <v>159.41229379917999</v>
          </cell>
          <cell r="M1491">
            <v>1748</v>
          </cell>
          <cell r="N1491">
            <v>1.01242496694544E-2</v>
          </cell>
          <cell r="O1491">
            <v>1954</v>
          </cell>
          <cell r="P1491">
            <v>0.05</v>
          </cell>
          <cell r="Q1491">
            <v>1947</v>
          </cell>
        </row>
        <row r="1492">
          <cell r="B1492" t="str">
            <v>HOLLYWOOD 0401CB</v>
          </cell>
          <cell r="C1492">
            <v>13170401</v>
          </cell>
          <cell r="D1492" t="str">
            <v>HOLLYWOOD 0401</v>
          </cell>
          <cell r="E1492" t="str">
            <v>CB</v>
          </cell>
          <cell r="F1492" t="b">
            <v>0</v>
          </cell>
          <cell r="G1492">
            <v>8520.93802779213</v>
          </cell>
          <cell r="H1492">
            <v>4604.9324539353802</v>
          </cell>
          <cell r="I1492">
            <v>70</v>
          </cell>
          <cell r="J1492">
            <v>2.3671065959654399E-5</v>
          </cell>
          <cell r="K1492">
            <v>3507</v>
          </cell>
          <cell r="L1492">
            <v>6.5807805955409998E-2</v>
          </cell>
          <cell r="M1492">
            <v>3264</v>
          </cell>
          <cell r="N1492">
            <v>1.5619011903741801E-6</v>
          </cell>
          <cell r="O1492">
            <v>3546</v>
          </cell>
          <cell r="P1492">
            <v>0.05</v>
          </cell>
          <cell r="Q1492">
            <v>2038</v>
          </cell>
        </row>
        <row r="1493">
          <cell r="B1493" t="str">
            <v>HOOPA 11013174</v>
          </cell>
          <cell r="C1493">
            <v>192401101</v>
          </cell>
          <cell r="D1493" t="str">
            <v>HOOPA 1101</v>
          </cell>
          <cell r="E1493">
            <v>3174</v>
          </cell>
          <cell r="F1493" t="b">
            <v>0</v>
          </cell>
          <cell r="G1493">
            <v>35498.749422319503</v>
          </cell>
          <cell r="H1493">
            <v>29750.1977758385</v>
          </cell>
          <cell r="I1493">
            <v>162</v>
          </cell>
          <cell r="J1493">
            <v>3.5837782566594799E-4</v>
          </cell>
          <cell r="K1493">
            <v>83</v>
          </cell>
          <cell r="L1493">
            <v>115.24540614799299</v>
          </cell>
          <cell r="M1493">
            <v>1894</v>
          </cell>
          <cell r="N1493">
            <v>2.9874619319284E-2</v>
          </cell>
          <cell r="O1493">
            <v>1464</v>
          </cell>
          <cell r="P1493">
            <v>0.13</v>
          </cell>
          <cell r="Q1493">
            <v>1336</v>
          </cell>
        </row>
        <row r="1494">
          <cell r="B1494" t="str">
            <v>HOOPA 11013290</v>
          </cell>
          <cell r="C1494">
            <v>192401101</v>
          </cell>
          <cell r="D1494" t="str">
            <v>HOOPA 1101</v>
          </cell>
          <cell r="E1494">
            <v>3290</v>
          </cell>
          <cell r="F1494" t="b">
            <v>0</v>
          </cell>
          <cell r="G1494">
            <v>21820.893694679398</v>
          </cell>
          <cell r="H1494">
            <v>21820.893694679398</v>
          </cell>
          <cell r="I1494">
            <v>135</v>
          </cell>
          <cell r="J1494">
            <v>3.2761183795698202E-4</v>
          </cell>
          <cell r="K1494">
            <v>105</v>
          </cell>
          <cell r="L1494">
            <v>278.54186939027898</v>
          </cell>
          <cell r="M1494">
            <v>1474</v>
          </cell>
          <cell r="N1494">
            <v>8.0280860541035698E-2</v>
          </cell>
          <cell r="O1494">
            <v>897</v>
          </cell>
          <cell r="P1494">
            <v>0.08</v>
          </cell>
          <cell r="Q1494">
            <v>1641</v>
          </cell>
        </row>
        <row r="1495">
          <cell r="B1495" t="str">
            <v>HOOPA 11013304</v>
          </cell>
          <cell r="C1495">
            <v>192401101</v>
          </cell>
          <cell r="D1495" t="str">
            <v>HOOPA 1101</v>
          </cell>
          <cell r="E1495">
            <v>3304</v>
          </cell>
          <cell r="F1495" t="b">
            <v>0</v>
          </cell>
          <cell r="G1495">
            <v>27901.641595304998</v>
          </cell>
          <cell r="H1495">
            <v>27901.641595304998</v>
          </cell>
          <cell r="I1495">
            <v>88</v>
          </cell>
          <cell r="J1495">
            <v>3.0683559624081002E-4</v>
          </cell>
          <cell r="K1495">
            <v>123</v>
          </cell>
          <cell r="L1495">
            <v>72.430797376018702</v>
          </cell>
          <cell r="M1495">
            <v>2081</v>
          </cell>
          <cell r="N1495">
            <v>1.9485913777756901E-2</v>
          </cell>
          <cell r="O1495">
            <v>1679</v>
          </cell>
          <cell r="P1495">
            <v>0.14000000000000001</v>
          </cell>
          <cell r="Q1495">
            <v>1315</v>
          </cell>
        </row>
        <row r="1496">
          <cell r="B1496" t="str">
            <v>HOOPA 110137202</v>
          </cell>
          <cell r="C1496">
            <v>192401101</v>
          </cell>
          <cell r="D1496" t="str">
            <v>HOOPA 1101</v>
          </cell>
          <cell r="E1496">
            <v>37202</v>
          </cell>
          <cell r="F1496" t="b">
            <v>0</v>
          </cell>
          <cell r="G1496">
            <v>46485.970552113402</v>
          </cell>
          <cell r="H1496">
            <v>40065.437453897001</v>
          </cell>
          <cell r="I1496">
            <v>190</v>
          </cell>
          <cell r="J1496">
            <v>6.2222192933913099E-4</v>
          </cell>
          <cell r="K1496">
            <v>16</v>
          </cell>
          <cell r="L1496">
            <v>17.2007773043504</v>
          </cell>
          <cell r="M1496">
            <v>2500</v>
          </cell>
          <cell r="N1496">
            <v>1.2511873119754499E-2</v>
          </cell>
          <cell r="O1496">
            <v>1863</v>
          </cell>
          <cell r="P1496">
            <v>0.05</v>
          </cell>
          <cell r="Q1496">
            <v>1933</v>
          </cell>
        </row>
        <row r="1497">
          <cell r="B1497" t="str">
            <v>HOOPA 110182542</v>
          </cell>
          <cell r="C1497">
            <v>192401101</v>
          </cell>
          <cell r="D1497" t="str">
            <v>HOOPA 1101</v>
          </cell>
          <cell r="E1497">
            <v>82542</v>
          </cell>
          <cell r="F1497" t="b">
            <v>0</v>
          </cell>
          <cell r="G1497">
            <v>24330.957941661101</v>
          </cell>
          <cell r="H1497">
            <v>19513.0606149181</v>
          </cell>
          <cell r="I1497">
            <v>150</v>
          </cell>
          <cell r="J1497">
            <v>2.46890524251923E-4</v>
          </cell>
          <cell r="K1497">
            <v>227</v>
          </cell>
          <cell r="L1497">
            <v>125.88061895037499</v>
          </cell>
          <cell r="M1497">
            <v>1856</v>
          </cell>
          <cell r="N1497">
            <v>2.6645777090104399E-2</v>
          </cell>
          <cell r="O1497">
            <v>1519</v>
          </cell>
          <cell r="P1497">
            <v>0.25</v>
          </cell>
          <cell r="Q1497">
            <v>1073</v>
          </cell>
        </row>
        <row r="1498">
          <cell r="B1498" t="str">
            <v>HOOPA 110193038</v>
          </cell>
          <cell r="C1498">
            <v>192401101</v>
          </cell>
          <cell r="D1498" t="str">
            <v>HOOPA 1101</v>
          </cell>
          <cell r="E1498">
            <v>93038</v>
          </cell>
          <cell r="F1498" t="b">
            <v>0</v>
          </cell>
          <cell r="G1498">
            <v>4552.6155191669204</v>
          </cell>
          <cell r="H1498">
            <v>2107.4342652220698</v>
          </cell>
          <cell r="I1498">
            <v>39</v>
          </cell>
          <cell r="J1498">
            <v>1.9968124942328601E-4</v>
          </cell>
          <cell r="K1498">
            <v>398</v>
          </cell>
          <cell r="L1498">
            <v>1.28403694369404</v>
          </cell>
          <cell r="M1498">
            <v>2875</v>
          </cell>
          <cell r="N1498">
            <v>1.06454246944101E-4</v>
          </cell>
          <cell r="O1498">
            <v>2873</v>
          </cell>
          <cell r="P1498">
            <v>0.03</v>
          </cell>
          <cell r="Q1498">
            <v>2241</v>
          </cell>
        </row>
        <row r="1499">
          <cell r="B1499" t="str">
            <v>HOOPA 1101CB</v>
          </cell>
          <cell r="C1499">
            <v>192401101</v>
          </cell>
          <cell r="D1499" t="str">
            <v>HOOPA 1101</v>
          </cell>
          <cell r="E1499" t="str">
            <v>CB</v>
          </cell>
          <cell r="F1499" t="b">
            <v>0</v>
          </cell>
          <cell r="G1499">
            <v>63333.9357753718</v>
          </cell>
          <cell r="H1499">
            <v>37375.428660580197</v>
          </cell>
          <cell r="I1499">
            <v>440</v>
          </cell>
          <cell r="J1499">
            <v>2.6939230717987499E-4</v>
          </cell>
          <cell r="K1499">
            <v>173</v>
          </cell>
          <cell r="L1499">
            <v>30.051800550613201</v>
          </cell>
          <cell r="M1499">
            <v>2342</v>
          </cell>
          <cell r="N1499">
            <v>7.9103673665624694E-3</v>
          </cell>
          <cell r="O1499">
            <v>2049</v>
          </cell>
          <cell r="P1499">
            <v>0.19</v>
          </cell>
          <cell r="Q1499">
            <v>1174</v>
          </cell>
        </row>
        <row r="1500">
          <cell r="B1500" t="str">
            <v>HOPLAND 11011100</v>
          </cell>
          <cell r="C1500">
            <v>42251101</v>
          </cell>
          <cell r="D1500" t="str">
            <v>HOPLAND 1101</v>
          </cell>
          <cell r="E1500">
            <v>1100</v>
          </cell>
          <cell r="F1500" t="b">
            <v>0</v>
          </cell>
          <cell r="G1500">
            <v>10937.728762553201</v>
          </cell>
          <cell r="H1500">
            <v>5979.9349972835298</v>
          </cell>
          <cell r="I1500">
            <v>68</v>
          </cell>
          <cell r="J1500">
            <v>8.9766085299892604E-5</v>
          </cell>
          <cell r="K1500">
            <v>1920</v>
          </cell>
          <cell r="L1500">
            <v>293.796228726793</v>
          </cell>
          <cell r="M1500">
            <v>1457</v>
          </cell>
          <cell r="N1500">
            <v>2.6059287120344998E-2</v>
          </cell>
          <cell r="O1500">
            <v>1532</v>
          </cell>
          <cell r="P1500">
            <v>0.03</v>
          </cell>
          <cell r="Q1500">
            <v>2389</v>
          </cell>
        </row>
        <row r="1501">
          <cell r="B1501" t="str">
            <v>HOPLAND 11014626</v>
          </cell>
          <cell r="C1501">
            <v>42251101</v>
          </cell>
          <cell r="D1501" t="str">
            <v>HOPLAND 1101</v>
          </cell>
          <cell r="E1501">
            <v>4626</v>
          </cell>
          <cell r="F1501" t="b">
            <v>0</v>
          </cell>
          <cell r="G1501">
            <v>50138.073776145102</v>
          </cell>
          <cell r="H1501">
            <v>43527.425592813299</v>
          </cell>
          <cell r="I1501">
            <v>238</v>
          </cell>
          <cell r="J1501">
            <v>9.7354527423839401E-5</v>
          </cell>
          <cell r="K1501">
            <v>1704</v>
          </cell>
          <cell r="L1501">
            <v>2906.2750042121902</v>
          </cell>
          <cell r="M1501">
            <v>288</v>
          </cell>
          <cell r="N1501">
            <v>0.27840706275542898</v>
          </cell>
          <cell r="O1501">
            <v>161</v>
          </cell>
          <cell r="P1501">
            <v>0.08</v>
          </cell>
          <cell r="Q1501">
            <v>1626</v>
          </cell>
        </row>
        <row r="1502">
          <cell r="B1502" t="str">
            <v>HOPLAND 1101558</v>
          </cell>
          <cell r="C1502">
            <v>42251101</v>
          </cell>
          <cell r="D1502" t="str">
            <v>HOPLAND 1101</v>
          </cell>
          <cell r="E1502">
            <v>558</v>
          </cell>
          <cell r="F1502" t="b">
            <v>0</v>
          </cell>
          <cell r="G1502">
            <v>15006.3638145981</v>
          </cell>
          <cell r="H1502">
            <v>4818.36027980582</v>
          </cell>
          <cell r="I1502">
            <v>72</v>
          </cell>
          <cell r="J1502">
            <v>2.2789283275415E-4</v>
          </cell>
          <cell r="K1502">
            <v>291</v>
          </cell>
          <cell r="L1502">
            <v>857.34774646941696</v>
          </cell>
          <cell r="M1502">
            <v>909</v>
          </cell>
          <cell r="N1502">
            <v>0.25266000463700899</v>
          </cell>
          <cell r="O1502">
            <v>211</v>
          </cell>
          <cell r="P1502">
            <v>0.01</v>
          </cell>
          <cell r="Q1502">
            <v>2601</v>
          </cell>
        </row>
        <row r="1503">
          <cell r="B1503" t="str">
            <v>HOPLAND 1101768</v>
          </cell>
          <cell r="C1503">
            <v>42251101</v>
          </cell>
          <cell r="D1503" t="str">
            <v>HOPLAND 1101</v>
          </cell>
          <cell r="E1503">
            <v>768</v>
          </cell>
          <cell r="F1503" t="b">
            <v>0</v>
          </cell>
          <cell r="G1503">
            <v>31882.011547856298</v>
          </cell>
          <cell r="H1503">
            <v>27234.074662758499</v>
          </cell>
          <cell r="I1503">
            <v>115</v>
          </cell>
          <cell r="J1503">
            <v>9.5051651702046205E-5</v>
          </cell>
          <cell r="K1503">
            <v>1764</v>
          </cell>
          <cell r="L1503">
            <v>3417.6207905831802</v>
          </cell>
          <cell r="M1503">
            <v>210</v>
          </cell>
          <cell r="N1503">
            <v>0.32430720226653797</v>
          </cell>
          <cell r="O1503">
            <v>110</v>
          </cell>
          <cell r="P1503">
            <v>0.05</v>
          </cell>
          <cell r="Q1503">
            <v>2000</v>
          </cell>
        </row>
        <row r="1504">
          <cell r="B1504" t="str">
            <v>HOPLAND 1101770</v>
          </cell>
          <cell r="C1504">
            <v>42251101</v>
          </cell>
          <cell r="D1504" t="str">
            <v>HOPLAND 1101</v>
          </cell>
          <cell r="E1504">
            <v>770</v>
          </cell>
          <cell r="F1504" t="b">
            <v>0</v>
          </cell>
          <cell r="G1504">
            <v>24751.828642217599</v>
          </cell>
          <cell r="H1504">
            <v>13838.1959081696</v>
          </cell>
          <cell r="I1504">
            <v>110</v>
          </cell>
          <cell r="J1504">
            <v>1.2303114746369201E-4</v>
          </cell>
          <cell r="K1504">
            <v>1134</v>
          </cell>
          <cell r="L1504">
            <v>1361.41184040437</v>
          </cell>
          <cell r="M1504">
            <v>656</v>
          </cell>
          <cell r="N1504">
            <v>0.132165689288369</v>
          </cell>
          <cell r="O1504">
            <v>597</v>
          </cell>
          <cell r="P1504">
            <v>0.02</v>
          </cell>
          <cell r="Q1504">
            <v>2513</v>
          </cell>
        </row>
        <row r="1505">
          <cell r="B1505" t="str">
            <v>HOPLAND 110180620</v>
          </cell>
          <cell r="C1505">
            <v>42251101</v>
          </cell>
          <cell r="D1505" t="str">
            <v>HOPLAND 1101</v>
          </cell>
          <cell r="E1505">
            <v>80620</v>
          </cell>
          <cell r="F1505" t="b">
            <v>0</v>
          </cell>
          <cell r="G1505">
            <v>8949.8700456874503</v>
          </cell>
          <cell r="H1505">
            <v>1997.9251783336699</v>
          </cell>
          <cell r="I1505">
            <v>51</v>
          </cell>
          <cell r="J1505">
            <v>7.4695151245881097E-5</v>
          </cell>
          <cell r="K1505">
            <v>2340</v>
          </cell>
          <cell r="L1505">
            <v>506.89902158734202</v>
          </cell>
          <cell r="M1505">
            <v>1194</v>
          </cell>
          <cell r="N1505">
            <v>4.20504275437096E-2</v>
          </cell>
          <cell r="O1505">
            <v>1276</v>
          </cell>
          <cell r="P1505">
            <v>0.61</v>
          </cell>
          <cell r="Q1505">
            <v>849</v>
          </cell>
        </row>
        <row r="1506">
          <cell r="B1506" t="str">
            <v>HOPLAND 110194006</v>
          </cell>
          <cell r="C1506">
            <v>42251101</v>
          </cell>
          <cell r="D1506" t="str">
            <v>HOPLAND 1101</v>
          </cell>
          <cell r="E1506">
            <v>94006</v>
          </cell>
          <cell r="F1506" t="b">
            <v>0</v>
          </cell>
          <cell r="G1506">
            <v>24566.560928456998</v>
          </cell>
          <cell r="H1506">
            <v>22341.689678732</v>
          </cell>
          <cell r="I1506">
            <v>112</v>
          </cell>
          <cell r="J1506">
            <v>1.02550537287077E-4</v>
          </cell>
          <cell r="K1506">
            <v>1585</v>
          </cell>
          <cell r="L1506">
            <v>1667.79248612623</v>
          </cell>
          <cell r="M1506">
            <v>536</v>
          </cell>
          <cell r="N1506">
            <v>0.16259536112207101</v>
          </cell>
          <cell r="O1506">
            <v>460</v>
          </cell>
          <cell r="P1506">
            <v>0.05</v>
          </cell>
          <cell r="Q1506">
            <v>1968</v>
          </cell>
        </row>
        <row r="1507">
          <cell r="B1507" t="str">
            <v>HOPLAND 1101960</v>
          </cell>
          <cell r="C1507">
            <v>42251101</v>
          </cell>
          <cell r="D1507" t="str">
            <v>HOPLAND 1101</v>
          </cell>
          <cell r="E1507">
            <v>960</v>
          </cell>
          <cell r="F1507" t="b">
            <v>0</v>
          </cell>
          <cell r="G1507">
            <v>8826.9021463687204</v>
          </cell>
          <cell r="H1507">
            <v>6237.2834851931502</v>
          </cell>
          <cell r="I1507">
            <v>33</v>
          </cell>
          <cell r="J1507">
            <v>1.0012689585892E-4</v>
          </cell>
          <cell r="K1507">
            <v>1642</v>
          </cell>
          <cell r="L1507">
            <v>470.84785367787202</v>
          </cell>
          <cell r="M1507">
            <v>1225</v>
          </cell>
          <cell r="N1507">
            <v>5.14127849858153E-2</v>
          </cell>
          <cell r="O1507">
            <v>1164</v>
          </cell>
          <cell r="P1507">
            <v>0.04</v>
          </cell>
          <cell r="Q1507">
            <v>2083</v>
          </cell>
        </row>
        <row r="1508">
          <cell r="B1508" t="str">
            <v>HOPLAND 1101CB</v>
          </cell>
          <cell r="C1508">
            <v>42251101</v>
          </cell>
          <cell r="D1508" t="str">
            <v>HOPLAND 1101</v>
          </cell>
          <cell r="E1508" t="str">
            <v>CB</v>
          </cell>
          <cell r="F1508" t="b">
            <v>0</v>
          </cell>
          <cell r="G1508">
            <v>36057.869250985903</v>
          </cell>
          <cell r="H1508">
            <v>23579.7023944461</v>
          </cell>
          <cell r="I1508">
            <v>190</v>
          </cell>
          <cell r="J1508">
            <v>1.10579220629315E-4</v>
          </cell>
          <cell r="K1508">
            <v>1399</v>
          </cell>
          <cell r="L1508">
            <v>511.826316198634</v>
          </cell>
          <cell r="M1508">
            <v>1189</v>
          </cell>
          <cell r="N1508">
            <v>5.6867102014023799E-2</v>
          </cell>
          <cell r="O1508">
            <v>1099</v>
          </cell>
          <cell r="P1508">
            <v>0.02</v>
          </cell>
          <cell r="Q1508">
            <v>2512</v>
          </cell>
        </row>
        <row r="1509">
          <cell r="B1509" t="str">
            <v>HORSESHOE 11011682</v>
          </cell>
          <cell r="C1509">
            <v>152571101</v>
          </cell>
          <cell r="D1509" t="str">
            <v>HORSESHOE 1101</v>
          </cell>
          <cell r="E1509">
            <v>1682</v>
          </cell>
          <cell r="F1509" t="b">
            <v>1</v>
          </cell>
          <cell r="G1509">
            <v>14763.826639394099</v>
          </cell>
          <cell r="H1509">
            <v>326.61316417793</v>
          </cell>
          <cell r="I1509">
            <v>112</v>
          </cell>
          <cell r="J1509">
            <v>1.2356978107630701E-4</v>
          </cell>
          <cell r="K1509">
            <v>1130</v>
          </cell>
          <cell r="L1509">
            <v>359.46662431542899</v>
          </cell>
          <cell r="M1509">
            <v>1355</v>
          </cell>
          <cell r="N1509">
            <v>4.2323582068042598E-2</v>
          </cell>
          <cell r="O1509">
            <v>1267</v>
          </cell>
          <cell r="P1509">
            <v>0.48</v>
          </cell>
          <cell r="Q1509">
            <v>906</v>
          </cell>
        </row>
        <row r="1510">
          <cell r="B1510" t="str">
            <v>HORSESHOE 1101416226</v>
          </cell>
          <cell r="C1510">
            <v>152571101</v>
          </cell>
          <cell r="D1510" t="str">
            <v>HORSESHOE 1101</v>
          </cell>
          <cell r="E1510">
            <v>416226</v>
          </cell>
          <cell r="F1510" t="b">
            <v>1</v>
          </cell>
          <cell r="G1510">
            <v>397.92376180473502</v>
          </cell>
          <cell r="H1510">
            <v>186.66159093082399</v>
          </cell>
          <cell r="I1510">
            <v>5</v>
          </cell>
          <cell r="J1510">
            <v>8.4899354260414801E-5</v>
          </cell>
          <cell r="K1510">
            <v>2065</v>
          </cell>
          <cell r="L1510">
            <v>2680.4210826201702</v>
          </cell>
          <cell r="M1510">
            <v>316</v>
          </cell>
          <cell r="N1510">
            <v>0.241821747685143</v>
          </cell>
          <cell r="O1510">
            <v>231</v>
          </cell>
          <cell r="Q1510">
            <v>3167</v>
          </cell>
        </row>
        <row r="1511">
          <cell r="B1511" t="str">
            <v>HORSESHOE 110150140</v>
          </cell>
          <cell r="C1511">
            <v>152571101</v>
          </cell>
          <cell r="D1511" t="str">
            <v>HORSESHOE 1101</v>
          </cell>
          <cell r="E1511">
            <v>50140</v>
          </cell>
          <cell r="F1511" t="b">
            <v>0</v>
          </cell>
          <cell r="G1511">
            <v>10038.780170566</v>
          </cell>
          <cell r="H1511">
            <v>6357.3385821021602</v>
          </cell>
          <cell r="I1511">
            <v>82</v>
          </cell>
          <cell r="J1511">
            <v>1.52697054124096E-4</v>
          </cell>
          <cell r="K1511">
            <v>722</v>
          </cell>
          <cell r="L1511">
            <v>724.13638616383002</v>
          </cell>
          <cell r="M1511">
            <v>995</v>
          </cell>
          <cell r="N1511">
            <v>0.11733574549522</v>
          </cell>
          <cell r="O1511">
            <v>661</v>
          </cell>
          <cell r="P1511">
            <v>7.0000000000000007E-2</v>
          </cell>
          <cell r="Q1511">
            <v>1721</v>
          </cell>
        </row>
        <row r="1512">
          <cell r="B1512" t="str">
            <v>HORSESHOE 1101603250</v>
          </cell>
          <cell r="C1512">
            <v>152571101</v>
          </cell>
          <cell r="D1512" t="str">
            <v>HORSESHOE 1101</v>
          </cell>
          <cell r="E1512">
            <v>603250</v>
          </cell>
          <cell r="F1512" t="b">
            <v>1</v>
          </cell>
          <cell r="G1512">
            <v>2274.9057454362901</v>
          </cell>
          <cell r="H1512">
            <v>927.36941775204605</v>
          </cell>
          <cell r="I1512">
            <v>21</v>
          </cell>
          <cell r="J1512">
            <v>1.6094024647914199E-4</v>
          </cell>
          <cell r="K1512">
            <v>631</v>
          </cell>
          <cell r="L1512">
            <v>57.7467350379628</v>
          </cell>
          <cell r="M1512">
            <v>2167</v>
          </cell>
          <cell r="N1512">
            <v>6.8336891754637603E-3</v>
          </cell>
          <cell r="O1512">
            <v>2101</v>
          </cell>
          <cell r="Q1512">
            <v>3184</v>
          </cell>
        </row>
        <row r="1513">
          <cell r="B1513" t="str">
            <v>HORSESHOE 1101663244</v>
          </cell>
          <cell r="C1513">
            <v>152571101</v>
          </cell>
          <cell r="D1513" t="str">
            <v>HORSESHOE 1101</v>
          </cell>
          <cell r="E1513">
            <v>663244</v>
          </cell>
          <cell r="F1513" t="b">
            <v>1</v>
          </cell>
          <cell r="G1513">
            <v>704.84568817287698</v>
          </cell>
          <cell r="H1513">
            <v>464.39343766101803</v>
          </cell>
          <cell r="I1513">
            <v>6</v>
          </cell>
          <cell r="J1513">
            <v>6.4120096794795204E-5</v>
          </cell>
          <cell r="K1513">
            <v>2640</v>
          </cell>
          <cell r="L1513">
            <v>270.58896554295598</v>
          </cell>
          <cell r="M1513">
            <v>1495</v>
          </cell>
          <cell r="N1513">
            <v>1.2525583050375801E-2</v>
          </cell>
          <cell r="O1513">
            <v>1862</v>
          </cell>
          <cell r="Q1513">
            <v>3250</v>
          </cell>
        </row>
        <row r="1514">
          <cell r="B1514" t="str">
            <v>HORSESHOE 1101CB</v>
          </cell>
          <cell r="C1514">
            <v>152571101</v>
          </cell>
          <cell r="D1514" t="str">
            <v>HORSESHOE 1101</v>
          </cell>
          <cell r="E1514" t="str">
            <v>CB</v>
          </cell>
          <cell r="F1514" t="b">
            <v>1</v>
          </cell>
          <cell r="G1514">
            <v>6455.7985414861896</v>
          </cell>
          <cell r="H1514">
            <v>567.30267669648902</v>
          </cell>
          <cell r="I1514">
            <v>55</v>
          </cell>
          <cell r="J1514">
            <v>1.8027713555387499E-4</v>
          </cell>
          <cell r="K1514">
            <v>511</v>
          </cell>
          <cell r="L1514">
            <v>272.21123729559201</v>
          </cell>
          <cell r="M1514">
            <v>1489</v>
          </cell>
          <cell r="N1514">
            <v>7.3560872644247502E-2</v>
          </cell>
          <cell r="O1514">
            <v>950</v>
          </cell>
          <cell r="P1514">
            <v>0.64</v>
          </cell>
          <cell r="Q1514">
            <v>831</v>
          </cell>
        </row>
        <row r="1515">
          <cell r="B1515" t="str">
            <v>HORSESHOE 110450142</v>
          </cell>
          <cell r="C1515">
            <v>152571104</v>
          </cell>
          <cell r="D1515" t="str">
            <v>HORSESHOE 1104</v>
          </cell>
          <cell r="E1515">
            <v>50142</v>
          </cell>
          <cell r="F1515" t="b">
            <v>0</v>
          </cell>
          <cell r="G1515">
            <v>6580.4447397988397</v>
          </cell>
          <cell r="H1515">
            <v>3596.2024562425499</v>
          </cell>
          <cell r="I1515">
            <v>55</v>
          </cell>
          <cell r="J1515">
            <v>1.1565526464520099E-4</v>
          </cell>
          <cell r="K1515">
            <v>1280</v>
          </cell>
          <cell r="L1515">
            <v>5.2493618554423502</v>
          </cell>
          <cell r="M1515">
            <v>2740</v>
          </cell>
          <cell r="N1515">
            <v>5.9558419367378699E-4</v>
          </cell>
          <cell r="O1515">
            <v>2708</v>
          </cell>
          <cell r="P1515">
            <v>2.21</v>
          </cell>
          <cell r="Q1515">
            <v>618</v>
          </cell>
        </row>
        <row r="1516">
          <cell r="B1516" t="str">
            <v>HUMBOLDT BAY 1102104220</v>
          </cell>
          <cell r="C1516">
            <v>192341102</v>
          </cell>
          <cell r="D1516" t="str">
            <v>HUMBOLDT BAY 1102</v>
          </cell>
          <cell r="E1516">
            <v>104220</v>
          </cell>
          <cell r="F1516" t="b">
            <v>0</v>
          </cell>
          <cell r="G1516">
            <v>5237.7248916176404</v>
          </cell>
          <cell r="H1516">
            <v>1476.87485812876</v>
          </cell>
          <cell r="I1516">
            <v>45</v>
          </cell>
          <cell r="J1516">
            <v>1.55409540871745E-4</v>
          </cell>
          <cell r="K1516">
            <v>691</v>
          </cell>
          <cell r="L1516">
            <v>6.5461106576692393E-2</v>
          </cell>
          <cell r="M1516">
            <v>3392</v>
          </cell>
          <cell r="N1516">
            <v>1.0176955924058899E-5</v>
          </cell>
          <cell r="O1516">
            <v>3066</v>
          </cell>
          <cell r="Q1516">
            <v>3107</v>
          </cell>
        </row>
        <row r="1517">
          <cell r="B1517" t="str">
            <v>HUMBOLDT BAY 1102741980</v>
          </cell>
          <cell r="C1517">
            <v>192341102</v>
          </cell>
          <cell r="D1517" t="str">
            <v>HUMBOLDT BAY 1102</v>
          </cell>
          <cell r="E1517">
            <v>741980</v>
          </cell>
          <cell r="F1517" t="b">
            <v>0</v>
          </cell>
          <cell r="G1517">
            <v>15211.033687421301</v>
          </cell>
          <cell r="H1517">
            <v>9241.1428758993497</v>
          </cell>
          <cell r="I1517">
            <v>81</v>
          </cell>
          <cell r="J1517">
            <v>1.8103663969668501E-4</v>
          </cell>
          <cell r="K1517">
            <v>504</v>
          </cell>
          <cell r="L1517">
            <v>20.616539876961198</v>
          </cell>
          <cell r="M1517">
            <v>2440</v>
          </cell>
          <cell r="N1517">
            <v>3.4064226724737101E-3</v>
          </cell>
          <cell r="O1517">
            <v>2303</v>
          </cell>
          <cell r="Q1517">
            <v>2729</v>
          </cell>
        </row>
        <row r="1518">
          <cell r="B1518" t="str">
            <v>IGNACIO 11011264</v>
          </cell>
          <cell r="C1518">
            <v>42481101</v>
          </cell>
          <cell r="D1518" t="str">
            <v>IGNACIO 1101</v>
          </cell>
          <cell r="E1518">
            <v>1264</v>
          </cell>
          <cell r="F1518" t="b">
            <v>0</v>
          </cell>
          <cell r="G1518">
            <v>5420.1775942815202</v>
          </cell>
          <cell r="H1518">
            <v>3078.9361516598001</v>
          </cell>
          <cell r="I1518">
            <v>50</v>
          </cell>
          <cell r="J1518">
            <v>5.6663560171728003E-5</v>
          </cell>
          <cell r="K1518">
            <v>2869</v>
          </cell>
          <cell r="L1518">
            <v>10.525514571067401</v>
          </cell>
          <cell r="M1518">
            <v>2619</v>
          </cell>
          <cell r="N1518">
            <v>4.6356935168808002E-4</v>
          </cell>
          <cell r="O1518">
            <v>2741</v>
          </cell>
          <cell r="P1518">
            <v>0.61</v>
          </cell>
          <cell r="Q1518">
            <v>847</v>
          </cell>
        </row>
        <row r="1519">
          <cell r="B1519" t="str">
            <v>IGNACIO 11011300</v>
          </cell>
          <cell r="C1519">
            <v>42481101</v>
          </cell>
          <cell r="D1519" t="str">
            <v>IGNACIO 1101</v>
          </cell>
          <cell r="E1519">
            <v>1300</v>
          </cell>
          <cell r="F1519" t="b">
            <v>0</v>
          </cell>
          <cell r="G1519">
            <v>9816.2612103081192</v>
          </cell>
          <cell r="H1519">
            <v>5145.0879729510498</v>
          </cell>
          <cell r="I1519">
            <v>84</v>
          </cell>
          <cell r="J1519">
            <v>1.0467406946190701E-4</v>
          </cell>
          <cell r="K1519">
            <v>1538</v>
          </cell>
          <cell r="L1519">
            <v>15.4386321080268</v>
          </cell>
          <cell r="M1519">
            <v>2525</v>
          </cell>
          <cell r="N1519">
            <v>1.64447489646563E-3</v>
          </cell>
          <cell r="O1519">
            <v>2531</v>
          </cell>
          <cell r="P1519">
            <v>0.08</v>
          </cell>
          <cell r="Q1519">
            <v>1580</v>
          </cell>
        </row>
        <row r="1520">
          <cell r="B1520" t="str">
            <v>IGNACIO 11011779</v>
          </cell>
          <cell r="C1520">
            <v>42481101</v>
          </cell>
          <cell r="D1520" t="str">
            <v>IGNACIO 1101</v>
          </cell>
          <cell r="E1520">
            <v>1779</v>
          </cell>
          <cell r="F1520" t="b">
            <v>1</v>
          </cell>
          <cell r="G1520">
            <v>677.029272520463</v>
          </cell>
          <cell r="H1520">
            <v>540.90993043964795</v>
          </cell>
          <cell r="I1520">
            <v>5</v>
          </cell>
          <cell r="J1520">
            <v>6.6577153847901998E-5</v>
          </cell>
          <cell r="K1520">
            <v>2570</v>
          </cell>
          <cell r="L1520">
            <v>9.5735323705256601</v>
          </cell>
          <cell r="M1520">
            <v>2633</v>
          </cell>
          <cell r="N1520">
            <v>6.26251518328755E-4</v>
          </cell>
          <cell r="O1520">
            <v>2701</v>
          </cell>
          <cell r="Q1520">
            <v>3516</v>
          </cell>
        </row>
        <row r="1521">
          <cell r="B1521" t="str">
            <v>IGNACIO 1101CB</v>
          </cell>
          <cell r="C1521">
            <v>42481101</v>
          </cell>
          <cell r="D1521" t="str">
            <v>IGNACIO 1101</v>
          </cell>
          <cell r="E1521" t="str">
            <v>CB</v>
          </cell>
          <cell r="F1521" t="b">
            <v>0</v>
          </cell>
          <cell r="G1521">
            <v>2942.81101221262</v>
          </cell>
          <cell r="H1521">
            <v>2690.5619154311398</v>
          </cell>
          <cell r="I1521">
            <v>19</v>
          </cell>
          <cell r="J1521">
            <v>1.3352849794046E-4</v>
          </cell>
          <cell r="K1521">
            <v>951</v>
          </cell>
          <cell r="L1521">
            <v>20.082121455779099</v>
          </cell>
          <cell r="M1521">
            <v>2447</v>
          </cell>
          <cell r="N1521">
            <v>2.2279420410097699E-3</v>
          </cell>
          <cell r="O1521">
            <v>2448</v>
          </cell>
          <cell r="P1521">
            <v>0.05</v>
          </cell>
          <cell r="Q1521">
            <v>2033</v>
          </cell>
        </row>
        <row r="1522">
          <cell r="B1522" t="str">
            <v>IGNACIO 1103151462</v>
          </cell>
          <cell r="C1522">
            <v>42481103</v>
          </cell>
          <cell r="D1522" t="str">
            <v>IGNACIO 1103</v>
          </cell>
          <cell r="E1522">
            <v>151462</v>
          </cell>
          <cell r="F1522" t="b">
            <v>1</v>
          </cell>
          <cell r="G1522">
            <v>247.774817099888</v>
          </cell>
          <cell r="H1522">
            <v>247.774817099888</v>
          </cell>
          <cell r="I1522">
            <v>3</v>
          </cell>
          <cell r="J1522">
            <v>2.04658153961645E-5</v>
          </cell>
          <cell r="K1522">
            <v>3540</v>
          </cell>
          <cell r="L1522">
            <v>6.6004650174152302E-2</v>
          </cell>
          <cell r="M1522">
            <v>3216</v>
          </cell>
          <cell r="N1522">
            <v>1.34166162985445E-6</v>
          </cell>
          <cell r="O1522">
            <v>3561</v>
          </cell>
          <cell r="Q1522">
            <v>3443</v>
          </cell>
        </row>
        <row r="1523">
          <cell r="B1523" t="str">
            <v>IGNACIO 1103504941</v>
          </cell>
          <cell r="C1523">
            <v>42481103</v>
          </cell>
          <cell r="D1523" t="str">
            <v>IGNACIO 1103</v>
          </cell>
          <cell r="E1523">
            <v>504941</v>
          </cell>
          <cell r="F1523" t="b">
            <v>1</v>
          </cell>
          <cell r="G1523">
            <v>1025.6159629886999</v>
          </cell>
          <cell r="H1523">
            <v>663.23997159864996</v>
          </cell>
          <cell r="I1523">
            <v>6</v>
          </cell>
          <cell r="J1523">
            <v>3.3216611276050802E-5</v>
          </cell>
          <cell r="K1523">
            <v>3381</v>
          </cell>
          <cell r="L1523">
            <v>6.55779194872744E-2</v>
          </cell>
          <cell r="M1523">
            <v>3339</v>
          </cell>
          <cell r="N1523">
            <v>2.19401093379253E-6</v>
          </cell>
          <cell r="O1523">
            <v>3492</v>
          </cell>
          <cell r="Q1523">
            <v>3375</v>
          </cell>
        </row>
        <row r="1524">
          <cell r="B1524" t="str">
            <v>IGNACIO 1103CB</v>
          </cell>
          <cell r="C1524">
            <v>42481103</v>
          </cell>
          <cell r="D1524" t="str">
            <v>IGNACIO 1103</v>
          </cell>
          <cell r="E1524" t="str">
            <v>CB</v>
          </cell>
          <cell r="F1524" t="b">
            <v>1</v>
          </cell>
          <cell r="G1524">
            <v>3068.5522734636802</v>
          </cell>
          <cell r="H1524">
            <v>350.32956112772098</v>
          </cell>
          <cell r="I1524">
            <v>34</v>
          </cell>
          <cell r="J1524">
            <v>4.3220512179686903E-5</v>
          </cell>
          <cell r="K1524">
            <v>3205</v>
          </cell>
          <cell r="L1524">
            <v>6.5226494215728001E-2</v>
          </cell>
          <cell r="M1524">
            <v>3495</v>
          </cell>
          <cell r="N1524">
            <v>2.8181368696323901E-6</v>
          </cell>
          <cell r="O1524">
            <v>3433</v>
          </cell>
          <cell r="Q1524">
            <v>2943</v>
          </cell>
        </row>
        <row r="1525">
          <cell r="B1525" t="str">
            <v>IGNACIO 11041290</v>
          </cell>
          <cell r="C1525">
            <v>42481104</v>
          </cell>
          <cell r="D1525" t="str">
            <v>IGNACIO 1104</v>
          </cell>
          <cell r="E1525">
            <v>1290</v>
          </cell>
          <cell r="F1525" t="b">
            <v>0</v>
          </cell>
          <cell r="G1525">
            <v>20913.8819115222</v>
          </cell>
          <cell r="H1525">
            <v>6586.7467701674504</v>
          </cell>
          <cell r="I1525">
            <v>126</v>
          </cell>
          <cell r="J1525">
            <v>8.6173455227667794E-5</v>
          </cell>
          <cell r="K1525">
            <v>2030</v>
          </cell>
          <cell r="L1525">
            <v>27.952969845807701</v>
          </cell>
          <cell r="M1525">
            <v>2362</v>
          </cell>
          <cell r="N1525">
            <v>3.5797086433187598E-3</v>
          </cell>
          <cell r="O1525">
            <v>2288</v>
          </cell>
          <cell r="P1525">
            <v>0.02</v>
          </cell>
          <cell r="Q1525">
            <v>2529</v>
          </cell>
        </row>
        <row r="1526">
          <cell r="B1526" t="str">
            <v>IGNACIO 1104450582</v>
          </cell>
          <cell r="C1526">
            <v>42481104</v>
          </cell>
          <cell r="D1526" t="str">
            <v>IGNACIO 1104</v>
          </cell>
          <cell r="E1526">
            <v>450582</v>
          </cell>
          <cell r="F1526" t="b">
            <v>0</v>
          </cell>
          <cell r="G1526">
            <v>6805.9935667516902</v>
          </cell>
          <cell r="H1526">
            <v>4807.84599798208</v>
          </cell>
          <cell r="I1526">
            <v>50</v>
          </cell>
          <cell r="J1526">
            <v>8.4551044619729499E-5</v>
          </cell>
          <cell r="K1526">
            <v>2074</v>
          </cell>
          <cell r="L1526">
            <v>22.399847698896899</v>
          </cell>
          <cell r="M1526">
            <v>2418</v>
          </cell>
          <cell r="N1526">
            <v>2.6097135935766202E-3</v>
          </cell>
          <cell r="O1526">
            <v>2396</v>
          </cell>
          <cell r="P1526">
            <v>0.06</v>
          </cell>
          <cell r="Q1526">
            <v>1776</v>
          </cell>
        </row>
        <row r="1527">
          <cell r="B1527" t="str">
            <v>IGNACIO 11051943</v>
          </cell>
          <cell r="C1527">
            <v>42481105</v>
          </cell>
          <cell r="D1527" t="str">
            <v>IGNACIO 1105</v>
          </cell>
          <cell r="E1527">
            <v>1943</v>
          </cell>
          <cell r="F1527" t="b">
            <v>0</v>
          </cell>
          <cell r="G1527">
            <v>1959.9629952760999</v>
          </cell>
          <cell r="H1527">
            <v>1959.9629952760999</v>
          </cell>
          <cell r="I1527">
            <v>17</v>
          </cell>
          <cell r="J1527">
            <v>1.4604351942098699E-4</v>
          </cell>
          <cell r="K1527">
            <v>788</v>
          </cell>
          <cell r="L1527">
            <v>5.6591452752142999</v>
          </cell>
          <cell r="M1527">
            <v>2723</v>
          </cell>
          <cell r="N1527">
            <v>1.1872455794826799E-3</v>
          </cell>
          <cell r="O1527">
            <v>2600</v>
          </cell>
          <cell r="Q1527">
            <v>3220</v>
          </cell>
        </row>
        <row r="1528">
          <cell r="B1528" t="str">
            <v>IGNACIO 1105318</v>
          </cell>
          <cell r="C1528">
            <v>42481105</v>
          </cell>
          <cell r="D1528" t="str">
            <v>IGNACIO 1105</v>
          </cell>
          <cell r="E1528">
            <v>318</v>
          </cell>
          <cell r="F1528" t="b">
            <v>0</v>
          </cell>
          <cell r="G1528">
            <v>18622.633548811202</v>
          </cell>
          <cell r="H1528">
            <v>2887.2824746526799</v>
          </cell>
          <cell r="I1528">
            <v>150</v>
          </cell>
          <cell r="J1528">
            <v>4.4269088716921002E-5</v>
          </cell>
          <cell r="K1528">
            <v>3183</v>
          </cell>
          <cell r="L1528">
            <v>6.5347484916360402E-2</v>
          </cell>
          <cell r="M1528">
            <v>3439</v>
          </cell>
          <cell r="N1528">
            <v>2.9031073538759999E-6</v>
          </cell>
          <cell r="O1528">
            <v>3424</v>
          </cell>
          <cell r="Q1528">
            <v>2830</v>
          </cell>
        </row>
        <row r="1529">
          <cell r="B1529" t="str">
            <v>IGNACIO 1105490728</v>
          </cell>
          <cell r="C1529">
            <v>42481105</v>
          </cell>
          <cell r="D1529" t="str">
            <v>IGNACIO 1105</v>
          </cell>
          <cell r="E1529">
            <v>490728</v>
          </cell>
          <cell r="F1529" t="b">
            <v>0</v>
          </cell>
          <cell r="G1529">
            <v>1414.5017933034001</v>
          </cell>
          <cell r="H1529">
            <v>1044.2482297368399</v>
          </cell>
          <cell r="I1529">
            <v>11</v>
          </cell>
          <cell r="J1529">
            <v>1.3127992199522099E-4</v>
          </cell>
          <cell r="K1529">
            <v>992</v>
          </cell>
          <cell r="L1529">
            <v>6.5965856475345197E-2</v>
          </cell>
          <cell r="M1529">
            <v>3228</v>
          </cell>
          <cell r="N1529">
            <v>8.6627846094628898E-6</v>
          </cell>
          <cell r="O1529">
            <v>3101</v>
          </cell>
          <cell r="Q1529">
            <v>2925</v>
          </cell>
        </row>
        <row r="1530">
          <cell r="B1530" t="str">
            <v>IGNACIO 1105683542</v>
          </cell>
          <cell r="C1530">
            <v>42481105</v>
          </cell>
          <cell r="D1530" t="str">
            <v>IGNACIO 1105</v>
          </cell>
          <cell r="E1530">
            <v>683542</v>
          </cell>
          <cell r="F1530" t="b">
            <v>1</v>
          </cell>
          <cell r="G1530">
            <v>222.91146325958201</v>
          </cell>
          <cell r="H1530">
            <v>222.91146325958201</v>
          </cell>
          <cell r="I1530">
            <v>2</v>
          </cell>
          <cell r="J1530">
            <v>4.4358046579873101E-5</v>
          </cell>
          <cell r="K1530">
            <v>3180</v>
          </cell>
          <cell r="L1530">
            <v>6.6431380861030107E-2</v>
          </cell>
          <cell r="M1530">
            <v>3030</v>
          </cell>
          <cell r="N1530">
            <v>2.9467662865988699E-6</v>
          </cell>
          <cell r="O1530">
            <v>3417</v>
          </cell>
          <cell r="Q1530">
            <v>3237</v>
          </cell>
        </row>
        <row r="1531">
          <cell r="B1531" t="str">
            <v>IGNACIO 1105784032</v>
          </cell>
          <cell r="C1531">
            <v>42481105</v>
          </cell>
          <cell r="D1531" t="str">
            <v>IGNACIO 1105</v>
          </cell>
          <cell r="E1531">
            <v>784032</v>
          </cell>
          <cell r="F1531" t="b">
            <v>1</v>
          </cell>
          <cell r="G1531">
            <v>974.48257198116801</v>
          </cell>
          <cell r="H1531">
            <v>863.75096948573798</v>
          </cell>
          <cell r="I1531">
            <v>11</v>
          </cell>
          <cell r="J1531">
            <v>7.8303075993475902E-5</v>
          </cell>
          <cell r="K1531">
            <v>2251</v>
          </cell>
          <cell r="L1531">
            <v>6.61986186681877E-2</v>
          </cell>
          <cell r="M1531">
            <v>3170</v>
          </cell>
          <cell r="N1531">
            <v>5.1905708187108797E-6</v>
          </cell>
          <cell r="O1531">
            <v>3258</v>
          </cell>
          <cell r="Q1531">
            <v>3137</v>
          </cell>
        </row>
        <row r="1532">
          <cell r="B1532" t="str">
            <v>IGNACIO 110584764</v>
          </cell>
          <cell r="C1532">
            <v>42481105</v>
          </cell>
          <cell r="D1532" t="str">
            <v>IGNACIO 1105</v>
          </cell>
          <cell r="E1532">
            <v>84764</v>
          </cell>
          <cell r="F1532" t="b">
            <v>1</v>
          </cell>
          <cell r="G1532">
            <v>4092.9318038153201</v>
          </cell>
          <cell r="H1532">
            <v>339.91364658404598</v>
          </cell>
          <cell r="I1532">
            <v>33</v>
          </cell>
          <cell r="J1532">
            <v>4.5706571819953901E-5</v>
          </cell>
          <cell r="K1532">
            <v>3148</v>
          </cell>
          <cell r="L1532">
            <v>6.5267569896817798E-2</v>
          </cell>
          <cell r="M1532">
            <v>3472</v>
          </cell>
          <cell r="N1532">
            <v>2.9817527473929201E-6</v>
          </cell>
          <cell r="O1532">
            <v>3413</v>
          </cell>
          <cell r="Q1532">
            <v>2990</v>
          </cell>
        </row>
        <row r="1533">
          <cell r="B1533" t="str">
            <v>IGNACIO 1105908</v>
          </cell>
          <cell r="C1533">
            <v>42481105</v>
          </cell>
          <cell r="D1533" t="str">
            <v>IGNACIO 1105</v>
          </cell>
          <cell r="E1533">
            <v>908</v>
          </cell>
          <cell r="F1533" t="b">
            <v>0</v>
          </cell>
          <cell r="G1533">
            <v>3616.7994358912301</v>
          </cell>
          <cell r="H1533">
            <v>1126.3756037569001</v>
          </cell>
          <cell r="I1533">
            <v>42</v>
          </cell>
          <cell r="J1533">
            <v>6.1441638860872295E-5</v>
          </cell>
          <cell r="K1533">
            <v>2737</v>
          </cell>
          <cell r="L1533">
            <v>3.4611846932508201</v>
          </cell>
          <cell r="M1533">
            <v>2796</v>
          </cell>
          <cell r="N1533">
            <v>5.50622661063787E-4</v>
          </cell>
          <cell r="O1533">
            <v>2721</v>
          </cell>
          <cell r="Q1533">
            <v>3005</v>
          </cell>
        </row>
        <row r="1534">
          <cell r="B1534" t="str">
            <v>IGNACIO 1105967039</v>
          </cell>
          <cell r="C1534">
            <v>42481105</v>
          </cell>
          <cell r="D1534" t="str">
            <v>IGNACIO 1105</v>
          </cell>
          <cell r="E1534">
            <v>967039</v>
          </cell>
          <cell r="F1534" t="b">
            <v>1</v>
          </cell>
          <cell r="G1534">
            <v>469.60416503101499</v>
          </cell>
          <cell r="H1534">
            <v>292.91237743953099</v>
          </cell>
          <cell r="I1534">
            <v>3</v>
          </cell>
          <cell r="J1534">
            <v>1.2406114304515801E-4</v>
          </cell>
          <cell r="K1534">
            <v>1117</v>
          </cell>
          <cell r="L1534">
            <v>6.55779194872744E-2</v>
          </cell>
          <cell r="M1534">
            <v>3342</v>
          </cell>
          <cell r="N1534">
            <v>8.1390456250034001E-6</v>
          </cell>
          <cell r="O1534">
            <v>3120</v>
          </cell>
          <cell r="Q1534">
            <v>3394</v>
          </cell>
        </row>
        <row r="1535">
          <cell r="B1535" t="str">
            <v>INDIAN FLAT 110410270</v>
          </cell>
          <cell r="C1535">
            <v>252691104</v>
          </cell>
          <cell r="D1535" t="str">
            <v>INDIAN FLAT 1104</v>
          </cell>
          <cell r="E1535">
            <v>10270</v>
          </cell>
          <cell r="F1535" t="b">
            <v>0</v>
          </cell>
          <cell r="G1535">
            <v>6119.89618148723</v>
          </cell>
          <cell r="H1535">
            <v>6119.89618148723</v>
          </cell>
          <cell r="I1535">
            <v>39</v>
          </cell>
          <cell r="J1535">
            <v>3.22449307368981E-5</v>
          </cell>
          <cell r="K1535">
            <v>3398</v>
          </cell>
          <cell r="L1535">
            <v>67.2011554334956</v>
          </cell>
          <cell r="M1535">
            <v>2107</v>
          </cell>
          <cell r="N1535">
            <v>2.3490330405072299E-3</v>
          </cell>
          <cell r="O1535">
            <v>2431</v>
          </cell>
          <cell r="P1535">
            <v>7.0000000000000007E-2</v>
          </cell>
          <cell r="Q1535">
            <v>1697</v>
          </cell>
        </row>
        <row r="1536">
          <cell r="B1536" t="str">
            <v>INDIAN FLAT 11044440</v>
          </cell>
          <cell r="C1536">
            <v>252691104</v>
          </cell>
          <cell r="D1536" t="str">
            <v>INDIAN FLAT 1104</v>
          </cell>
          <cell r="E1536">
            <v>4440</v>
          </cell>
          <cell r="F1536" t="b">
            <v>1</v>
          </cell>
          <cell r="G1536">
            <v>376.284900470141</v>
          </cell>
          <cell r="H1536">
            <v>376.284900470141</v>
          </cell>
          <cell r="I1536">
            <v>4</v>
          </cell>
          <cell r="J1536">
            <v>1.5163794887484901E-4</v>
          </cell>
          <cell r="K1536">
            <v>724</v>
          </cell>
          <cell r="L1536">
            <v>3234.1310610291798</v>
          </cell>
          <cell r="M1536">
            <v>230</v>
          </cell>
          <cell r="N1536">
            <v>0.68656364316537899</v>
          </cell>
          <cell r="O1536">
            <v>16</v>
          </cell>
          <cell r="P1536">
            <v>1.05</v>
          </cell>
          <cell r="Q1536">
            <v>722</v>
          </cell>
        </row>
        <row r="1537">
          <cell r="B1537" t="str">
            <v>INDIAN FLAT 1104CB</v>
          </cell>
          <cell r="C1537">
            <v>252691104</v>
          </cell>
          <cell r="D1537" t="str">
            <v>INDIAN FLAT 1104</v>
          </cell>
          <cell r="E1537" t="str">
            <v>CB</v>
          </cell>
          <cell r="F1537" t="b">
            <v>0</v>
          </cell>
          <cell r="G1537">
            <v>20557.44129911</v>
          </cell>
          <cell r="H1537">
            <v>20557.44129911</v>
          </cell>
          <cell r="I1537">
            <v>85</v>
          </cell>
          <cell r="J1537">
            <v>1.2759672896815201E-4</v>
          </cell>
          <cell r="K1537">
            <v>1055</v>
          </cell>
          <cell r="L1537">
            <v>1467.6776232126299</v>
          </cell>
          <cell r="M1537">
            <v>609</v>
          </cell>
          <cell r="N1537">
            <v>0.1434719809883</v>
          </cell>
          <cell r="O1537">
            <v>555</v>
          </cell>
          <cell r="P1537">
            <v>0.15</v>
          </cell>
          <cell r="Q1537">
            <v>1305</v>
          </cell>
        </row>
        <row r="1538">
          <cell r="B1538" t="str">
            <v>IONE 1101CB</v>
          </cell>
          <cell r="C1538">
            <v>163881101</v>
          </cell>
          <cell r="D1538" t="str">
            <v>IONE 1101</v>
          </cell>
          <cell r="E1538" t="str">
            <v>CB</v>
          </cell>
          <cell r="F1538" t="b">
            <v>0</v>
          </cell>
          <cell r="G1538">
            <v>22613.991459067402</v>
          </cell>
          <cell r="H1538">
            <v>2970.8687432987399</v>
          </cell>
          <cell r="I1538">
            <v>85</v>
          </cell>
          <cell r="J1538">
            <v>1.2529368039048699E-4</v>
          </cell>
          <cell r="K1538">
            <v>1093</v>
          </cell>
          <cell r="L1538">
            <v>646.64638111377599</v>
          </cell>
          <cell r="M1538">
            <v>1068</v>
          </cell>
          <cell r="N1538">
            <v>5.4858963622538101E-2</v>
          </cell>
          <cell r="O1538">
            <v>1127</v>
          </cell>
          <cell r="P1538">
            <v>0.02</v>
          </cell>
          <cell r="Q1538">
            <v>2492</v>
          </cell>
        </row>
        <row r="1539">
          <cell r="B1539" t="str">
            <v>IONE 1101L3141</v>
          </cell>
          <cell r="C1539">
            <v>163881101</v>
          </cell>
          <cell r="D1539" t="str">
            <v>IONE 1101</v>
          </cell>
          <cell r="E1539" t="str">
            <v>L3141</v>
          </cell>
          <cell r="F1539" t="b">
            <v>0</v>
          </cell>
          <cell r="G1539">
            <v>22528.548552791999</v>
          </cell>
          <cell r="H1539">
            <v>22255.825643317799</v>
          </cell>
          <cell r="I1539">
            <v>97</v>
          </cell>
          <cell r="J1539">
            <v>7.5574181564182802E-5</v>
          </cell>
          <cell r="K1539">
            <v>2322</v>
          </cell>
          <cell r="L1539">
            <v>1221.0879074648001</v>
          </cell>
          <cell r="M1539">
            <v>717</v>
          </cell>
          <cell r="N1539">
            <v>8.4538534508877897E-2</v>
          </cell>
          <cell r="O1539">
            <v>866</v>
          </cell>
          <cell r="P1539">
            <v>0.09</v>
          </cell>
          <cell r="Q1539">
            <v>1535</v>
          </cell>
        </row>
        <row r="1540">
          <cell r="B1540" t="str">
            <v>JAMESON 110265516</v>
          </cell>
          <cell r="C1540">
            <v>63801102</v>
          </cell>
          <cell r="D1540" t="str">
            <v>JAMESON 1102</v>
          </cell>
          <cell r="E1540">
            <v>65516</v>
          </cell>
          <cell r="F1540" t="b">
            <v>0</v>
          </cell>
          <cell r="G1540">
            <v>18264.461277578201</v>
          </cell>
          <cell r="H1540">
            <v>12394.583608106799</v>
          </cell>
          <cell r="I1540">
            <v>137</v>
          </cell>
          <cell r="J1540">
            <v>9.0276549064369303E-5</v>
          </cell>
          <cell r="K1540">
            <v>1904</v>
          </cell>
          <cell r="L1540">
            <v>1198.2179530129899</v>
          </cell>
          <cell r="M1540">
            <v>730</v>
          </cell>
          <cell r="N1540">
            <v>0.10400266607068399</v>
          </cell>
          <cell r="O1540">
            <v>739</v>
          </cell>
          <cell r="P1540">
            <v>1.33</v>
          </cell>
          <cell r="Q1540">
            <v>685</v>
          </cell>
        </row>
        <row r="1541">
          <cell r="B1541" t="str">
            <v>JAMESON 1102865502</v>
          </cell>
          <cell r="C1541">
            <v>63801102</v>
          </cell>
          <cell r="D1541" t="str">
            <v>JAMESON 1102</v>
          </cell>
          <cell r="E1541">
            <v>865502</v>
          </cell>
          <cell r="F1541" t="b">
            <v>1</v>
          </cell>
          <cell r="G1541">
            <v>4467.1171538334602</v>
          </cell>
          <cell r="H1541">
            <v>644.95319879475096</v>
          </cell>
          <cell r="I1541">
            <v>27</v>
          </cell>
          <cell r="J1541">
            <v>1.12989399322368E-4</v>
          </cell>
          <cell r="K1541">
            <v>1344</v>
          </cell>
          <cell r="L1541">
            <v>3613.44669659388</v>
          </cell>
          <cell r="M1541">
            <v>189</v>
          </cell>
          <cell r="N1541">
            <v>0.38957224668215101</v>
          </cell>
          <cell r="O1541">
            <v>67</v>
          </cell>
          <cell r="Q1541">
            <v>3119</v>
          </cell>
        </row>
        <row r="1542">
          <cell r="B1542" t="str">
            <v>JAMESON 11028842</v>
          </cell>
          <cell r="C1542">
            <v>63801102</v>
          </cell>
          <cell r="D1542" t="str">
            <v>JAMESON 1102</v>
          </cell>
          <cell r="E1542">
            <v>8842</v>
          </cell>
          <cell r="F1542" t="b">
            <v>1</v>
          </cell>
          <cell r="G1542">
            <v>4786.8365262069501</v>
          </cell>
          <cell r="H1542">
            <v>241.11147555941301</v>
          </cell>
          <cell r="I1542">
            <v>42</v>
          </cell>
          <cell r="J1542">
            <v>6.98892613067206E-5</v>
          </cell>
          <cell r="K1542">
            <v>2476</v>
          </cell>
          <cell r="L1542">
            <v>340.03171721977799</v>
          </cell>
          <cell r="M1542">
            <v>1387</v>
          </cell>
          <cell r="N1542">
            <v>3.4780302881580502E-2</v>
          </cell>
          <cell r="O1542">
            <v>1377</v>
          </cell>
          <cell r="P1542">
            <v>1.42</v>
          </cell>
          <cell r="Q1542">
            <v>678</v>
          </cell>
        </row>
        <row r="1543">
          <cell r="B1543" t="str">
            <v>JAMESON 1103118944</v>
          </cell>
          <cell r="C1543">
            <v>63801103</v>
          </cell>
          <cell r="D1543" t="str">
            <v>JAMESON 1103</v>
          </cell>
          <cell r="E1543">
            <v>118944</v>
          </cell>
          <cell r="F1543" t="b">
            <v>0</v>
          </cell>
          <cell r="G1543">
            <v>8499.8459616765304</v>
          </cell>
          <cell r="H1543">
            <v>3772.9974243011402</v>
          </cell>
          <cell r="I1543">
            <v>41</v>
          </cell>
          <cell r="J1543">
            <v>7.2601303411541204E-5</v>
          </cell>
          <cell r="K1543">
            <v>2402</v>
          </cell>
          <cell r="L1543">
            <v>3739.9482439016101</v>
          </cell>
          <cell r="M1543">
            <v>177</v>
          </cell>
          <cell r="N1543">
            <v>0.27039398222451899</v>
          </cell>
          <cell r="O1543">
            <v>180</v>
          </cell>
          <cell r="Q1543">
            <v>3148</v>
          </cell>
        </row>
        <row r="1544">
          <cell r="B1544" t="str">
            <v>JAMESON 1105371694</v>
          </cell>
          <cell r="C1544">
            <v>63801105</v>
          </cell>
          <cell r="D1544" t="str">
            <v>JAMESON 1105</v>
          </cell>
          <cell r="E1544">
            <v>371694</v>
          </cell>
          <cell r="F1544" t="b">
            <v>1</v>
          </cell>
          <cell r="G1544">
            <v>6199.8124522729504</v>
          </cell>
          <cell r="H1544">
            <v>365.73105673070199</v>
          </cell>
          <cell r="I1544">
            <v>40</v>
          </cell>
          <cell r="J1544">
            <v>6.8585378835450594E-5</v>
          </cell>
          <cell r="K1544">
            <v>2519</v>
          </cell>
          <cell r="L1544">
            <v>205.02847143027901</v>
          </cell>
          <cell r="M1544">
            <v>1628</v>
          </cell>
          <cell r="N1544">
            <v>1.28192246497188E-2</v>
          </cell>
          <cell r="O1544">
            <v>1848</v>
          </cell>
          <cell r="Q1544">
            <v>3089</v>
          </cell>
        </row>
        <row r="1545">
          <cell r="B1545" t="str">
            <v>JAMESON 1105466348</v>
          </cell>
          <cell r="C1545">
            <v>63801105</v>
          </cell>
          <cell r="D1545" t="str">
            <v>JAMESON 1105</v>
          </cell>
          <cell r="E1545">
            <v>466348</v>
          </cell>
          <cell r="F1545" t="b">
            <v>0</v>
          </cell>
          <cell r="G1545">
            <v>48812.396410895402</v>
          </cell>
          <cell r="H1545">
            <v>26039.272333735498</v>
          </cell>
          <cell r="I1545">
            <v>294</v>
          </cell>
          <cell r="J1545">
            <v>9.3720798740270204E-5</v>
          </cell>
          <cell r="K1545">
            <v>1802</v>
          </cell>
          <cell r="L1545">
            <v>2063.8242532192698</v>
          </cell>
          <cell r="M1545">
            <v>440</v>
          </cell>
          <cell r="N1545">
            <v>0.18222551439996601</v>
          </cell>
          <cell r="O1545">
            <v>393</v>
          </cell>
          <cell r="Q1545">
            <v>2838</v>
          </cell>
        </row>
        <row r="1546">
          <cell r="B1546" t="str">
            <v>JAMESON 1105913400</v>
          </cell>
          <cell r="C1546">
            <v>63801105</v>
          </cell>
          <cell r="D1546" t="str">
            <v>JAMESON 1105</v>
          </cell>
          <cell r="E1546">
            <v>913400</v>
          </cell>
          <cell r="F1546" t="b">
            <v>1</v>
          </cell>
          <cell r="G1546">
            <v>1667.8339955776701</v>
          </cell>
          <cell r="H1546">
            <v>172.35288293634</v>
          </cell>
          <cell r="I1546">
            <v>14</v>
          </cell>
          <cell r="J1546">
            <v>1.18320043839048E-4</v>
          </cell>
          <cell r="K1546">
            <v>1223</v>
          </cell>
          <cell r="L1546">
            <v>1563.2661201614701</v>
          </cell>
          <cell r="M1546">
            <v>575</v>
          </cell>
          <cell r="N1546">
            <v>0.17456989257707001</v>
          </cell>
          <cell r="O1546">
            <v>419</v>
          </cell>
          <cell r="Q1546">
            <v>3465</v>
          </cell>
        </row>
        <row r="1547">
          <cell r="B1547" t="str">
            <v>JAMESON 11059472</v>
          </cell>
          <cell r="C1547">
            <v>63801105</v>
          </cell>
          <cell r="D1547" t="str">
            <v>JAMESON 1105</v>
          </cell>
          <cell r="E1547">
            <v>9472</v>
          </cell>
          <cell r="F1547" t="b">
            <v>0</v>
          </cell>
          <cell r="G1547">
            <v>11800.3383991275</v>
          </cell>
          <cell r="H1547">
            <v>4934.5741126384301</v>
          </cell>
          <cell r="I1547">
            <v>90</v>
          </cell>
          <cell r="J1547">
            <v>8.6624824883513698E-5</v>
          </cell>
          <cell r="K1547">
            <v>2018</v>
          </cell>
          <cell r="L1547">
            <v>1503.1800523819199</v>
          </cell>
          <cell r="M1547">
            <v>596</v>
          </cell>
          <cell r="N1547">
            <v>0.10730768246269599</v>
          </cell>
          <cell r="O1547">
            <v>724</v>
          </cell>
          <cell r="P1547">
            <v>0.04</v>
          </cell>
          <cell r="Q1547">
            <v>2109</v>
          </cell>
        </row>
        <row r="1548">
          <cell r="B1548" t="str">
            <v>JARVIS 1101MR210</v>
          </cell>
          <cell r="C1548">
            <v>13501101</v>
          </cell>
          <cell r="D1548" t="str">
            <v>JARVIS 1101</v>
          </cell>
          <cell r="E1548" t="str">
            <v>MR210</v>
          </cell>
          <cell r="F1548" t="b">
            <v>0</v>
          </cell>
          <cell r="G1548">
            <v>12199.0798385874</v>
          </cell>
          <cell r="H1548">
            <v>1314.2645786523401</v>
          </cell>
          <cell r="I1548">
            <v>103</v>
          </cell>
          <cell r="J1548">
            <v>2.3777079099249699E-5</v>
          </cell>
          <cell r="K1548">
            <v>3506</v>
          </cell>
          <cell r="L1548">
            <v>0.99149434376978096</v>
          </cell>
          <cell r="M1548">
            <v>2893</v>
          </cell>
          <cell r="N1548">
            <v>6.29393559069456E-5</v>
          </cell>
          <cell r="O1548">
            <v>2896</v>
          </cell>
          <cell r="P1548">
            <v>1.94</v>
          </cell>
          <cell r="Q1548">
            <v>629</v>
          </cell>
        </row>
        <row r="1549">
          <cell r="B1549" t="str">
            <v>JARVIS 1108289662</v>
          </cell>
          <cell r="C1549">
            <v>13501108</v>
          </cell>
          <cell r="D1549" t="str">
            <v>JARVIS 1108</v>
          </cell>
          <cell r="E1549">
            <v>289662</v>
          </cell>
          <cell r="F1549" t="b">
            <v>1</v>
          </cell>
          <cell r="G1549">
            <v>1302.8840230882299</v>
          </cell>
          <cell r="H1549">
            <v>533.35525654848902</v>
          </cell>
          <cell r="I1549">
            <v>11</v>
          </cell>
          <cell r="J1549">
            <v>2.7821518911382102E-5</v>
          </cell>
          <cell r="K1549">
            <v>3461</v>
          </cell>
          <cell r="L1549">
            <v>483.48462579534799</v>
          </cell>
          <cell r="M1549">
            <v>1212</v>
          </cell>
          <cell r="N1549">
            <v>2.8226644228771799E-2</v>
          </cell>
          <cell r="O1549">
            <v>1493</v>
          </cell>
          <cell r="Q1549">
            <v>3149</v>
          </cell>
        </row>
        <row r="1550">
          <cell r="B1550" t="str">
            <v>JARVIS 1108767280</v>
          </cell>
          <cell r="C1550">
            <v>13501108</v>
          </cell>
          <cell r="D1550" t="str">
            <v>JARVIS 1108</v>
          </cell>
          <cell r="E1550">
            <v>767280</v>
          </cell>
          <cell r="F1550" t="b">
            <v>1</v>
          </cell>
          <cell r="G1550">
            <v>1164.5580402293599</v>
          </cell>
          <cell r="H1550">
            <v>816.40388671044605</v>
          </cell>
          <cell r="I1550">
            <v>11</v>
          </cell>
          <cell r="J1550">
            <v>4.3875175296389799E-5</v>
          </cell>
          <cell r="K1550">
            <v>3191</v>
          </cell>
          <cell r="L1550">
            <v>579.64603987674798</v>
          </cell>
          <cell r="M1550">
            <v>1124</v>
          </cell>
          <cell r="N1550">
            <v>4.6116644722635103E-2</v>
          </cell>
          <cell r="O1550">
            <v>1223</v>
          </cell>
          <cell r="Q1550">
            <v>3440</v>
          </cell>
        </row>
        <row r="1551">
          <cell r="B1551" t="str">
            <v>JARVIS 1108MR366</v>
          </cell>
          <cell r="C1551">
            <v>13501108</v>
          </cell>
          <cell r="D1551" t="str">
            <v>JARVIS 1108</v>
          </cell>
          <cell r="E1551" t="str">
            <v>MR366</v>
          </cell>
          <cell r="F1551" t="b">
            <v>1</v>
          </cell>
          <cell r="G1551">
            <v>15876.8969350798</v>
          </cell>
          <cell r="H1551">
            <v>0</v>
          </cell>
          <cell r="I1551">
            <v>134</v>
          </cell>
          <cell r="J1551">
            <v>1.4915646072320301E-5</v>
          </cell>
          <cell r="K1551">
            <v>3586</v>
          </cell>
          <cell r="L1551">
            <v>46.6158061140397</v>
          </cell>
          <cell r="M1551">
            <v>2237</v>
          </cell>
          <cell r="N1551">
            <v>8.8159142220809697E-4</v>
          </cell>
          <cell r="O1551">
            <v>2657</v>
          </cell>
          <cell r="Q1551">
            <v>2698</v>
          </cell>
        </row>
        <row r="1552">
          <cell r="B1552" t="str">
            <v>JARVIS 1111907698</v>
          </cell>
          <cell r="C1552">
            <v>13501111</v>
          </cell>
          <cell r="D1552" t="str">
            <v>JARVIS 1111</v>
          </cell>
          <cell r="E1552">
            <v>907698</v>
          </cell>
          <cell r="F1552" t="b">
            <v>0</v>
          </cell>
          <cell r="G1552">
            <v>3034.3116551047801</v>
          </cell>
          <cell r="H1552">
            <v>2466.4182498045998</v>
          </cell>
          <cell r="I1552">
            <v>14</v>
          </cell>
          <cell r="J1552">
            <v>1.2445002253765999E-4</v>
          </cell>
          <cell r="K1552">
            <v>1111</v>
          </cell>
          <cell r="L1552">
            <v>261.45368071931898</v>
          </cell>
          <cell r="M1552">
            <v>1520</v>
          </cell>
          <cell r="N1552">
            <v>3.2250122715565599E-2</v>
          </cell>
          <cell r="O1552">
            <v>1423</v>
          </cell>
          <cell r="Q1552">
            <v>3140</v>
          </cell>
        </row>
        <row r="1553">
          <cell r="B1553" t="str">
            <v>JESSUP 11011496</v>
          </cell>
          <cell r="C1553">
            <v>103441101</v>
          </cell>
          <cell r="D1553" t="str">
            <v>JESSUP 1101</v>
          </cell>
          <cell r="E1553">
            <v>1496</v>
          </cell>
          <cell r="F1553" t="b">
            <v>0</v>
          </cell>
          <cell r="G1553">
            <v>26084.969003433602</v>
          </cell>
          <cell r="H1553">
            <v>23526.972845111901</v>
          </cell>
          <cell r="I1553">
            <v>201</v>
          </cell>
          <cell r="J1553">
            <v>7.6403416619654594E-5</v>
          </cell>
          <cell r="K1553">
            <v>2297</v>
          </cell>
          <cell r="L1553">
            <v>864.72275092623499</v>
          </cell>
          <cell r="M1553">
            <v>905</v>
          </cell>
          <cell r="N1553">
            <v>6.1210127604857403E-2</v>
          </cell>
          <cell r="O1553">
            <v>1052</v>
          </cell>
          <cell r="P1553">
            <v>0.06</v>
          </cell>
          <cell r="Q1553">
            <v>1790</v>
          </cell>
        </row>
        <row r="1554">
          <cell r="B1554" t="str">
            <v>JESSUP 11011993</v>
          </cell>
          <cell r="C1554">
            <v>103441101</v>
          </cell>
          <cell r="D1554" t="str">
            <v>JESSUP 1101</v>
          </cell>
          <cell r="E1554">
            <v>1993</v>
          </cell>
          <cell r="F1554" t="b">
            <v>0</v>
          </cell>
          <cell r="G1554">
            <v>4771.9686279428297</v>
          </cell>
          <cell r="H1554">
            <v>4470.3512033515299</v>
          </cell>
          <cell r="I1554">
            <v>39</v>
          </cell>
          <cell r="J1554">
            <v>6.0989168606540298E-5</v>
          </cell>
          <cell r="K1554">
            <v>2747</v>
          </cell>
          <cell r="L1554">
            <v>818.05932769035905</v>
          </cell>
          <cell r="M1554">
            <v>926</v>
          </cell>
          <cell r="N1554">
            <v>6.4211919430947506E-2</v>
          </cell>
          <cell r="O1554">
            <v>1026</v>
          </cell>
          <cell r="P1554">
            <v>3.17</v>
          </cell>
          <cell r="Q1554">
            <v>558</v>
          </cell>
        </row>
        <row r="1555">
          <cell r="B1555" t="str">
            <v>JESSUP 11012839</v>
          </cell>
          <cell r="C1555">
            <v>103441101</v>
          </cell>
          <cell r="D1555" t="str">
            <v>JESSUP 1101</v>
          </cell>
          <cell r="E1555">
            <v>2839</v>
          </cell>
          <cell r="F1555" t="b">
            <v>0</v>
          </cell>
          <cell r="G1555">
            <v>2358.3859254579302</v>
          </cell>
          <cell r="H1555">
            <v>2358.3859254579302</v>
          </cell>
          <cell r="I1555">
            <v>20</v>
          </cell>
          <cell r="J1555">
            <v>1.18357761675724E-4</v>
          </cell>
          <cell r="K1555">
            <v>1220</v>
          </cell>
          <cell r="L1555">
            <v>279.52943619463099</v>
          </cell>
          <cell r="M1555">
            <v>1473</v>
          </cell>
          <cell r="N1555">
            <v>2.5690179227262799E-2</v>
          </cell>
          <cell r="O1555">
            <v>1539</v>
          </cell>
          <cell r="P1555">
            <v>7.0000000000000007E-2</v>
          </cell>
          <cell r="Q1555">
            <v>1683</v>
          </cell>
        </row>
        <row r="1556">
          <cell r="B1556" t="str">
            <v>JESSUP 11013383</v>
          </cell>
          <cell r="C1556">
            <v>103441101</v>
          </cell>
          <cell r="D1556" t="str">
            <v>JESSUP 1101</v>
          </cell>
          <cell r="E1556">
            <v>3383</v>
          </cell>
          <cell r="F1556" t="b">
            <v>0</v>
          </cell>
          <cell r="G1556">
            <v>3031.9375901066901</v>
          </cell>
          <cell r="H1556">
            <v>2267.9132809326302</v>
          </cell>
          <cell r="I1556">
            <v>24</v>
          </cell>
          <cell r="J1556">
            <v>1.0952189480424999E-4</v>
          </cell>
          <cell r="K1556">
            <v>1421</v>
          </cell>
          <cell r="L1556">
            <v>99.072357348319201</v>
          </cell>
          <cell r="M1556">
            <v>1957</v>
          </cell>
          <cell r="N1556">
            <v>1.2944257974837999E-2</v>
          </cell>
          <cell r="O1556">
            <v>1846</v>
          </cell>
          <cell r="P1556">
            <v>0.05</v>
          </cell>
          <cell r="Q1556">
            <v>2040</v>
          </cell>
        </row>
        <row r="1557">
          <cell r="B1557" t="str">
            <v>JESSUP 110141356</v>
          </cell>
          <cell r="C1557">
            <v>103441101</v>
          </cell>
          <cell r="D1557" t="str">
            <v>JESSUP 1101</v>
          </cell>
          <cell r="E1557">
            <v>41356</v>
          </cell>
          <cell r="F1557" t="b">
            <v>0</v>
          </cell>
          <cell r="G1557">
            <v>52238.156928393902</v>
          </cell>
          <cell r="H1557">
            <v>52238.156928393902</v>
          </cell>
          <cell r="I1557">
            <v>318</v>
          </cell>
          <cell r="J1557">
            <v>8.9641673993892101E-5</v>
          </cell>
          <cell r="K1557">
            <v>1926</v>
          </cell>
          <cell r="L1557">
            <v>2383.6073140399499</v>
          </cell>
          <cell r="M1557">
            <v>362</v>
          </cell>
          <cell r="N1557">
            <v>0.194450124570025</v>
          </cell>
          <cell r="O1557">
            <v>350</v>
          </cell>
          <cell r="P1557">
            <v>1.05</v>
          </cell>
          <cell r="Q1557">
            <v>720</v>
          </cell>
        </row>
        <row r="1558">
          <cell r="B1558" t="str">
            <v>JESSUP 110168362</v>
          </cell>
          <cell r="C1558">
            <v>103441101</v>
          </cell>
          <cell r="D1558" t="str">
            <v>JESSUP 1101</v>
          </cell>
          <cell r="E1558">
            <v>68362</v>
          </cell>
          <cell r="F1558" t="b">
            <v>0</v>
          </cell>
          <cell r="G1558">
            <v>11797.209513071</v>
          </cell>
          <cell r="H1558">
            <v>8312.3826577585405</v>
          </cell>
          <cell r="I1558">
            <v>96</v>
          </cell>
          <cell r="J1558">
            <v>1.2656584704018301E-4</v>
          </cell>
          <cell r="K1558">
            <v>1070</v>
          </cell>
          <cell r="L1558">
            <v>343.90773450826498</v>
          </cell>
          <cell r="M1558">
            <v>1382</v>
          </cell>
          <cell r="N1558">
            <v>4.7076125137491001E-2</v>
          </cell>
          <cell r="O1558">
            <v>1210</v>
          </cell>
          <cell r="Q1558">
            <v>2751</v>
          </cell>
        </row>
        <row r="1559">
          <cell r="B1559" t="str">
            <v>JESSUP 11019002</v>
          </cell>
          <cell r="C1559">
            <v>103441101</v>
          </cell>
          <cell r="D1559" t="str">
            <v>JESSUP 1101</v>
          </cell>
          <cell r="E1559">
            <v>9002</v>
          </cell>
          <cell r="F1559" t="b">
            <v>0</v>
          </cell>
          <cell r="G1559">
            <v>9863.4451492375902</v>
          </cell>
          <cell r="H1559">
            <v>1568.49193248043</v>
          </cell>
          <cell r="I1559">
            <v>74</v>
          </cell>
          <cell r="J1559">
            <v>1.0720259624203201E-4</v>
          </cell>
          <cell r="K1559">
            <v>1468</v>
          </cell>
          <cell r="L1559">
            <v>178.95999101394301</v>
          </cell>
          <cell r="M1559">
            <v>1685</v>
          </cell>
          <cell r="N1559">
            <v>2.5291677851342901E-2</v>
          </cell>
          <cell r="O1559">
            <v>1549</v>
          </cell>
          <cell r="P1559">
            <v>0.04</v>
          </cell>
          <cell r="Q1559">
            <v>2144</v>
          </cell>
        </row>
        <row r="1560">
          <cell r="B1560" t="str">
            <v>JESSUP 110194468</v>
          </cell>
          <cell r="C1560">
            <v>103441101</v>
          </cell>
          <cell r="D1560" t="str">
            <v>JESSUP 1101</v>
          </cell>
          <cell r="E1560">
            <v>94468</v>
          </cell>
          <cell r="F1560" t="b">
            <v>0</v>
          </cell>
          <cell r="G1560">
            <v>2757.0603688033598</v>
          </cell>
          <cell r="H1560">
            <v>2757.0603688033598</v>
          </cell>
          <cell r="I1560">
            <v>21</v>
          </cell>
          <cell r="J1560">
            <v>6.66156796623476E-5</v>
          </cell>
          <cell r="K1560">
            <v>2567</v>
          </cell>
          <cell r="L1560">
            <v>514.92325099555705</v>
          </cell>
          <cell r="M1560">
            <v>1187</v>
          </cell>
          <cell r="N1560">
            <v>3.3992816345856901E-2</v>
          </cell>
          <cell r="O1560">
            <v>1386</v>
          </cell>
          <cell r="Q1560">
            <v>3480</v>
          </cell>
        </row>
        <row r="1561">
          <cell r="B1561" t="str">
            <v>JESSUP 11019752</v>
          </cell>
          <cell r="C1561">
            <v>103441101</v>
          </cell>
          <cell r="D1561" t="str">
            <v>JESSUP 1101</v>
          </cell>
          <cell r="E1561">
            <v>9752</v>
          </cell>
          <cell r="F1561" t="b">
            <v>0</v>
          </cell>
          <cell r="G1561">
            <v>6185.1827743763197</v>
          </cell>
          <cell r="H1561">
            <v>6137.4535543343</v>
          </cell>
          <cell r="I1561">
            <v>41</v>
          </cell>
          <cell r="J1561">
            <v>8.5186968091165399E-5</v>
          </cell>
          <cell r="K1561">
            <v>2053</v>
          </cell>
          <cell r="L1561">
            <v>359.37684913527499</v>
          </cell>
          <cell r="M1561">
            <v>1357</v>
          </cell>
          <cell r="N1561">
            <v>3.3837479024236401E-2</v>
          </cell>
          <cell r="O1561">
            <v>1390</v>
          </cell>
          <cell r="P1561">
            <v>0.08</v>
          </cell>
          <cell r="Q1561">
            <v>1592</v>
          </cell>
        </row>
        <row r="1562">
          <cell r="B1562" t="str">
            <v>JESSUP 1101CB</v>
          </cell>
          <cell r="C1562">
            <v>103441101</v>
          </cell>
          <cell r="D1562" t="str">
            <v>JESSUP 1101</v>
          </cell>
          <cell r="E1562" t="str">
            <v>CB</v>
          </cell>
          <cell r="F1562" t="b">
            <v>0</v>
          </cell>
          <cell r="G1562">
            <v>9345.3493769439792</v>
          </cell>
          <cell r="H1562">
            <v>2462.2686109276101</v>
          </cell>
          <cell r="I1562">
            <v>66</v>
          </cell>
          <cell r="J1562">
            <v>1.20543975479825E-4</v>
          </cell>
          <cell r="K1562">
            <v>1177</v>
          </cell>
          <cell r="L1562">
            <v>1190.2744624110601</v>
          </cell>
          <cell r="M1562">
            <v>738</v>
          </cell>
          <cell r="N1562">
            <v>9.2173679027831898E-2</v>
          </cell>
          <cell r="O1562">
            <v>812</v>
          </cell>
          <cell r="P1562">
            <v>0.04</v>
          </cell>
          <cell r="Q1562">
            <v>2090</v>
          </cell>
        </row>
        <row r="1563">
          <cell r="B1563" t="str">
            <v>JESSUP 11021314</v>
          </cell>
          <cell r="C1563">
            <v>103441102</v>
          </cell>
          <cell r="D1563" t="str">
            <v>JESSUP 1102</v>
          </cell>
          <cell r="E1563">
            <v>1314</v>
          </cell>
          <cell r="F1563" t="b">
            <v>0</v>
          </cell>
          <cell r="G1563">
            <v>23311.137635769301</v>
          </cell>
          <cell r="H1563">
            <v>9677.7607319039398</v>
          </cell>
          <cell r="I1563">
            <v>161</v>
          </cell>
          <cell r="J1563">
            <v>8.2164590507170906E-5</v>
          </cell>
          <cell r="K1563">
            <v>2148</v>
          </cell>
          <cell r="L1563">
            <v>3017.9059803067898</v>
          </cell>
          <cell r="M1563">
            <v>267</v>
          </cell>
          <cell r="N1563">
            <v>0.236635253434895</v>
          </cell>
          <cell r="O1563">
            <v>244</v>
          </cell>
          <cell r="P1563">
            <v>1.18</v>
          </cell>
          <cell r="Q1563">
            <v>703</v>
          </cell>
        </row>
        <row r="1564">
          <cell r="B1564" t="str">
            <v>JESSUP 11021550</v>
          </cell>
          <cell r="C1564">
            <v>103441102</v>
          </cell>
          <cell r="D1564" t="str">
            <v>JESSUP 1102</v>
          </cell>
          <cell r="E1564">
            <v>1550</v>
          </cell>
          <cell r="F1564" t="b">
            <v>0</v>
          </cell>
          <cell r="G1564">
            <v>35703.438632967896</v>
          </cell>
          <cell r="H1564">
            <v>31009.4739960646</v>
          </cell>
          <cell r="I1564">
            <v>237</v>
          </cell>
          <cell r="J1564">
            <v>9.1450565331739294E-5</v>
          </cell>
          <cell r="K1564">
            <v>1860</v>
          </cell>
          <cell r="L1564">
            <v>2378.2716326823502</v>
          </cell>
          <cell r="M1564">
            <v>365</v>
          </cell>
          <cell r="N1564">
            <v>0.183958918935164</v>
          </cell>
          <cell r="O1564">
            <v>389</v>
          </cell>
          <cell r="P1564">
            <v>0.06</v>
          </cell>
          <cell r="Q1564">
            <v>1796</v>
          </cell>
        </row>
        <row r="1565">
          <cell r="B1565" t="str">
            <v>JESSUP 1102158468</v>
          </cell>
          <cell r="C1565">
            <v>103441102</v>
          </cell>
          <cell r="D1565" t="str">
            <v>JESSUP 1102</v>
          </cell>
          <cell r="E1565">
            <v>158468</v>
          </cell>
          <cell r="F1565" t="b">
            <v>0</v>
          </cell>
          <cell r="G1565">
            <v>1388.9105770686299</v>
          </cell>
          <cell r="H1565">
            <v>1120.07916477547</v>
          </cell>
          <cell r="I1565">
            <v>11</v>
          </cell>
          <cell r="J1565">
            <v>1.2572439564709399E-4</v>
          </cell>
          <cell r="K1565">
            <v>1083</v>
          </cell>
          <cell r="L1565">
            <v>6.6083215253108396E-2</v>
          </cell>
          <cell r="M1565">
            <v>3201</v>
          </cell>
          <cell r="N1565">
            <v>8.3062535945016108E-6</v>
          </cell>
          <cell r="O1565">
            <v>3114</v>
          </cell>
          <cell r="Q1565">
            <v>3084</v>
          </cell>
        </row>
        <row r="1566">
          <cell r="B1566" t="str">
            <v>JESSUP 11023105</v>
          </cell>
          <cell r="C1566">
            <v>103441102</v>
          </cell>
          <cell r="D1566" t="str">
            <v>JESSUP 1102</v>
          </cell>
          <cell r="E1566">
            <v>3105</v>
          </cell>
          <cell r="F1566" t="b">
            <v>0</v>
          </cell>
          <cell r="G1566">
            <v>9965.2703408575107</v>
          </cell>
          <cell r="H1566">
            <v>9659.0441481672806</v>
          </cell>
          <cell r="I1566">
            <v>65</v>
          </cell>
          <cell r="J1566">
            <v>6.4265344525875394E-5</v>
          </cell>
          <cell r="K1566">
            <v>2635</v>
          </cell>
          <cell r="L1566">
            <v>5852.1242895986197</v>
          </cell>
          <cell r="M1566">
            <v>38</v>
          </cell>
          <cell r="N1566">
            <v>0.359777832332835</v>
          </cell>
          <cell r="O1566">
            <v>89</v>
          </cell>
          <cell r="P1566">
            <v>2.42</v>
          </cell>
          <cell r="Q1566">
            <v>605</v>
          </cell>
        </row>
        <row r="1567">
          <cell r="B1567" t="str">
            <v>JESSUP 110276068</v>
          </cell>
          <cell r="C1567">
            <v>103441102</v>
          </cell>
          <cell r="D1567" t="str">
            <v>JESSUP 1102</v>
          </cell>
          <cell r="E1567">
            <v>76068</v>
          </cell>
          <cell r="F1567" t="b">
            <v>0</v>
          </cell>
          <cell r="G1567">
            <v>31093.7700879242</v>
          </cell>
          <cell r="H1567">
            <v>27642.926884060798</v>
          </cell>
          <cell r="I1567">
            <v>232</v>
          </cell>
          <cell r="J1567">
            <v>7.7127730617513397E-5</v>
          </cell>
          <cell r="K1567">
            <v>2284</v>
          </cell>
          <cell r="L1567">
            <v>1055.6938078451601</v>
          </cell>
          <cell r="M1567">
            <v>794</v>
          </cell>
          <cell r="N1567">
            <v>7.0347707758223202E-2</v>
          </cell>
          <cell r="O1567">
            <v>977</v>
          </cell>
          <cell r="P1567">
            <v>6.25</v>
          </cell>
          <cell r="Q1567">
            <v>470</v>
          </cell>
        </row>
        <row r="1568">
          <cell r="B1568" t="str">
            <v>JESSUP 1102936897</v>
          </cell>
          <cell r="C1568">
            <v>103441102</v>
          </cell>
          <cell r="D1568" t="str">
            <v>JESSUP 1102</v>
          </cell>
          <cell r="E1568">
            <v>936897</v>
          </cell>
          <cell r="F1568" t="b">
            <v>1</v>
          </cell>
          <cell r="G1568">
            <v>1562.7499443609299</v>
          </cell>
          <cell r="H1568">
            <v>665.551863394002</v>
          </cell>
          <cell r="I1568">
            <v>12</v>
          </cell>
          <cell r="J1568">
            <v>1.4733226938308899E-4</v>
          </cell>
          <cell r="K1568">
            <v>769</v>
          </cell>
          <cell r="L1568">
            <v>1798.1732396139901</v>
          </cell>
          <cell r="M1568">
            <v>507</v>
          </cell>
          <cell r="N1568">
            <v>0.20266578540216901</v>
          </cell>
          <cell r="O1568">
            <v>319</v>
          </cell>
          <cell r="Q1568">
            <v>3507</v>
          </cell>
        </row>
        <row r="1569">
          <cell r="B1569" t="str">
            <v>JESSUP 110296554</v>
          </cell>
          <cell r="C1569">
            <v>103441102</v>
          </cell>
          <cell r="D1569" t="str">
            <v>JESSUP 1102</v>
          </cell>
          <cell r="E1569">
            <v>96554</v>
          </cell>
          <cell r="F1569" t="b">
            <v>0</v>
          </cell>
          <cell r="G1569">
            <v>23931.0857680318</v>
          </cell>
          <cell r="H1569">
            <v>12987.3897213007</v>
          </cell>
          <cell r="I1569">
            <v>172</v>
          </cell>
          <cell r="J1569">
            <v>7.0376399932737296E-5</v>
          </cell>
          <cell r="K1569">
            <v>2458</v>
          </cell>
          <cell r="L1569">
            <v>3307.1204462994101</v>
          </cell>
          <cell r="M1569">
            <v>223</v>
          </cell>
          <cell r="N1569">
            <v>0.22644522578884799</v>
          </cell>
          <cell r="O1569">
            <v>267</v>
          </cell>
          <cell r="P1569">
            <v>1.68</v>
          </cell>
          <cell r="Q1569">
            <v>653</v>
          </cell>
        </row>
        <row r="1570">
          <cell r="B1570" t="str">
            <v>JESSUP 1102CB</v>
          </cell>
          <cell r="C1570">
            <v>103441102</v>
          </cell>
          <cell r="D1570" t="str">
            <v>JESSUP 1102</v>
          </cell>
          <cell r="E1570" t="str">
            <v>CB</v>
          </cell>
          <cell r="F1570" t="b">
            <v>1</v>
          </cell>
          <cell r="G1570">
            <v>5810.1426201335598</v>
          </cell>
          <cell r="H1570">
            <v>159.68228726717899</v>
          </cell>
          <cell r="I1570">
            <v>47</v>
          </cell>
          <cell r="J1570">
            <v>1.0847876088202699E-4</v>
          </cell>
          <cell r="K1570">
            <v>1437</v>
          </cell>
          <cell r="L1570">
            <v>74.886834689211497</v>
          </cell>
          <cell r="M1570">
            <v>2068</v>
          </cell>
          <cell r="N1570">
            <v>4.7600910194666403E-3</v>
          </cell>
          <cell r="O1570">
            <v>2218</v>
          </cell>
          <cell r="P1570">
            <v>0.03</v>
          </cell>
          <cell r="Q1570">
            <v>2307</v>
          </cell>
        </row>
        <row r="1571">
          <cell r="B1571" t="str">
            <v>JESSUP 11031540</v>
          </cell>
          <cell r="C1571">
            <v>103441103</v>
          </cell>
          <cell r="D1571" t="str">
            <v>JESSUP 1103</v>
          </cell>
          <cell r="E1571">
            <v>1540</v>
          </cell>
          <cell r="F1571" t="b">
            <v>1</v>
          </cell>
          <cell r="G1571">
            <v>20738.587932681599</v>
          </cell>
          <cell r="H1571">
            <v>256.38735730888601</v>
          </cell>
          <cell r="I1571">
            <v>157</v>
          </cell>
          <cell r="J1571">
            <v>1.09319516270308E-4</v>
          </cell>
          <cell r="K1571">
            <v>1426</v>
          </cell>
          <cell r="L1571">
            <v>527.98199706468699</v>
          </cell>
          <cell r="M1571">
            <v>1175</v>
          </cell>
          <cell r="N1571">
            <v>5.8864911071200003E-2</v>
          </cell>
          <cell r="O1571">
            <v>1070</v>
          </cell>
          <cell r="P1571">
            <v>0.04</v>
          </cell>
          <cell r="Q1571">
            <v>2210</v>
          </cell>
        </row>
        <row r="1572">
          <cell r="B1572" t="str">
            <v>JESSUP 1103348657</v>
          </cell>
          <cell r="C1572">
            <v>103441103</v>
          </cell>
          <cell r="D1572" t="str">
            <v>JESSUP 1103</v>
          </cell>
          <cell r="E1572">
            <v>348657</v>
          </cell>
          <cell r="F1572" t="b">
            <v>0</v>
          </cell>
          <cell r="G1572">
            <v>3761.8936740170202</v>
          </cell>
          <cell r="H1572">
            <v>3253.83594306444</v>
          </cell>
          <cell r="I1572">
            <v>29</v>
          </cell>
          <cell r="J1572">
            <v>8.3621926153552604E-5</v>
          </cell>
          <cell r="K1572">
            <v>2107</v>
          </cell>
          <cell r="L1572">
            <v>2006.46512298076</v>
          </cell>
          <cell r="M1572">
            <v>455</v>
          </cell>
          <cell r="N1572">
            <v>0.133880104214505</v>
          </cell>
          <cell r="O1572">
            <v>590</v>
          </cell>
          <cell r="Q1572">
            <v>3007</v>
          </cell>
        </row>
        <row r="1573">
          <cell r="B1573" t="str">
            <v>JESSUP 110338864</v>
          </cell>
          <cell r="C1573">
            <v>103441103</v>
          </cell>
          <cell r="D1573" t="str">
            <v>JESSUP 1103</v>
          </cell>
          <cell r="E1573">
            <v>38864</v>
          </cell>
          <cell r="F1573" t="b">
            <v>0</v>
          </cell>
          <cell r="G1573">
            <v>12167.5887143617</v>
          </cell>
          <cell r="H1573">
            <v>2907.1070020380798</v>
          </cell>
          <cell r="I1573">
            <v>94</v>
          </cell>
          <cell r="J1573">
            <v>9.1372994452823506E-5</v>
          </cell>
          <cell r="K1573">
            <v>1865</v>
          </cell>
          <cell r="L1573">
            <v>1176.52939387331</v>
          </cell>
          <cell r="M1573">
            <v>743</v>
          </cell>
          <cell r="N1573">
            <v>0.100761029004185</v>
          </cell>
          <cell r="O1573">
            <v>759</v>
          </cell>
          <cell r="P1573">
            <v>0.03</v>
          </cell>
          <cell r="Q1573">
            <v>2406</v>
          </cell>
        </row>
        <row r="1574">
          <cell r="B1574" t="str">
            <v>JESSUP 1103728460</v>
          </cell>
          <cell r="C1574">
            <v>103441103</v>
          </cell>
          <cell r="D1574" t="str">
            <v>JESSUP 1103</v>
          </cell>
          <cell r="E1574">
            <v>728460</v>
          </cell>
          <cell r="F1574" t="b">
            <v>0</v>
          </cell>
          <cell r="G1574">
            <v>2312.71175036774</v>
          </cell>
          <cell r="H1574">
            <v>1173.0161152787</v>
          </cell>
          <cell r="I1574">
            <v>17</v>
          </cell>
          <cell r="J1574">
            <v>9.9768769587171805E-5</v>
          </cell>
          <cell r="K1574">
            <v>1653</v>
          </cell>
          <cell r="L1574">
            <v>103.60575828611699</v>
          </cell>
          <cell r="M1574">
            <v>1932</v>
          </cell>
          <cell r="N1574">
            <v>9.5301919310177008E-3</v>
          </cell>
          <cell r="O1574">
            <v>1981</v>
          </cell>
          <cell r="Q1574">
            <v>3014</v>
          </cell>
        </row>
        <row r="1575">
          <cell r="B1575" t="str">
            <v>JOLON 11027002</v>
          </cell>
          <cell r="C1575">
            <v>182981102</v>
          </cell>
          <cell r="D1575" t="str">
            <v>JOLON 1102</v>
          </cell>
          <cell r="E1575">
            <v>7002</v>
          </cell>
          <cell r="F1575" t="b">
            <v>0</v>
          </cell>
          <cell r="G1575">
            <v>29669.713280148801</v>
          </cell>
          <cell r="H1575">
            <v>13447.6997231356</v>
          </cell>
          <cell r="I1575">
            <v>117</v>
          </cell>
          <cell r="J1575">
            <v>6.5838375580163706E-5</v>
          </cell>
          <cell r="K1575">
            <v>2591</v>
          </cell>
          <cell r="L1575">
            <v>548.85060583981203</v>
          </cell>
          <cell r="M1575">
            <v>1147</v>
          </cell>
          <cell r="N1575">
            <v>3.23227995418695E-2</v>
          </cell>
          <cell r="O1575">
            <v>1420</v>
          </cell>
          <cell r="P1575">
            <v>0.03</v>
          </cell>
          <cell r="Q1575">
            <v>2407</v>
          </cell>
        </row>
        <row r="1576">
          <cell r="B1576" t="str">
            <v>JOLON 11027004</v>
          </cell>
          <cell r="C1576">
            <v>182981102</v>
          </cell>
          <cell r="D1576" t="str">
            <v>JOLON 1102</v>
          </cell>
          <cell r="E1576">
            <v>7004</v>
          </cell>
          <cell r="F1576" t="b">
            <v>0</v>
          </cell>
          <cell r="G1576">
            <v>31981.947472165601</v>
          </cell>
          <cell r="H1576">
            <v>12745.324566061099</v>
          </cell>
          <cell r="I1576">
            <v>128</v>
          </cell>
          <cell r="J1576">
            <v>5.8427918777558403E-5</v>
          </cell>
          <cell r="K1576">
            <v>2822</v>
          </cell>
          <cell r="L1576">
            <v>1357.68458665192</v>
          </cell>
          <cell r="M1576">
            <v>659</v>
          </cell>
          <cell r="N1576">
            <v>8.1061644268953501E-2</v>
          </cell>
          <cell r="O1576">
            <v>890</v>
          </cell>
          <cell r="P1576">
            <v>0.03</v>
          </cell>
          <cell r="Q1576">
            <v>2338</v>
          </cell>
        </row>
        <row r="1577">
          <cell r="B1577" t="str">
            <v>JOLON 11027040</v>
          </cell>
          <cell r="C1577">
            <v>182981102</v>
          </cell>
          <cell r="D1577" t="str">
            <v>JOLON 1102</v>
          </cell>
          <cell r="E1577">
            <v>7040</v>
          </cell>
          <cell r="F1577" t="b">
            <v>0</v>
          </cell>
          <cell r="G1577">
            <v>36891.879456241499</v>
          </cell>
          <cell r="H1577">
            <v>33515.890711687098</v>
          </cell>
          <cell r="I1577">
            <v>119</v>
          </cell>
          <cell r="J1577">
            <v>1.00083824335066E-4</v>
          </cell>
          <cell r="K1577">
            <v>1645</v>
          </cell>
          <cell r="L1577">
            <v>276.79495556278601</v>
          </cell>
          <cell r="M1577">
            <v>1481</v>
          </cell>
          <cell r="N1577">
            <v>2.4330022773811799E-2</v>
          </cell>
          <cell r="O1577">
            <v>1568</v>
          </cell>
          <cell r="P1577">
            <v>0.03</v>
          </cell>
          <cell r="Q1577">
            <v>2398</v>
          </cell>
        </row>
        <row r="1578">
          <cell r="B1578" t="str">
            <v>JOLON 11027068</v>
          </cell>
          <cell r="C1578">
            <v>182981102</v>
          </cell>
          <cell r="D1578" t="str">
            <v>JOLON 1102</v>
          </cell>
          <cell r="E1578">
            <v>7068</v>
          </cell>
          <cell r="F1578" t="b">
            <v>0</v>
          </cell>
          <cell r="G1578">
            <v>6155.1451192659297</v>
          </cell>
          <cell r="H1578">
            <v>6139.1206664170504</v>
          </cell>
          <cell r="I1578">
            <v>12</v>
          </cell>
          <cell r="J1578">
            <v>7.0709636202082E-5</v>
          </cell>
          <cell r="K1578">
            <v>2451</v>
          </cell>
          <cell r="L1578">
            <v>336.23640786451801</v>
          </cell>
          <cell r="M1578">
            <v>1392</v>
          </cell>
          <cell r="N1578">
            <v>1.99945232280146E-2</v>
          </cell>
          <cell r="O1578">
            <v>1670</v>
          </cell>
          <cell r="P1578">
            <v>0.05</v>
          </cell>
          <cell r="Q1578">
            <v>1997</v>
          </cell>
        </row>
        <row r="1579">
          <cell r="B1579" t="str">
            <v>JOLON 11027070</v>
          </cell>
          <cell r="C1579">
            <v>182981102</v>
          </cell>
          <cell r="D1579" t="str">
            <v>JOLON 1102</v>
          </cell>
          <cell r="E1579">
            <v>7070</v>
          </cell>
          <cell r="F1579" t="b">
            <v>0</v>
          </cell>
          <cell r="G1579">
            <v>26486.163179361101</v>
          </cell>
          <cell r="H1579">
            <v>10307.0829033106</v>
          </cell>
          <cell r="I1579">
            <v>132</v>
          </cell>
          <cell r="J1579">
            <v>5.0065290203995298E-5</v>
          </cell>
          <cell r="K1579">
            <v>3036</v>
          </cell>
          <cell r="L1579">
            <v>1217.70732483601</v>
          </cell>
          <cell r="M1579">
            <v>718</v>
          </cell>
          <cell r="N1579">
            <v>5.7494035017559501E-2</v>
          </cell>
          <cell r="O1579">
            <v>1085</v>
          </cell>
          <cell r="P1579">
            <v>0.03</v>
          </cell>
          <cell r="Q1579">
            <v>2323</v>
          </cell>
        </row>
        <row r="1580">
          <cell r="B1580" t="str">
            <v>JOLON 1102CB</v>
          </cell>
          <cell r="C1580">
            <v>182981102</v>
          </cell>
          <cell r="D1580" t="str">
            <v>JOLON 1102</v>
          </cell>
          <cell r="E1580" t="str">
            <v>CB</v>
          </cell>
          <cell r="F1580" t="b">
            <v>0</v>
          </cell>
          <cell r="G1580">
            <v>38608.500315485799</v>
          </cell>
          <cell r="H1580">
            <v>37939.848609906701</v>
          </cell>
          <cell r="I1580">
            <v>181</v>
          </cell>
          <cell r="J1580">
            <v>6.1590691442065602E-5</v>
          </cell>
          <cell r="K1580">
            <v>2729</v>
          </cell>
          <cell r="L1580">
            <v>1004.63281755868</v>
          </cell>
          <cell r="M1580">
            <v>832</v>
          </cell>
          <cell r="N1580">
            <v>5.8398507152236399E-2</v>
          </cell>
          <cell r="O1580">
            <v>1075</v>
          </cell>
          <cell r="P1580">
            <v>0.03</v>
          </cell>
          <cell r="Q1580">
            <v>2280</v>
          </cell>
        </row>
        <row r="1581">
          <cell r="B1581" t="str">
            <v>JOLON 1103CB</v>
          </cell>
          <cell r="C1581">
            <v>182981103</v>
          </cell>
          <cell r="D1581" t="str">
            <v>JOLON 1103</v>
          </cell>
          <cell r="E1581" t="str">
            <v>CB</v>
          </cell>
          <cell r="F1581" t="b">
            <v>0</v>
          </cell>
          <cell r="G1581">
            <v>29664.452057979899</v>
          </cell>
          <cell r="H1581">
            <v>21174.148783999401</v>
          </cell>
          <cell r="I1581">
            <v>91</v>
          </cell>
          <cell r="J1581">
            <v>1.3717191714849E-4</v>
          </cell>
          <cell r="K1581">
            <v>905</v>
          </cell>
          <cell r="L1581">
            <v>720.768505299651</v>
          </cell>
          <cell r="M1581">
            <v>998</v>
          </cell>
          <cell r="N1581">
            <v>7.2102191039308802E-2</v>
          </cell>
          <cell r="O1581">
            <v>963</v>
          </cell>
          <cell r="P1581">
            <v>0.02</v>
          </cell>
          <cell r="Q1581">
            <v>2565</v>
          </cell>
        </row>
        <row r="1582">
          <cell r="B1582" t="str">
            <v>KANAKA 11011034</v>
          </cell>
          <cell r="C1582">
            <v>103221101</v>
          </cell>
          <cell r="D1582" t="str">
            <v>KANAKA 1101</v>
          </cell>
          <cell r="E1582">
            <v>1034</v>
          </cell>
          <cell r="F1582" t="b">
            <v>0</v>
          </cell>
          <cell r="G1582">
            <v>17942.046337071999</v>
          </cell>
          <cell r="H1582">
            <v>17942.046337071999</v>
          </cell>
          <cell r="I1582">
            <v>80</v>
          </cell>
          <cell r="J1582">
            <v>8.31040881765355E-5</v>
          </cell>
          <cell r="K1582">
            <v>2129</v>
          </cell>
          <cell r="L1582">
            <v>308.87817958627301</v>
          </cell>
          <cell r="M1582">
            <v>1434</v>
          </cell>
          <cell r="N1582">
            <v>2.4688848822887501E-2</v>
          </cell>
          <cell r="O1582">
            <v>1566</v>
          </cell>
          <cell r="P1582">
            <v>37.44</v>
          </cell>
          <cell r="Q1582">
            <v>201</v>
          </cell>
        </row>
        <row r="1583">
          <cell r="B1583" t="str">
            <v>KANAKA 11011036</v>
          </cell>
          <cell r="C1583">
            <v>103221101</v>
          </cell>
          <cell r="D1583" t="str">
            <v>KANAKA 1101</v>
          </cell>
          <cell r="E1583">
            <v>1036</v>
          </cell>
          <cell r="F1583" t="b">
            <v>1</v>
          </cell>
          <cell r="G1583">
            <v>989.45976922460102</v>
          </cell>
          <cell r="H1583">
            <v>989.45976922460102</v>
          </cell>
          <cell r="I1583">
            <v>4</v>
          </cell>
          <cell r="J1583">
            <v>6.2430123762169306E-5</v>
          </cell>
          <cell r="K1583">
            <v>2709</v>
          </cell>
          <cell r="L1583">
            <v>118.965641429916</v>
          </cell>
          <cell r="M1583">
            <v>1873</v>
          </cell>
          <cell r="N1583">
            <v>7.6072844428521401E-3</v>
          </cell>
          <cell r="O1583">
            <v>2065</v>
          </cell>
          <cell r="P1583">
            <v>0.09</v>
          </cell>
          <cell r="Q1583">
            <v>1531</v>
          </cell>
        </row>
        <row r="1584">
          <cell r="B1584" t="str">
            <v>KANAKA 11011044</v>
          </cell>
          <cell r="C1584">
            <v>103221101</v>
          </cell>
          <cell r="D1584" t="str">
            <v>KANAKA 1101</v>
          </cell>
          <cell r="E1584">
            <v>1044</v>
          </cell>
          <cell r="F1584" t="b">
            <v>0</v>
          </cell>
          <cell r="G1584">
            <v>9889.8429620446896</v>
          </cell>
          <cell r="H1584">
            <v>9889.8429620446896</v>
          </cell>
          <cell r="I1584">
            <v>17</v>
          </cell>
          <cell r="J1584">
            <v>1.0747854003057E-4</v>
          </cell>
          <cell r="K1584">
            <v>1465</v>
          </cell>
          <cell r="L1584">
            <v>324.50367259099897</v>
          </cell>
          <cell r="M1584">
            <v>1407</v>
          </cell>
          <cell r="N1584">
            <v>3.3035635145719902E-2</v>
          </cell>
          <cell r="O1584">
            <v>1406</v>
          </cell>
          <cell r="P1584">
            <v>18.93</v>
          </cell>
          <cell r="Q1584">
            <v>316</v>
          </cell>
        </row>
        <row r="1585">
          <cell r="B1585" t="str">
            <v>KANAKA 11011406</v>
          </cell>
          <cell r="C1585">
            <v>103221101</v>
          </cell>
          <cell r="D1585" t="str">
            <v>KANAKA 1101</v>
          </cell>
          <cell r="E1585">
            <v>1406</v>
          </cell>
          <cell r="F1585" t="b">
            <v>0</v>
          </cell>
          <cell r="G1585">
            <v>43882.361900661803</v>
          </cell>
          <cell r="H1585">
            <v>43882.361900661803</v>
          </cell>
          <cell r="I1585">
            <v>204</v>
          </cell>
          <cell r="J1585">
            <v>9.5492394601802202E-5</v>
          </cell>
          <cell r="K1585">
            <v>1742</v>
          </cell>
          <cell r="L1585">
            <v>157.715282263679</v>
          </cell>
          <cell r="M1585">
            <v>1755</v>
          </cell>
          <cell r="N1585">
            <v>1.73516394236049E-2</v>
          </cell>
          <cell r="O1585">
            <v>1728</v>
          </cell>
          <cell r="P1585">
            <v>0.18</v>
          </cell>
          <cell r="Q1585">
            <v>1217</v>
          </cell>
        </row>
        <row r="1586">
          <cell r="B1586" t="str">
            <v>KANAKA 110165606</v>
          </cell>
          <cell r="C1586">
            <v>103221101</v>
          </cell>
          <cell r="D1586" t="str">
            <v>KANAKA 1101</v>
          </cell>
          <cell r="E1586">
            <v>65606</v>
          </cell>
          <cell r="F1586" t="b">
            <v>0</v>
          </cell>
          <cell r="G1586">
            <v>20505.678951280999</v>
          </cell>
          <cell r="H1586">
            <v>20505.678951280999</v>
          </cell>
          <cell r="I1586">
            <v>145</v>
          </cell>
          <cell r="J1586">
            <v>1.3633765860908501E-4</v>
          </cell>
          <cell r="K1586">
            <v>916</v>
          </cell>
          <cell r="L1586">
            <v>329.10854875528702</v>
          </cell>
          <cell r="M1586">
            <v>1398</v>
          </cell>
          <cell r="N1586">
            <v>4.7917993840814001E-2</v>
          </cell>
          <cell r="O1586">
            <v>1201</v>
          </cell>
          <cell r="P1586">
            <v>65.5</v>
          </cell>
          <cell r="Q1586">
            <v>77</v>
          </cell>
        </row>
        <row r="1587">
          <cell r="B1587" t="str">
            <v>KANAKA 110183288</v>
          </cell>
          <cell r="C1587">
            <v>103221101</v>
          </cell>
          <cell r="D1587" t="str">
            <v>KANAKA 1101</v>
          </cell>
          <cell r="E1587">
            <v>83288</v>
          </cell>
          <cell r="F1587" t="b">
            <v>0</v>
          </cell>
          <cell r="G1587">
            <v>27936.750677870699</v>
          </cell>
          <cell r="H1587">
            <v>27936.750677870699</v>
          </cell>
          <cell r="I1587">
            <v>140</v>
          </cell>
          <cell r="J1587">
            <v>1.02185027558796E-4</v>
          </cell>
          <cell r="K1587">
            <v>1600</v>
          </cell>
          <cell r="L1587">
            <v>523.03359949813205</v>
          </cell>
          <cell r="M1587">
            <v>1179</v>
          </cell>
          <cell r="N1587">
            <v>4.9736425746696199E-2</v>
          </cell>
          <cell r="O1587">
            <v>1180</v>
          </cell>
          <cell r="P1587">
            <v>56.24</v>
          </cell>
          <cell r="Q1587">
            <v>100</v>
          </cell>
        </row>
        <row r="1588">
          <cell r="B1588" t="str">
            <v>KANAKA 1101CB</v>
          </cell>
          <cell r="C1588">
            <v>103221101</v>
          </cell>
          <cell r="D1588" t="str">
            <v>KANAKA 1101</v>
          </cell>
          <cell r="E1588" t="str">
            <v>CB</v>
          </cell>
          <cell r="F1588" t="b">
            <v>0</v>
          </cell>
          <cell r="G1588">
            <v>7605.9802983441396</v>
          </cell>
          <cell r="H1588">
            <v>7605.9802983441396</v>
          </cell>
          <cell r="I1588">
            <v>37</v>
          </cell>
          <cell r="J1588">
            <v>1.11142443013188E-4</v>
          </cell>
          <cell r="K1588">
            <v>1390</v>
          </cell>
          <cell r="L1588">
            <v>255.794656689775</v>
          </cell>
          <cell r="M1588">
            <v>1533</v>
          </cell>
          <cell r="N1588">
            <v>2.92807272056861E-2</v>
          </cell>
          <cell r="O1588">
            <v>1480</v>
          </cell>
          <cell r="P1588">
            <v>0.23</v>
          </cell>
          <cell r="Q1588">
            <v>1113</v>
          </cell>
        </row>
        <row r="1589">
          <cell r="B1589" t="str">
            <v>KERCKHOFF 1101CB</v>
          </cell>
          <cell r="C1589">
            <v>252561101</v>
          </cell>
          <cell r="D1589" t="str">
            <v>KERCKHOFF 1101</v>
          </cell>
          <cell r="E1589" t="str">
            <v>CB</v>
          </cell>
          <cell r="F1589" t="b">
            <v>0</v>
          </cell>
          <cell r="G1589">
            <v>27398.752944659602</v>
          </cell>
          <cell r="H1589">
            <v>27398.752944659602</v>
          </cell>
          <cell r="I1589">
            <v>154</v>
          </cell>
          <cell r="J1589">
            <v>6.9313812472701806E-5</v>
          </cell>
          <cell r="K1589">
            <v>2496</v>
          </cell>
          <cell r="L1589">
            <v>5271.5558534358897</v>
          </cell>
          <cell r="M1589">
            <v>56</v>
          </cell>
          <cell r="N1589">
            <v>0.34799662196965298</v>
          </cell>
          <cell r="O1589">
            <v>98</v>
          </cell>
          <cell r="P1589">
            <v>7.0000000000000007E-2</v>
          </cell>
          <cell r="Q1589">
            <v>1725</v>
          </cell>
        </row>
        <row r="1590">
          <cell r="B1590" t="str">
            <v>KERCKHOFF 1101R308</v>
          </cell>
          <cell r="C1590">
            <v>252561101</v>
          </cell>
          <cell r="D1590" t="str">
            <v>KERCKHOFF 1101</v>
          </cell>
          <cell r="E1590" t="str">
            <v>R308</v>
          </cell>
          <cell r="F1590" t="b">
            <v>0</v>
          </cell>
          <cell r="G1590">
            <v>6217.3700538407002</v>
          </cell>
          <cell r="H1590">
            <v>6217.3700538407002</v>
          </cell>
          <cell r="I1590">
            <v>22</v>
          </cell>
          <cell r="J1590">
            <v>6.1262091300952906E-5</v>
          </cell>
          <cell r="K1590">
            <v>2743</v>
          </cell>
          <cell r="L1590">
            <v>4314.2776978232596</v>
          </cell>
          <cell r="M1590">
            <v>123</v>
          </cell>
          <cell r="N1590">
            <v>0.30901337898555598</v>
          </cell>
          <cell r="O1590">
            <v>128</v>
          </cell>
          <cell r="P1590">
            <v>0.04</v>
          </cell>
          <cell r="Q1590">
            <v>2136</v>
          </cell>
        </row>
        <row r="1591">
          <cell r="B1591" t="str">
            <v>KERCKHOFF 1101R353</v>
          </cell>
          <cell r="C1591">
            <v>252561101</v>
          </cell>
          <cell r="D1591" t="str">
            <v>KERCKHOFF 1101</v>
          </cell>
          <cell r="E1591" t="str">
            <v>R353</v>
          </cell>
          <cell r="F1591" t="b">
            <v>0</v>
          </cell>
          <cell r="G1591">
            <v>22190.544303385799</v>
          </cell>
          <cell r="H1591">
            <v>22190.544303385799</v>
          </cell>
          <cell r="I1591">
            <v>53</v>
          </cell>
          <cell r="J1591">
            <v>3.70747244953647E-5</v>
          </cell>
          <cell r="K1591">
            <v>3313</v>
          </cell>
          <cell r="L1591">
            <v>6512.8185848020103</v>
          </cell>
          <cell r="M1591">
            <v>18</v>
          </cell>
          <cell r="N1591">
            <v>0.235757804384326</v>
          </cell>
          <cell r="O1591">
            <v>245</v>
          </cell>
          <cell r="P1591">
            <v>7.0000000000000007E-2</v>
          </cell>
          <cell r="Q1591">
            <v>1773</v>
          </cell>
        </row>
        <row r="1592">
          <cell r="B1592" t="str">
            <v>KERN OIL 1106397902</v>
          </cell>
          <cell r="C1592">
            <v>252721106</v>
          </cell>
          <cell r="D1592" t="str">
            <v>KERN OIL 1106</v>
          </cell>
          <cell r="E1592">
            <v>397902</v>
          </cell>
          <cell r="F1592" t="b">
            <v>1</v>
          </cell>
          <cell r="G1592">
            <v>2608.3235822515398</v>
          </cell>
          <cell r="H1592">
            <v>717.53262065004503</v>
          </cell>
          <cell r="I1592">
            <v>9</v>
          </cell>
          <cell r="J1592">
            <v>1.8966542282012298E-5</v>
          </cell>
          <cell r="K1592">
            <v>3553</v>
          </cell>
          <cell r="L1592">
            <v>1301.63527246481</v>
          </cell>
          <cell r="M1592">
            <v>682</v>
          </cell>
          <cell r="N1592">
            <v>2.4301835578354501E-2</v>
          </cell>
          <cell r="O1592">
            <v>1570</v>
          </cell>
          <cell r="Q1592">
            <v>3589</v>
          </cell>
        </row>
        <row r="1593">
          <cell r="B1593" t="str">
            <v>KERN OIL 110646960</v>
          </cell>
          <cell r="C1593">
            <v>252721106</v>
          </cell>
          <cell r="D1593" t="str">
            <v>KERN OIL 1106</v>
          </cell>
          <cell r="E1593">
            <v>46960</v>
          </cell>
          <cell r="F1593" t="b">
            <v>0</v>
          </cell>
          <cell r="G1593">
            <v>3112.6163887112698</v>
          </cell>
          <cell r="H1593">
            <v>1465.0555722398501</v>
          </cell>
          <cell r="I1593">
            <v>14</v>
          </cell>
          <cell r="J1593">
            <v>5.4277995332085898E-5</v>
          </cell>
          <cell r="K1593">
            <v>2938</v>
          </cell>
          <cell r="L1593">
            <v>2071.3936787198199</v>
          </cell>
          <cell r="M1593">
            <v>437</v>
          </cell>
          <cell r="N1593">
            <v>9.21452990858279E-2</v>
          </cell>
          <cell r="O1593">
            <v>814</v>
          </cell>
          <cell r="P1593">
            <v>0.02</v>
          </cell>
          <cell r="Q1593">
            <v>2539</v>
          </cell>
        </row>
        <row r="1594">
          <cell r="B1594" t="str">
            <v>KESWICK 11011586</v>
          </cell>
          <cell r="C1594">
            <v>103451101</v>
          </cell>
          <cell r="D1594" t="str">
            <v>KESWICK 1101</v>
          </cell>
          <cell r="E1594">
            <v>1586</v>
          </cell>
          <cell r="F1594" t="b">
            <v>0</v>
          </cell>
          <cell r="G1594">
            <v>11983.5348134261</v>
          </cell>
          <cell r="H1594">
            <v>11983.5348134261</v>
          </cell>
          <cell r="I1594">
            <v>39</v>
          </cell>
          <cell r="J1594">
            <v>4.46279324885261E-4</v>
          </cell>
          <cell r="K1594">
            <v>48</v>
          </cell>
          <cell r="L1594">
            <v>3225.6010997527601</v>
          </cell>
          <cell r="M1594">
            <v>233</v>
          </cell>
          <cell r="N1594">
            <v>1.2523945921845401</v>
          </cell>
          <cell r="O1594">
            <v>7</v>
          </cell>
          <cell r="P1594">
            <v>0.24</v>
          </cell>
          <cell r="Q1594">
            <v>1102</v>
          </cell>
        </row>
        <row r="1595">
          <cell r="B1595" t="str">
            <v>KESWICK 11011588</v>
          </cell>
          <cell r="C1595">
            <v>103451101</v>
          </cell>
          <cell r="D1595" t="str">
            <v>KESWICK 1101</v>
          </cell>
          <cell r="E1595">
            <v>1588</v>
          </cell>
          <cell r="F1595" t="b">
            <v>0</v>
          </cell>
          <cell r="G1595">
            <v>13991.440067469801</v>
          </cell>
          <cell r="H1595">
            <v>13991.440067469801</v>
          </cell>
          <cell r="I1595">
            <v>33</v>
          </cell>
          <cell r="J1595">
            <v>1.81063351715927E-4</v>
          </cell>
          <cell r="K1595">
            <v>503</v>
          </cell>
          <cell r="L1595">
            <v>584.74004297922704</v>
          </cell>
          <cell r="M1595">
            <v>1118</v>
          </cell>
          <cell r="N1595">
            <v>5.3967726391004903E-2</v>
          </cell>
          <cell r="O1595">
            <v>1135</v>
          </cell>
          <cell r="P1595">
            <v>0.19</v>
          </cell>
          <cell r="Q1595">
            <v>1195</v>
          </cell>
        </row>
        <row r="1596">
          <cell r="B1596" t="str">
            <v>KESWICK 11011590</v>
          </cell>
          <cell r="C1596">
            <v>103451101</v>
          </cell>
          <cell r="D1596" t="str">
            <v>KESWICK 1101</v>
          </cell>
          <cell r="E1596">
            <v>1590</v>
          </cell>
          <cell r="F1596" t="b">
            <v>0</v>
          </cell>
          <cell r="G1596">
            <v>10388.8944931233</v>
          </cell>
          <cell r="H1596">
            <v>10388.8944931233</v>
          </cell>
          <cell r="I1596">
            <v>63</v>
          </cell>
          <cell r="J1596">
            <v>1.37751633802609E-4</v>
          </cell>
          <cell r="K1596">
            <v>898</v>
          </cell>
          <cell r="L1596">
            <v>828.37489033911902</v>
          </cell>
          <cell r="M1596">
            <v>922</v>
          </cell>
          <cell r="N1596">
            <v>8.6533617161458895E-2</v>
          </cell>
          <cell r="O1596">
            <v>848</v>
          </cell>
          <cell r="P1596">
            <v>0.57999999999999996</v>
          </cell>
          <cell r="Q1596">
            <v>859</v>
          </cell>
        </row>
        <row r="1597">
          <cell r="B1597" t="str">
            <v>KESWICK 110148480</v>
          </cell>
          <cell r="C1597">
            <v>103451101</v>
          </cell>
          <cell r="D1597" t="str">
            <v>KESWICK 1101</v>
          </cell>
          <cell r="E1597">
            <v>48480</v>
          </cell>
          <cell r="F1597" t="b">
            <v>0</v>
          </cell>
          <cell r="G1597">
            <v>16927.985162876099</v>
          </cell>
          <cell r="H1597">
            <v>16927.985162876099</v>
          </cell>
          <cell r="I1597">
            <v>125</v>
          </cell>
          <cell r="J1597">
            <v>1.34448542739846E-4</v>
          </cell>
          <cell r="K1597">
            <v>937</v>
          </cell>
          <cell r="L1597">
            <v>1828.9756365744699</v>
          </cell>
          <cell r="M1597">
            <v>497</v>
          </cell>
          <cell r="N1597">
            <v>0.163546430292032</v>
          </cell>
          <cell r="O1597">
            <v>456</v>
          </cell>
          <cell r="P1597">
            <v>0.7</v>
          </cell>
          <cell r="Q1597">
            <v>806</v>
          </cell>
        </row>
        <row r="1598">
          <cell r="B1598" t="str">
            <v>KESWICK 11019712</v>
          </cell>
          <cell r="C1598">
            <v>103451101</v>
          </cell>
          <cell r="D1598" t="str">
            <v>KESWICK 1101</v>
          </cell>
          <cell r="E1598">
            <v>9712</v>
          </cell>
          <cell r="F1598" t="b">
            <v>0</v>
          </cell>
          <cell r="G1598">
            <v>29909.732639945199</v>
          </cell>
          <cell r="H1598">
            <v>29909.732639945199</v>
          </cell>
          <cell r="I1598">
            <v>214</v>
          </cell>
          <cell r="J1598">
            <v>1.72512595709293E-4</v>
          </cell>
          <cell r="K1598">
            <v>547</v>
          </cell>
          <cell r="L1598">
            <v>156.17205086038399</v>
          </cell>
          <cell r="M1598">
            <v>1761</v>
          </cell>
          <cell r="N1598">
            <v>2.2607401180236401E-2</v>
          </cell>
          <cell r="O1598">
            <v>1614</v>
          </cell>
          <cell r="P1598">
            <v>0.65</v>
          </cell>
          <cell r="Q1598">
            <v>825</v>
          </cell>
        </row>
        <row r="1599">
          <cell r="B1599" t="str">
            <v>KESWICK 1101CB</v>
          </cell>
          <cell r="C1599">
            <v>103451101</v>
          </cell>
          <cell r="D1599" t="str">
            <v>KESWICK 1101</v>
          </cell>
          <cell r="E1599" t="str">
            <v>CB</v>
          </cell>
          <cell r="F1599" t="b">
            <v>1</v>
          </cell>
          <cell r="G1599">
            <v>26.668342487830099</v>
          </cell>
          <cell r="H1599">
            <v>26.668342487830099</v>
          </cell>
          <cell r="I1599">
            <v>1</v>
          </cell>
          <cell r="J1599">
            <v>1.8685647228267E-4</v>
          </cell>
          <cell r="K1599">
            <v>464</v>
          </cell>
          <cell r="L1599">
            <v>6.6430700806005896E-2</v>
          </cell>
          <cell r="M1599">
            <v>3104</v>
          </cell>
          <cell r="N1599">
            <v>1.24130064038758E-5</v>
          </cell>
          <cell r="O1599">
            <v>3032</v>
          </cell>
          <cell r="P1599">
            <v>0.2</v>
          </cell>
          <cell r="Q1599">
            <v>1169</v>
          </cell>
        </row>
        <row r="1600">
          <cell r="B1600" t="str">
            <v>KING CITY 11037038</v>
          </cell>
          <cell r="C1600">
            <v>182031103</v>
          </cell>
          <cell r="D1600" t="str">
            <v>KING CITY 1103</v>
          </cell>
          <cell r="E1600">
            <v>7038</v>
          </cell>
          <cell r="F1600" t="b">
            <v>0</v>
          </cell>
          <cell r="G1600">
            <v>35749.370748385503</v>
          </cell>
          <cell r="H1600">
            <v>29491.461489965099</v>
          </cell>
          <cell r="I1600">
            <v>186</v>
          </cell>
          <cell r="J1600">
            <v>5.6518234659223798E-5</v>
          </cell>
          <cell r="K1600">
            <v>2873</v>
          </cell>
          <cell r="L1600">
            <v>250.58796414604001</v>
          </cell>
          <cell r="M1600">
            <v>1538</v>
          </cell>
          <cell r="N1600">
            <v>1.4160915073878899E-2</v>
          </cell>
          <cell r="O1600">
            <v>1814</v>
          </cell>
          <cell r="P1600">
            <v>0.12</v>
          </cell>
          <cell r="Q1600">
            <v>1392</v>
          </cell>
        </row>
        <row r="1601">
          <cell r="B1601" t="str">
            <v>KIRKER 2104442850</v>
          </cell>
          <cell r="C1601">
            <v>14452104</v>
          </cell>
          <cell r="D1601" t="str">
            <v>KIRKER 2104</v>
          </cell>
          <cell r="E1601">
            <v>442850</v>
          </cell>
          <cell r="F1601" t="b">
            <v>0</v>
          </cell>
          <cell r="G1601">
            <v>9258.5450240750197</v>
          </cell>
          <cell r="H1601">
            <v>9258.5450240750197</v>
          </cell>
          <cell r="I1601">
            <v>30</v>
          </cell>
          <cell r="J1601">
            <v>9.1767791543264003E-5</v>
          </cell>
          <cell r="K1601">
            <v>1852</v>
          </cell>
          <cell r="L1601">
            <v>6349.6611592854497</v>
          </cell>
          <cell r="M1601">
            <v>21</v>
          </cell>
          <cell r="N1601">
            <v>0.61453569663879104</v>
          </cell>
          <cell r="O1601">
            <v>21</v>
          </cell>
          <cell r="P1601">
            <v>0.08</v>
          </cell>
          <cell r="Q1601">
            <v>1644</v>
          </cell>
        </row>
        <row r="1602">
          <cell r="B1602" t="str">
            <v>KIRKER 2104CB</v>
          </cell>
          <cell r="C1602">
            <v>14452104</v>
          </cell>
          <cell r="D1602" t="str">
            <v>KIRKER 2104</v>
          </cell>
          <cell r="E1602" t="str">
            <v>CB</v>
          </cell>
          <cell r="F1602" t="b">
            <v>1</v>
          </cell>
          <cell r="G1602">
            <v>16910.3925275574</v>
          </cell>
          <cell r="H1602">
            <v>74.513190387968905</v>
          </cell>
          <cell r="I1602">
            <v>140</v>
          </cell>
          <cell r="J1602">
            <v>1.6862994904494098E-5</v>
          </cell>
          <cell r="K1602">
            <v>3571</v>
          </cell>
          <cell r="L1602">
            <v>6.5611506572487405E-2</v>
          </cell>
          <cell r="M1602">
            <v>3334</v>
          </cell>
          <cell r="N1602">
            <v>1.12568255452827E-6</v>
          </cell>
          <cell r="O1602">
            <v>3581</v>
          </cell>
          <cell r="Q1602">
            <v>2813</v>
          </cell>
        </row>
        <row r="1603">
          <cell r="B1603" t="str">
            <v>KONOCTI 11022293</v>
          </cell>
          <cell r="C1603">
            <v>43311102</v>
          </cell>
          <cell r="D1603" t="str">
            <v>KONOCTI 1102</v>
          </cell>
          <cell r="E1603">
            <v>2293</v>
          </cell>
          <cell r="F1603" t="b">
            <v>0</v>
          </cell>
          <cell r="G1603">
            <v>2820.5708872021901</v>
          </cell>
          <cell r="H1603">
            <v>2820.5708872021901</v>
          </cell>
          <cell r="I1603">
            <v>21</v>
          </cell>
          <cell r="J1603">
            <v>6.9405446819949899E-5</v>
          </cell>
          <cell r="K1603">
            <v>2492</v>
          </cell>
          <cell r="L1603">
            <v>78.903763810364495</v>
          </cell>
          <cell r="M1603">
            <v>2056</v>
          </cell>
          <cell r="N1603">
            <v>4.9653238579854602E-3</v>
          </cell>
          <cell r="O1603">
            <v>2206</v>
          </cell>
          <cell r="P1603">
            <v>0.04</v>
          </cell>
          <cell r="Q1603">
            <v>2140</v>
          </cell>
        </row>
        <row r="1604">
          <cell r="B1604" t="str">
            <v>KONOCTI 1102354890</v>
          </cell>
          <cell r="C1604">
            <v>43311102</v>
          </cell>
          <cell r="D1604" t="str">
            <v>KONOCTI 1102</v>
          </cell>
          <cell r="E1604">
            <v>354890</v>
          </cell>
          <cell r="F1604" t="b">
            <v>0</v>
          </cell>
          <cell r="G1604">
            <v>19596.937921177301</v>
          </cell>
          <cell r="H1604">
            <v>15016.4864408255</v>
          </cell>
          <cell r="I1604">
            <v>131</v>
          </cell>
          <cell r="J1604">
            <v>1.1261702843686E-4</v>
          </cell>
          <cell r="K1604">
            <v>1350</v>
          </cell>
          <cell r="L1604">
            <v>1727.56711597863</v>
          </cell>
          <cell r="M1604">
            <v>518</v>
          </cell>
          <cell r="N1604">
            <v>0.29712436375845303</v>
          </cell>
          <cell r="O1604">
            <v>139</v>
          </cell>
          <cell r="Q1604">
            <v>2675</v>
          </cell>
        </row>
        <row r="1605">
          <cell r="B1605" t="str">
            <v>KONOCTI 11024300</v>
          </cell>
          <cell r="C1605">
            <v>43311102</v>
          </cell>
          <cell r="D1605" t="str">
            <v>KONOCTI 1102</v>
          </cell>
          <cell r="E1605">
            <v>4300</v>
          </cell>
          <cell r="F1605" t="b">
            <v>0</v>
          </cell>
          <cell r="G1605">
            <v>43675.508035093801</v>
          </cell>
          <cell r="H1605">
            <v>43384.103634787301</v>
          </cell>
          <cell r="I1605">
            <v>268</v>
          </cell>
          <cell r="J1605">
            <v>1.1959254743658E-4</v>
          </cell>
          <cell r="K1605">
            <v>1194</v>
          </cell>
          <cell r="L1605">
            <v>736.929069158826</v>
          </cell>
          <cell r="M1605">
            <v>987</v>
          </cell>
          <cell r="N1605">
            <v>7.9810977182038403E-2</v>
          </cell>
          <cell r="O1605">
            <v>902</v>
          </cell>
          <cell r="P1605">
            <v>28.67</v>
          </cell>
          <cell r="Q1605">
            <v>249</v>
          </cell>
        </row>
        <row r="1606">
          <cell r="B1606" t="str">
            <v>KONOCTI 11024421</v>
          </cell>
          <cell r="C1606">
            <v>43311102</v>
          </cell>
          <cell r="D1606" t="str">
            <v>KONOCTI 1102</v>
          </cell>
          <cell r="E1606">
            <v>4421</v>
          </cell>
          <cell r="F1606" t="b">
            <v>1</v>
          </cell>
          <cell r="G1606">
            <v>585.35927499490799</v>
          </cell>
          <cell r="H1606">
            <v>585.35927499490799</v>
          </cell>
          <cell r="I1606">
            <v>5</v>
          </cell>
          <cell r="J1606">
            <v>8.4836774476570995E-5</v>
          </cell>
          <cell r="K1606">
            <v>2068</v>
          </cell>
          <cell r="L1606">
            <v>28.583681191712898</v>
          </cell>
          <cell r="M1606">
            <v>2354</v>
          </cell>
          <cell r="N1606">
            <v>2.3217043956171501E-3</v>
          </cell>
          <cell r="O1606">
            <v>2432</v>
          </cell>
          <cell r="P1606">
            <v>18.46</v>
          </cell>
          <cell r="Q1606">
            <v>321</v>
          </cell>
        </row>
        <row r="1607">
          <cell r="B1607" t="str">
            <v>KONOCTI 1102532</v>
          </cell>
          <cell r="C1607">
            <v>43311102</v>
          </cell>
          <cell r="D1607" t="str">
            <v>KONOCTI 1102</v>
          </cell>
          <cell r="E1607">
            <v>532</v>
          </cell>
          <cell r="F1607" t="b">
            <v>0</v>
          </cell>
          <cell r="G1607">
            <v>15658.0015748445</v>
          </cell>
          <cell r="H1607">
            <v>15658.0015748445</v>
          </cell>
          <cell r="I1607">
            <v>124</v>
          </cell>
          <cell r="J1607">
            <v>2.4726228141703799E-4</v>
          </cell>
          <cell r="K1607">
            <v>225</v>
          </cell>
          <cell r="L1607">
            <v>48.940772921575501</v>
          </cell>
          <cell r="M1607">
            <v>2215</v>
          </cell>
          <cell r="N1607">
            <v>9.0594735712638506E-3</v>
          </cell>
          <cell r="O1607">
            <v>1999</v>
          </cell>
          <cell r="P1607">
            <v>47.27</v>
          </cell>
          <cell r="Q1607">
            <v>135</v>
          </cell>
        </row>
        <row r="1608">
          <cell r="B1608" t="str">
            <v>KONOCTI 110264664</v>
          </cell>
          <cell r="C1608">
            <v>43311102</v>
          </cell>
          <cell r="D1608" t="str">
            <v>KONOCTI 1102</v>
          </cell>
          <cell r="E1608">
            <v>64664</v>
          </cell>
          <cell r="F1608" t="b">
            <v>0</v>
          </cell>
          <cell r="G1608">
            <v>46084.802484710701</v>
          </cell>
          <cell r="H1608">
            <v>44670.366547544501</v>
          </cell>
          <cell r="I1608">
            <v>263</v>
          </cell>
          <cell r="J1608">
            <v>1.14968194053332E-4</v>
          </cell>
          <cell r="K1608">
            <v>1301</v>
          </cell>
          <cell r="L1608">
            <v>2595.5429937152699</v>
          </cell>
          <cell r="M1608">
            <v>331</v>
          </cell>
          <cell r="N1608">
            <v>0.27566915511079698</v>
          </cell>
          <cell r="O1608">
            <v>168</v>
          </cell>
          <cell r="P1608">
            <v>7.76</v>
          </cell>
          <cell r="Q1608">
            <v>441</v>
          </cell>
        </row>
        <row r="1609">
          <cell r="B1609" t="str">
            <v>KONOCTI 1102714370</v>
          </cell>
          <cell r="C1609">
            <v>43311102</v>
          </cell>
          <cell r="D1609" t="str">
            <v>KONOCTI 1102</v>
          </cell>
          <cell r="E1609">
            <v>714370</v>
          </cell>
          <cell r="F1609" t="b">
            <v>0</v>
          </cell>
          <cell r="G1609">
            <v>4274.3031172171204</v>
          </cell>
          <cell r="H1609">
            <v>3423.0114847077598</v>
          </cell>
          <cell r="I1609">
            <v>28</v>
          </cell>
          <cell r="J1609">
            <v>8.0252438492607299E-5</v>
          </cell>
          <cell r="K1609">
            <v>2198</v>
          </cell>
          <cell r="L1609">
            <v>368.38668172685999</v>
          </cell>
          <cell r="M1609">
            <v>1342</v>
          </cell>
          <cell r="N1609">
            <v>1.4533396505502401E-2</v>
          </cell>
          <cell r="O1609">
            <v>1803</v>
          </cell>
          <cell r="Q1609">
            <v>3083</v>
          </cell>
        </row>
        <row r="1610">
          <cell r="B1610" t="str">
            <v>KONOCTI 1102716</v>
          </cell>
          <cell r="C1610">
            <v>43311102</v>
          </cell>
          <cell r="D1610" t="str">
            <v>KONOCTI 1102</v>
          </cell>
          <cell r="E1610">
            <v>716</v>
          </cell>
          <cell r="F1610" t="b">
            <v>0</v>
          </cell>
          <cell r="G1610">
            <v>27459.726245661099</v>
          </cell>
          <cell r="H1610">
            <v>24685.225330179299</v>
          </cell>
          <cell r="I1610">
            <v>109</v>
          </cell>
          <cell r="J1610">
            <v>1.01732999822747E-4</v>
          </cell>
          <cell r="K1610">
            <v>1611</v>
          </cell>
          <cell r="L1610">
            <v>2445.3376791012201</v>
          </cell>
          <cell r="M1610">
            <v>351</v>
          </cell>
          <cell r="N1610">
            <v>0.27294883958127902</v>
          </cell>
          <cell r="O1610">
            <v>172</v>
          </cell>
          <cell r="P1610">
            <v>0.09</v>
          </cell>
          <cell r="Q1610">
            <v>1540</v>
          </cell>
        </row>
        <row r="1611">
          <cell r="B1611" t="str">
            <v>KONOCTI 110275382</v>
          </cell>
          <cell r="C1611">
            <v>43311102</v>
          </cell>
          <cell r="D1611" t="str">
            <v>KONOCTI 1102</v>
          </cell>
          <cell r="E1611">
            <v>75382</v>
          </cell>
          <cell r="F1611" t="b">
            <v>0</v>
          </cell>
          <cell r="G1611">
            <v>37601.915155213203</v>
          </cell>
          <cell r="H1611">
            <v>37336.099936636303</v>
          </cell>
          <cell r="I1611">
            <v>198</v>
          </cell>
          <cell r="J1611">
            <v>1.09569195451007E-4</v>
          </cell>
          <cell r="K1611">
            <v>1420</v>
          </cell>
          <cell r="L1611">
            <v>1232.3374193432801</v>
          </cell>
          <cell r="M1611">
            <v>713</v>
          </cell>
          <cell r="N1611">
            <v>0.106357651737638</v>
          </cell>
          <cell r="O1611">
            <v>728</v>
          </cell>
          <cell r="P1611">
            <v>11.14</v>
          </cell>
          <cell r="Q1611">
            <v>387</v>
          </cell>
        </row>
        <row r="1612">
          <cell r="B1612" t="str">
            <v>KONOCTI 1102948</v>
          </cell>
          <cell r="C1612">
            <v>43311102</v>
          </cell>
          <cell r="D1612" t="str">
            <v>KONOCTI 1102</v>
          </cell>
          <cell r="E1612">
            <v>948</v>
          </cell>
          <cell r="F1612" t="b">
            <v>0</v>
          </cell>
          <cell r="G1612">
            <v>12598.6877747207</v>
          </cell>
          <cell r="H1612">
            <v>10159.6074915103</v>
          </cell>
          <cell r="I1612">
            <v>73</v>
          </cell>
          <cell r="J1612">
            <v>6.6706699701719695E-5</v>
          </cell>
          <cell r="K1612">
            <v>2564</v>
          </cell>
          <cell r="L1612">
            <v>1385.83234245924</v>
          </cell>
          <cell r="M1612">
            <v>644</v>
          </cell>
          <cell r="N1612">
            <v>8.9783510515209594E-2</v>
          </cell>
          <cell r="O1612">
            <v>823</v>
          </cell>
          <cell r="P1612">
            <v>0.06</v>
          </cell>
          <cell r="Q1612">
            <v>1788</v>
          </cell>
        </row>
        <row r="1613">
          <cell r="B1613" t="str">
            <v>KONOCTI 1102965078</v>
          </cell>
          <cell r="C1613">
            <v>43311102</v>
          </cell>
          <cell r="D1613" t="str">
            <v>KONOCTI 1102</v>
          </cell>
          <cell r="E1613">
            <v>965078</v>
          </cell>
          <cell r="F1613" t="b">
            <v>0</v>
          </cell>
          <cell r="G1613">
            <v>11264.139865663599</v>
          </cell>
          <cell r="H1613">
            <v>10089.0760761449</v>
          </cell>
          <cell r="I1613">
            <v>59</v>
          </cell>
          <cell r="J1613">
            <v>2.6416148413208501E-4</v>
          </cell>
          <cell r="K1613">
            <v>185</v>
          </cell>
          <cell r="L1613">
            <v>3338.3604549901402</v>
          </cell>
          <cell r="M1613">
            <v>220</v>
          </cell>
          <cell r="N1613">
            <v>0.87628507791960997</v>
          </cell>
          <cell r="O1613">
            <v>9</v>
          </cell>
          <cell r="Q1613">
            <v>2774</v>
          </cell>
        </row>
        <row r="1614">
          <cell r="B1614" t="str">
            <v>KONOCTI 1102CB</v>
          </cell>
          <cell r="C1614">
            <v>43311102</v>
          </cell>
          <cell r="D1614" t="str">
            <v>KONOCTI 1102</v>
          </cell>
          <cell r="E1614" t="str">
            <v>CB</v>
          </cell>
          <cell r="F1614" t="b">
            <v>0</v>
          </cell>
          <cell r="G1614">
            <v>15262.2312489374</v>
          </cell>
          <cell r="H1614">
            <v>6326.3362613877898</v>
          </cell>
          <cell r="I1614">
            <v>97</v>
          </cell>
          <cell r="J1614">
            <v>1.4319694497485699E-4</v>
          </cell>
          <cell r="K1614">
            <v>823</v>
          </cell>
          <cell r="L1614">
            <v>1232.8612629934401</v>
          </cell>
          <cell r="M1614">
            <v>712</v>
          </cell>
          <cell r="N1614">
            <v>0.17790226066440801</v>
          </cell>
          <cell r="O1614">
            <v>407</v>
          </cell>
          <cell r="P1614">
            <v>0.04</v>
          </cell>
          <cell r="Q1614">
            <v>2123</v>
          </cell>
        </row>
        <row r="1615">
          <cell r="B1615" t="str">
            <v>KONOCTI 11081278</v>
          </cell>
          <cell r="C1615">
            <v>43311108</v>
          </cell>
          <cell r="D1615" t="str">
            <v>KONOCTI 1108</v>
          </cell>
          <cell r="E1615">
            <v>1278</v>
          </cell>
          <cell r="F1615" t="b">
            <v>0</v>
          </cell>
          <cell r="G1615">
            <v>12855.1379334373</v>
          </cell>
          <cell r="H1615">
            <v>9099.8598055586408</v>
          </cell>
          <cell r="I1615">
            <v>96</v>
          </cell>
          <cell r="J1615">
            <v>9.7440100247733904E-5</v>
          </cell>
          <cell r="K1615">
            <v>1703</v>
          </cell>
          <cell r="L1615">
            <v>1.5518598086834601</v>
          </cell>
          <cell r="M1615">
            <v>2861</v>
          </cell>
          <cell r="N1615">
            <v>1.4528695611520901E-4</v>
          </cell>
          <cell r="O1615">
            <v>2859</v>
          </cell>
          <cell r="P1615">
            <v>0.05</v>
          </cell>
          <cell r="Q1615">
            <v>1918</v>
          </cell>
        </row>
        <row r="1616">
          <cell r="B1616" t="str">
            <v>KONOCTI 11084037</v>
          </cell>
          <cell r="C1616">
            <v>43311108</v>
          </cell>
          <cell r="D1616" t="str">
            <v>KONOCTI 1108</v>
          </cell>
          <cell r="E1616">
            <v>4037</v>
          </cell>
          <cell r="F1616" t="b">
            <v>0</v>
          </cell>
          <cell r="G1616">
            <v>2780.3930107218498</v>
          </cell>
          <cell r="H1616">
            <v>1840.2463787279</v>
          </cell>
          <cell r="I1616">
            <v>22</v>
          </cell>
          <cell r="J1616">
            <v>8.77340006065258E-5</v>
          </cell>
          <cell r="K1616">
            <v>1991</v>
          </cell>
          <cell r="L1616">
            <v>6.5615650525725003E-2</v>
          </cell>
          <cell r="M1616">
            <v>3331</v>
          </cell>
          <cell r="N1616">
            <v>5.7543434165215699E-6</v>
          </cell>
          <cell r="O1616">
            <v>3226</v>
          </cell>
          <cell r="P1616">
            <v>0.04</v>
          </cell>
          <cell r="Q1616">
            <v>2149</v>
          </cell>
        </row>
        <row r="1617">
          <cell r="B1617" t="str">
            <v>KONOCTI 11084039</v>
          </cell>
          <cell r="C1617">
            <v>43311108</v>
          </cell>
          <cell r="D1617" t="str">
            <v>KONOCTI 1108</v>
          </cell>
          <cell r="E1617">
            <v>4039</v>
          </cell>
          <cell r="F1617" t="b">
            <v>0</v>
          </cell>
          <cell r="G1617">
            <v>3724.1918894288501</v>
          </cell>
          <cell r="H1617">
            <v>3048.41691549388</v>
          </cell>
          <cell r="I1617">
            <v>32</v>
          </cell>
          <cell r="J1617">
            <v>8.7080528601290994E-5</v>
          </cell>
          <cell r="K1617">
            <v>2010</v>
          </cell>
          <cell r="L1617">
            <v>6.6191191641896394E-2</v>
          </cell>
          <cell r="M1617">
            <v>3171</v>
          </cell>
          <cell r="N1617">
            <v>5.76085774430681E-6</v>
          </cell>
          <cell r="O1617">
            <v>3225</v>
          </cell>
          <cell r="P1617">
            <v>0.06</v>
          </cell>
          <cell r="Q1617">
            <v>1903</v>
          </cell>
        </row>
        <row r="1618">
          <cell r="B1618" t="str">
            <v>KONOCTI 11084041</v>
          </cell>
          <cell r="C1618">
            <v>43311108</v>
          </cell>
          <cell r="D1618" t="str">
            <v>KONOCTI 1108</v>
          </cell>
          <cell r="E1618">
            <v>4041</v>
          </cell>
          <cell r="F1618" t="b">
            <v>0</v>
          </cell>
          <cell r="G1618">
            <v>7568.2917923434197</v>
          </cell>
          <cell r="H1618">
            <v>2174.4688850919902</v>
          </cell>
          <cell r="I1618">
            <v>54</v>
          </cell>
          <cell r="J1618">
            <v>9.5438315636581803E-5</v>
          </cell>
          <cell r="K1618">
            <v>1746</v>
          </cell>
          <cell r="L1618">
            <v>6.5458071523453898E-2</v>
          </cell>
          <cell r="M1618">
            <v>3394</v>
          </cell>
          <cell r="N1618">
            <v>6.2483640871438499E-6</v>
          </cell>
          <cell r="O1618">
            <v>3200</v>
          </cell>
          <cell r="P1618">
            <v>0.04</v>
          </cell>
          <cell r="Q1618">
            <v>2187</v>
          </cell>
        </row>
        <row r="1619">
          <cell r="B1619" t="str">
            <v>KONOCTI 1108950</v>
          </cell>
          <cell r="C1619">
            <v>43311108</v>
          </cell>
          <cell r="D1619" t="str">
            <v>KONOCTI 1108</v>
          </cell>
          <cell r="E1619">
            <v>950</v>
          </cell>
          <cell r="F1619" t="b">
            <v>0</v>
          </cell>
          <cell r="G1619">
            <v>11853.155717939901</v>
          </cell>
          <cell r="H1619">
            <v>9978.6097835806595</v>
          </cell>
          <cell r="I1619">
            <v>85</v>
          </cell>
          <cell r="J1619">
            <v>1.11664500646464E-4</v>
          </cell>
          <cell r="K1619">
            <v>1376</v>
          </cell>
          <cell r="L1619">
            <v>9.5946049992567701</v>
          </cell>
          <cell r="M1619">
            <v>2629</v>
          </cell>
          <cell r="N1619">
            <v>1.4937298230653299E-3</v>
          </cell>
          <cell r="O1619">
            <v>2560</v>
          </cell>
          <cell r="P1619">
            <v>0.09</v>
          </cell>
          <cell r="Q1619">
            <v>1575</v>
          </cell>
        </row>
        <row r="1620">
          <cell r="B1620" t="str">
            <v>KONOCTI 1108CB</v>
          </cell>
          <cell r="C1620">
            <v>43311108</v>
          </cell>
          <cell r="D1620" t="str">
            <v>KONOCTI 1108</v>
          </cell>
          <cell r="E1620" t="str">
            <v>CB</v>
          </cell>
          <cell r="F1620" t="b">
            <v>0</v>
          </cell>
          <cell r="G1620">
            <v>14256.092734543599</v>
          </cell>
          <cell r="H1620">
            <v>10229.332258579299</v>
          </cell>
          <cell r="I1620">
            <v>98</v>
          </cell>
          <cell r="J1620">
            <v>1.06734270846164E-4</v>
          </cell>
          <cell r="K1620">
            <v>1484</v>
          </cell>
          <cell r="L1620">
            <v>150.89001901051799</v>
          </cell>
          <cell r="M1620">
            <v>1774</v>
          </cell>
          <cell r="N1620">
            <v>1.90208257350458E-2</v>
          </cell>
          <cell r="O1620">
            <v>1689</v>
          </cell>
          <cell r="P1620">
            <v>0.06</v>
          </cell>
          <cell r="Q1620">
            <v>1871</v>
          </cell>
        </row>
        <row r="1621">
          <cell r="B1621" t="str">
            <v>LAKEVILLE 1102152632</v>
          </cell>
          <cell r="C1621">
            <v>43371102</v>
          </cell>
          <cell r="D1621" t="str">
            <v>LAKEVILLE 1102</v>
          </cell>
          <cell r="E1621">
            <v>152632</v>
          </cell>
          <cell r="F1621" t="b">
            <v>0</v>
          </cell>
          <cell r="G1621">
            <v>3427.1830283874901</v>
          </cell>
          <cell r="H1621">
            <v>3099.3949205681301</v>
          </cell>
          <cell r="I1621">
            <v>13</v>
          </cell>
          <cell r="J1621">
            <v>5.6437274067250701E-5</v>
          </cell>
          <cell r="K1621">
            <v>2875</v>
          </cell>
          <cell r="L1621">
            <v>2775.5237343470399</v>
          </cell>
          <cell r="M1621">
            <v>304</v>
          </cell>
          <cell r="N1621">
            <v>0.15680979530000899</v>
          </cell>
          <cell r="O1621">
            <v>486</v>
          </cell>
          <cell r="Q1621">
            <v>3200</v>
          </cell>
        </row>
        <row r="1622">
          <cell r="B1622" t="str">
            <v>LAKEVILLE 1102280</v>
          </cell>
          <cell r="C1622">
            <v>43371102</v>
          </cell>
          <cell r="D1622" t="str">
            <v>LAKEVILLE 1102</v>
          </cell>
          <cell r="E1622">
            <v>280</v>
          </cell>
          <cell r="F1622" t="b">
            <v>0</v>
          </cell>
          <cell r="G1622">
            <v>10907.076867526999</v>
          </cell>
          <cell r="H1622">
            <v>1106.4060249656</v>
          </cell>
          <cell r="I1622">
            <v>52</v>
          </cell>
          <cell r="J1622">
            <v>6.7218029453572006E-5</v>
          </cell>
          <cell r="K1622">
            <v>2553</v>
          </cell>
          <cell r="L1622">
            <v>180.74859644894201</v>
          </cell>
          <cell r="M1622">
            <v>1682</v>
          </cell>
          <cell r="N1622">
            <v>1.3918454017724E-2</v>
          </cell>
          <cell r="O1622">
            <v>1825</v>
          </cell>
          <cell r="P1622">
            <v>0.72</v>
          </cell>
          <cell r="Q1622">
            <v>800</v>
          </cell>
        </row>
        <row r="1623">
          <cell r="B1623" t="str">
            <v>LAKEVILLE 1102347280</v>
          </cell>
          <cell r="C1623">
            <v>43371102</v>
          </cell>
          <cell r="D1623" t="str">
            <v>LAKEVILLE 1102</v>
          </cell>
          <cell r="E1623">
            <v>347280</v>
          </cell>
          <cell r="F1623" t="b">
            <v>0</v>
          </cell>
          <cell r="G1623">
            <v>20187.703704301199</v>
          </cell>
          <cell r="H1623">
            <v>12761.9341118915</v>
          </cell>
          <cell r="I1623">
            <v>99</v>
          </cell>
          <cell r="J1623">
            <v>7.6036094228305797E-5</v>
          </cell>
          <cell r="K1623">
            <v>2307</v>
          </cell>
          <cell r="L1623">
            <v>290.50405605196698</v>
          </cell>
          <cell r="M1623">
            <v>1463</v>
          </cell>
          <cell r="N1623">
            <v>2.3256484083942298E-2</v>
          </cell>
          <cell r="O1623">
            <v>1596</v>
          </cell>
          <cell r="Q1623">
            <v>3109</v>
          </cell>
        </row>
        <row r="1624">
          <cell r="B1624" t="str">
            <v>LAKEVILLE 1102367100</v>
          </cell>
          <cell r="C1624">
            <v>43371102</v>
          </cell>
          <cell r="D1624" t="str">
            <v>LAKEVILLE 1102</v>
          </cell>
          <cell r="E1624">
            <v>367100</v>
          </cell>
          <cell r="F1624" t="b">
            <v>1</v>
          </cell>
          <cell r="G1624">
            <v>1041.07261950732</v>
          </cell>
          <cell r="H1624">
            <v>900.80362409590998</v>
          </cell>
          <cell r="I1624">
            <v>6</v>
          </cell>
          <cell r="J1624">
            <v>8.1439756589437196E-5</v>
          </cell>
          <cell r="K1624">
            <v>2169</v>
          </cell>
          <cell r="L1624">
            <v>654.36930242430901</v>
          </cell>
          <cell r="M1624">
            <v>1059</v>
          </cell>
          <cell r="N1624">
            <v>4.4930299386502601E-2</v>
          </cell>
          <cell r="O1624">
            <v>1233</v>
          </cell>
          <cell r="Q1624">
            <v>3526</v>
          </cell>
        </row>
        <row r="1625">
          <cell r="B1625" t="str">
            <v>LAKEVILLE 1102530</v>
          </cell>
          <cell r="C1625">
            <v>43371102</v>
          </cell>
          <cell r="D1625" t="str">
            <v>LAKEVILLE 1102</v>
          </cell>
          <cell r="E1625">
            <v>530</v>
          </cell>
          <cell r="F1625" t="b">
            <v>1</v>
          </cell>
          <cell r="G1625">
            <v>7365.5042903030098</v>
          </cell>
          <cell r="H1625">
            <v>114.99106409575199</v>
          </cell>
          <cell r="I1625">
            <v>55</v>
          </cell>
          <cell r="J1625">
            <v>7.7592334390727807E-5</v>
          </cell>
          <cell r="K1625">
            <v>2274</v>
          </cell>
          <cell r="L1625">
            <v>96.694991865758595</v>
          </cell>
          <cell r="M1625">
            <v>1976</v>
          </cell>
          <cell r="N1625">
            <v>8.7004877143516193E-3</v>
          </cell>
          <cell r="O1625">
            <v>2017</v>
          </cell>
          <cell r="P1625">
            <v>0.03</v>
          </cell>
          <cell r="Q1625">
            <v>2248</v>
          </cell>
        </row>
        <row r="1626">
          <cell r="B1626" t="str">
            <v>LAKEVILLE 110287432</v>
          </cell>
          <cell r="C1626">
            <v>43371102</v>
          </cell>
          <cell r="D1626" t="str">
            <v>LAKEVILLE 1102</v>
          </cell>
          <cell r="E1626">
            <v>87432</v>
          </cell>
          <cell r="F1626" t="b">
            <v>0</v>
          </cell>
          <cell r="G1626">
            <v>21925.1583337544</v>
          </cell>
          <cell r="H1626">
            <v>15708.5354873299</v>
          </cell>
          <cell r="I1626">
            <v>81</v>
          </cell>
          <cell r="J1626">
            <v>7.1408551556936494E-5</v>
          </cell>
          <cell r="K1626">
            <v>2436</v>
          </cell>
          <cell r="L1626">
            <v>994.18050839544503</v>
          </cell>
          <cell r="M1626">
            <v>837</v>
          </cell>
          <cell r="N1626">
            <v>6.3901147323054297E-2</v>
          </cell>
          <cell r="O1626">
            <v>1028</v>
          </cell>
          <cell r="P1626">
            <v>0.09</v>
          </cell>
          <cell r="Q1626">
            <v>1521</v>
          </cell>
        </row>
        <row r="1627">
          <cell r="B1627" t="str">
            <v>LAKEWOOD 1102964292</v>
          </cell>
          <cell r="C1627">
            <v>13531102</v>
          </cell>
          <cell r="D1627" t="str">
            <v>LAKEWOOD 1102</v>
          </cell>
          <cell r="E1627">
            <v>964292</v>
          </cell>
          <cell r="F1627" t="b">
            <v>1</v>
          </cell>
          <cell r="G1627">
            <v>128.15986647546401</v>
          </cell>
          <cell r="H1627">
            <v>128.15986647546401</v>
          </cell>
          <cell r="I1627">
            <v>2</v>
          </cell>
          <cell r="J1627">
            <v>8.8163669715868296E-5</v>
          </cell>
          <cell r="K1627">
            <v>1978</v>
          </cell>
          <cell r="L1627">
            <v>6.6431758675379496E-2</v>
          </cell>
          <cell r="M1627">
            <v>2995</v>
          </cell>
          <cell r="N1627">
            <v>5.8568676305004299E-6</v>
          </cell>
          <cell r="O1627">
            <v>3219</v>
          </cell>
          <cell r="Q1627">
            <v>3491</v>
          </cell>
        </row>
        <row r="1628">
          <cell r="B1628" t="str">
            <v>LAKEWOOD 1102CB</v>
          </cell>
          <cell r="C1628">
            <v>13531102</v>
          </cell>
          <cell r="D1628" t="str">
            <v>LAKEWOOD 1102</v>
          </cell>
          <cell r="E1628" t="str">
            <v>CB</v>
          </cell>
          <cell r="F1628" t="b">
            <v>1</v>
          </cell>
          <cell r="G1628">
            <v>15331.912398456599</v>
          </cell>
          <cell r="H1628">
            <v>23.5925048244229</v>
          </cell>
          <cell r="I1628">
            <v>121</v>
          </cell>
          <cell r="J1628">
            <v>6.3976942348681196E-5</v>
          </cell>
          <cell r="K1628">
            <v>2647</v>
          </cell>
          <cell r="L1628">
            <v>6.5158797752060002E-2</v>
          </cell>
          <cell r="M1628">
            <v>3556</v>
          </cell>
          <cell r="N1628">
            <v>4.16906357978061E-6</v>
          </cell>
          <cell r="O1628">
            <v>3324</v>
          </cell>
          <cell r="P1628">
            <v>0.02</v>
          </cell>
          <cell r="Q1628">
            <v>2479</v>
          </cell>
        </row>
        <row r="1629">
          <cell r="B1629" t="str">
            <v>LAKEWOOD 210738404</v>
          </cell>
          <cell r="C1629">
            <v>13532107</v>
          </cell>
          <cell r="D1629" t="str">
            <v>LAKEWOOD 2107</v>
          </cell>
          <cell r="E1629">
            <v>38404</v>
          </cell>
          <cell r="F1629" t="b">
            <v>0</v>
          </cell>
          <cell r="G1629">
            <v>9333.1055809020309</v>
          </cell>
          <cell r="H1629">
            <v>5730.6142521517304</v>
          </cell>
          <cell r="I1629">
            <v>47</v>
          </cell>
          <cell r="J1629">
            <v>1.0906710841758701E-4</v>
          </cell>
          <cell r="K1629">
            <v>1427</v>
          </cell>
          <cell r="L1629">
            <v>0.73881049099297502</v>
          </cell>
          <cell r="M1629">
            <v>2906</v>
          </cell>
          <cell r="N1629">
            <v>2.9507428856537499E-5</v>
          </cell>
          <cell r="O1629">
            <v>2936</v>
          </cell>
          <cell r="P1629">
            <v>0.08</v>
          </cell>
          <cell r="Q1629">
            <v>1611</v>
          </cell>
        </row>
        <row r="1630">
          <cell r="B1630" t="str">
            <v>LAKEWOOD 2107396264</v>
          </cell>
          <cell r="C1630">
            <v>13532107</v>
          </cell>
          <cell r="D1630" t="str">
            <v>LAKEWOOD 2107</v>
          </cell>
          <cell r="E1630">
            <v>396264</v>
          </cell>
          <cell r="F1630" t="b">
            <v>0</v>
          </cell>
          <cell r="G1630">
            <v>10259.9636474168</v>
          </cell>
          <cell r="H1630">
            <v>7704.1999766009203</v>
          </cell>
          <cell r="I1630">
            <v>95</v>
          </cell>
          <cell r="J1630">
            <v>1.03484007654754E-4</v>
          </cell>
          <cell r="K1630">
            <v>1560</v>
          </cell>
          <cell r="L1630">
            <v>21.818440399194301</v>
          </cell>
          <cell r="M1630">
            <v>2427</v>
          </cell>
          <cell r="N1630">
            <v>1.69269093324557E-3</v>
          </cell>
          <cell r="O1630">
            <v>2520</v>
          </cell>
          <cell r="Q1630">
            <v>2903</v>
          </cell>
        </row>
        <row r="1631">
          <cell r="B1631" t="str">
            <v>LAKEWOOD 210769586</v>
          </cell>
          <cell r="C1631">
            <v>13532107</v>
          </cell>
          <cell r="D1631" t="str">
            <v>LAKEWOOD 2107</v>
          </cell>
          <cell r="E1631">
            <v>69586</v>
          </cell>
          <cell r="F1631" t="b">
            <v>1</v>
          </cell>
          <cell r="G1631">
            <v>9651.4745407596292</v>
          </cell>
          <cell r="H1631">
            <v>688.92179672140799</v>
          </cell>
          <cell r="I1631">
            <v>80</v>
          </cell>
          <cell r="J1631">
            <v>8.3471092898434999E-5</v>
          </cell>
          <cell r="K1631">
            <v>2116</v>
          </cell>
          <cell r="L1631">
            <v>6.5228412802553995E-2</v>
          </cell>
          <cell r="M1631">
            <v>3492</v>
          </cell>
          <cell r="N1631">
            <v>5.4423054549439802E-6</v>
          </cell>
          <cell r="O1631">
            <v>3242</v>
          </cell>
          <cell r="P1631">
            <v>0.02</v>
          </cell>
          <cell r="Q1631">
            <v>2429</v>
          </cell>
        </row>
        <row r="1632">
          <cell r="B1632" t="str">
            <v>LAKEWOOD 2109432198 FM</v>
          </cell>
          <cell r="C1632">
            <v>13532109</v>
          </cell>
          <cell r="D1632" t="str">
            <v>LAKEWOOD 2109</v>
          </cell>
          <cell r="E1632" t="str">
            <v>432198 FM</v>
          </cell>
          <cell r="F1632" t="b">
            <v>1</v>
          </cell>
          <cell r="G1632">
            <v>3829.09796721987</v>
          </cell>
          <cell r="H1632">
            <v>907.00961644913798</v>
          </cell>
          <cell r="I1632">
            <v>31</v>
          </cell>
          <cell r="J1632">
            <v>7.01761910628799E-5</v>
          </cell>
          <cell r="K1632">
            <v>2467</v>
          </cell>
          <cell r="L1632">
            <v>53.791421471272997</v>
          </cell>
          <cell r="M1632">
            <v>2188</v>
          </cell>
          <cell r="N1632">
            <v>4.3630453544064099E-3</v>
          </cell>
          <cell r="O1632">
            <v>2236</v>
          </cell>
          <cell r="Q1632">
            <v>3344</v>
          </cell>
        </row>
        <row r="1633">
          <cell r="B1633" t="str">
            <v>LAKEWOOD 2224798018</v>
          </cell>
          <cell r="C1633">
            <v>13532224</v>
          </cell>
          <cell r="D1633" t="str">
            <v>LAKEWOOD 2224</v>
          </cell>
          <cell r="E1633">
            <v>798018</v>
          </cell>
          <cell r="F1633" t="b">
            <v>0</v>
          </cell>
          <cell r="G1633">
            <v>1485.41078417268</v>
          </cell>
          <cell r="H1633">
            <v>1448.3136681394701</v>
          </cell>
          <cell r="I1633">
            <v>13</v>
          </cell>
          <cell r="J1633">
            <v>1.3030273021286099E-4</v>
          </cell>
          <cell r="K1633">
            <v>1006</v>
          </cell>
          <cell r="L1633">
            <v>6.6234286532146594E-2</v>
          </cell>
          <cell r="M1633">
            <v>3166</v>
          </cell>
          <cell r="N1633">
            <v>8.6421723514595097E-6</v>
          </cell>
          <cell r="O1633">
            <v>3102</v>
          </cell>
          <cell r="Q1633">
            <v>3340</v>
          </cell>
        </row>
        <row r="1634">
          <cell r="B1634" t="str">
            <v>LAKEWOOD 2227W503R</v>
          </cell>
          <cell r="C1634">
            <v>13532227</v>
          </cell>
          <cell r="D1634" t="str">
            <v>LAKEWOOD 2227</v>
          </cell>
          <cell r="E1634" t="str">
            <v>W503R</v>
          </cell>
          <cell r="F1634" t="b">
            <v>1</v>
          </cell>
          <cell r="G1634">
            <v>12304.542423720801</v>
          </cell>
          <cell r="H1634">
            <v>121.87355080329</v>
          </cell>
          <cell r="I1634">
            <v>89</v>
          </cell>
          <cell r="J1634">
            <v>1.9990158234159201E-5</v>
          </cell>
          <cell r="K1634">
            <v>3544</v>
          </cell>
          <cell r="L1634">
            <v>0.42058515201630098</v>
          </cell>
          <cell r="M1634">
            <v>2913</v>
          </cell>
          <cell r="N1634">
            <v>1.1362624728412199E-5</v>
          </cell>
          <cell r="O1634">
            <v>3044</v>
          </cell>
          <cell r="Q1634">
            <v>2765</v>
          </cell>
        </row>
        <row r="1635">
          <cell r="B1635" t="str">
            <v>LAMONT 11024222</v>
          </cell>
          <cell r="C1635">
            <v>253911102</v>
          </cell>
          <cell r="D1635" t="str">
            <v>LAMONT 1102</v>
          </cell>
          <cell r="E1635">
            <v>4222</v>
          </cell>
          <cell r="F1635" t="b">
            <v>0</v>
          </cell>
          <cell r="G1635">
            <v>26146.303599694798</v>
          </cell>
          <cell r="H1635">
            <v>4245.3884285433896</v>
          </cell>
          <cell r="I1635">
            <v>87</v>
          </cell>
          <cell r="J1635">
            <v>3.16041957483E-5</v>
          </cell>
          <cell r="K1635">
            <v>3407</v>
          </cell>
          <cell r="L1635">
            <v>230.386991447464</v>
          </cell>
          <cell r="M1635">
            <v>1585</v>
          </cell>
          <cell r="N1635">
            <v>3.3257762811986901E-3</v>
          </cell>
          <cell r="O1635">
            <v>2313</v>
          </cell>
          <cell r="P1635">
            <v>0.02</v>
          </cell>
          <cell r="Q1635">
            <v>2510</v>
          </cell>
        </row>
        <row r="1636">
          <cell r="B1636" t="str">
            <v>LAS AROMAS 04013342</v>
          </cell>
          <cell r="C1636">
            <v>13600401</v>
          </cell>
          <cell r="D1636" t="str">
            <v>LAS AROMAS 0401</v>
          </cell>
          <cell r="E1636">
            <v>3342</v>
          </cell>
          <cell r="F1636" t="b">
            <v>0</v>
          </cell>
          <cell r="G1636">
            <v>3691.7497167329798</v>
          </cell>
          <cell r="H1636">
            <v>3691.7497167329798</v>
          </cell>
          <cell r="I1636">
            <v>30</v>
          </cell>
          <cell r="J1636">
            <v>9.63710931197662E-5</v>
          </cell>
          <cell r="K1636">
            <v>1724</v>
          </cell>
          <cell r="L1636">
            <v>6.6431118909336298E-2</v>
          </cell>
          <cell r="M1636">
            <v>3097</v>
          </cell>
          <cell r="N1636">
            <v>6.4020458291315603E-6</v>
          </cell>
          <cell r="O1636">
            <v>3194</v>
          </cell>
          <cell r="P1636">
            <v>0.04</v>
          </cell>
          <cell r="Q1636">
            <v>2113</v>
          </cell>
        </row>
        <row r="1637">
          <cell r="B1637" t="str">
            <v>LAS AROMAS 0401LA401R</v>
          </cell>
          <cell r="C1637">
            <v>13600401</v>
          </cell>
          <cell r="D1637" t="str">
            <v>LAS AROMAS 0401</v>
          </cell>
          <cell r="E1637" t="str">
            <v>LA401R</v>
          </cell>
          <cell r="F1637" t="b">
            <v>0</v>
          </cell>
          <cell r="G1637">
            <v>6369.41852037636</v>
          </cell>
          <cell r="H1637">
            <v>4956.3951045796503</v>
          </cell>
          <cell r="I1637">
            <v>55</v>
          </cell>
          <cell r="J1637">
            <v>8.9288202236110104E-5</v>
          </cell>
          <cell r="K1637">
            <v>1939</v>
          </cell>
          <cell r="L1637">
            <v>6.6129295214648998E-2</v>
          </cell>
          <cell r="M1637">
            <v>3184</v>
          </cell>
          <cell r="N1637">
            <v>5.9068100031157402E-6</v>
          </cell>
          <cell r="O1637">
            <v>3217</v>
          </cell>
          <cell r="P1637">
            <v>0.06</v>
          </cell>
          <cell r="Q1637">
            <v>1827</v>
          </cell>
        </row>
        <row r="1638">
          <cell r="B1638" t="str">
            <v>LAS GALLINAS A 11041220</v>
          </cell>
          <cell r="C1638">
            <v>42991104</v>
          </cell>
          <cell r="D1638" t="str">
            <v>LAS GALLINAS A 1104</v>
          </cell>
          <cell r="E1638">
            <v>1220</v>
          </cell>
          <cell r="F1638" t="b">
            <v>1</v>
          </cell>
          <cell r="G1638">
            <v>7829.4678713539897</v>
          </cell>
          <cell r="H1638">
            <v>0</v>
          </cell>
          <cell r="I1638">
            <v>57</v>
          </cell>
          <cell r="J1638">
            <v>2.5968756178698101E-5</v>
          </cell>
          <cell r="K1638">
            <v>3488</v>
          </cell>
          <cell r="L1638">
            <v>1.1753252712225</v>
          </cell>
          <cell r="M1638">
            <v>2882</v>
          </cell>
          <cell r="N1638">
            <v>1.33531694986601E-4</v>
          </cell>
          <cell r="O1638">
            <v>2860</v>
          </cell>
          <cell r="P1638">
            <v>0.03</v>
          </cell>
          <cell r="Q1638">
            <v>2239</v>
          </cell>
        </row>
        <row r="1639">
          <cell r="B1639" t="str">
            <v>LAS GALLINAS A 1104304</v>
          </cell>
          <cell r="C1639">
            <v>42991104</v>
          </cell>
          <cell r="D1639" t="str">
            <v>LAS GALLINAS A 1104</v>
          </cell>
          <cell r="E1639">
            <v>304</v>
          </cell>
          <cell r="F1639" t="b">
            <v>1</v>
          </cell>
          <cell r="G1639">
            <v>3131.1603014860498</v>
          </cell>
          <cell r="H1639">
            <v>221.04297837885201</v>
          </cell>
          <cell r="I1639">
            <v>27</v>
          </cell>
          <cell r="J1639">
            <v>7.2266789410841006E-5</v>
          </cell>
          <cell r="K1639">
            <v>2410</v>
          </cell>
          <cell r="L1639">
            <v>12.9613875784496</v>
          </cell>
          <cell r="M1639">
            <v>2570</v>
          </cell>
          <cell r="N1639">
            <v>1.4797500722987099E-3</v>
          </cell>
          <cell r="O1639">
            <v>2562</v>
          </cell>
          <cell r="P1639">
            <v>0.03</v>
          </cell>
          <cell r="Q1639">
            <v>2304</v>
          </cell>
        </row>
        <row r="1640">
          <cell r="B1640" t="str">
            <v>LAS GALLINAS A 1104309087</v>
          </cell>
          <cell r="C1640">
            <v>42991104</v>
          </cell>
          <cell r="D1640" t="str">
            <v>LAS GALLINAS A 1104</v>
          </cell>
          <cell r="E1640">
            <v>309087</v>
          </cell>
          <cell r="F1640" t="b">
            <v>1</v>
          </cell>
          <cell r="G1640">
            <v>645.60469662555897</v>
          </cell>
          <cell r="H1640">
            <v>302.496883494798</v>
          </cell>
          <cell r="I1640">
            <v>6</v>
          </cell>
          <cell r="J1640">
            <v>5.4354436542780597E-5</v>
          </cell>
          <cell r="K1640">
            <v>2935</v>
          </cell>
          <cell r="L1640">
            <v>6.55779194872744E-2</v>
          </cell>
          <cell r="M1640">
            <v>3341</v>
          </cell>
          <cell r="N1640">
            <v>3.5750126164007801E-6</v>
          </cell>
          <cell r="O1640">
            <v>3363</v>
          </cell>
          <cell r="Q1640">
            <v>3096</v>
          </cell>
        </row>
        <row r="1641">
          <cell r="B1641" t="str">
            <v>LAS GALLINAS A 1104507389</v>
          </cell>
          <cell r="C1641">
            <v>42991104</v>
          </cell>
          <cell r="D1641" t="str">
            <v>LAS GALLINAS A 1104</v>
          </cell>
          <cell r="E1641">
            <v>507389</v>
          </cell>
          <cell r="F1641" t="b">
            <v>1</v>
          </cell>
          <cell r="G1641">
            <v>305.66521882838799</v>
          </cell>
          <cell r="H1641">
            <v>212.33409271291001</v>
          </cell>
          <cell r="I1641">
            <v>4</v>
          </cell>
          <cell r="J1641">
            <v>8.9376047071709695E-5</v>
          </cell>
          <cell r="K1641">
            <v>1934</v>
          </cell>
          <cell r="L1641">
            <v>719.09181299704699</v>
          </cell>
          <cell r="M1641">
            <v>1002</v>
          </cell>
          <cell r="N1641">
            <v>8.3842198263581899E-2</v>
          </cell>
          <cell r="O1641">
            <v>874</v>
          </cell>
          <cell r="Q1641">
            <v>3399</v>
          </cell>
        </row>
        <row r="1642">
          <cell r="B1642" t="str">
            <v>LAS GALLINAS A 11051218</v>
          </cell>
          <cell r="C1642">
            <v>42991105</v>
          </cell>
          <cell r="D1642" t="str">
            <v>LAS GALLINAS A 1105</v>
          </cell>
          <cell r="E1642">
            <v>1218</v>
          </cell>
          <cell r="F1642" t="b">
            <v>1</v>
          </cell>
          <cell r="G1642">
            <v>3546.1366332344701</v>
          </cell>
          <cell r="H1642">
            <v>106.74521640115</v>
          </cell>
          <cell r="I1642">
            <v>28</v>
          </cell>
          <cell r="J1642">
            <v>4.5839123686164297E-5</v>
          </cell>
          <cell r="K1642">
            <v>3144</v>
          </cell>
          <cell r="L1642">
            <v>6.5196909945419199E-2</v>
          </cell>
          <cell r="M1642">
            <v>3512</v>
          </cell>
          <cell r="N1642">
            <v>2.99038580390512E-6</v>
          </cell>
          <cell r="O1642">
            <v>3412</v>
          </cell>
          <cell r="P1642">
            <v>0.03</v>
          </cell>
          <cell r="Q1642">
            <v>2368</v>
          </cell>
        </row>
        <row r="1643">
          <cell r="B1643" t="str">
            <v>LAS GALLINAS A 1105532</v>
          </cell>
          <cell r="C1643">
            <v>42991105</v>
          </cell>
          <cell r="D1643" t="str">
            <v>LAS GALLINAS A 1105</v>
          </cell>
          <cell r="E1643">
            <v>532</v>
          </cell>
          <cell r="F1643" t="b">
            <v>0</v>
          </cell>
          <cell r="G1643">
            <v>7102.1777208701897</v>
          </cell>
          <cell r="H1643">
            <v>7099.1789855930201</v>
          </cell>
          <cell r="I1643">
            <v>34</v>
          </cell>
          <cell r="J1643">
            <v>1.6574207741844701E-4</v>
          </cell>
          <cell r="K1643">
            <v>585</v>
          </cell>
          <cell r="L1643">
            <v>1247.6791350159299</v>
          </cell>
          <cell r="M1643">
            <v>702</v>
          </cell>
          <cell r="N1643">
            <v>0.192637530731604</v>
          </cell>
          <cell r="O1643">
            <v>359</v>
          </cell>
          <cell r="P1643">
            <v>0.65</v>
          </cell>
          <cell r="Q1643">
            <v>824</v>
          </cell>
        </row>
        <row r="1644">
          <cell r="B1644" t="str">
            <v>LAS GALLINAS A 1105648439</v>
          </cell>
          <cell r="C1644">
            <v>42991105</v>
          </cell>
          <cell r="D1644" t="str">
            <v>LAS GALLINAS A 1105</v>
          </cell>
          <cell r="E1644">
            <v>648439</v>
          </cell>
          <cell r="F1644" t="b">
            <v>1</v>
          </cell>
          <cell r="G1644">
            <v>225.87567505074099</v>
          </cell>
          <cell r="H1644">
            <v>10.9115382235863</v>
          </cell>
          <cell r="I1644">
            <v>3</v>
          </cell>
          <cell r="J1644">
            <v>7.7250870769300097E-5</v>
          </cell>
          <cell r="K1644">
            <v>2281</v>
          </cell>
          <cell r="L1644">
            <v>6.5151188800396595E-2</v>
          </cell>
          <cell r="M1644">
            <v>3571</v>
          </cell>
          <cell r="N1644">
            <v>5.0329860664857099E-6</v>
          </cell>
          <cell r="O1644">
            <v>3265</v>
          </cell>
          <cell r="Q1644">
            <v>3196</v>
          </cell>
        </row>
        <row r="1645">
          <cell r="B1645" t="str">
            <v>LAS GALLINAS A 1105904</v>
          </cell>
          <cell r="C1645">
            <v>42991105</v>
          </cell>
          <cell r="D1645" t="str">
            <v>LAS GALLINAS A 1105</v>
          </cell>
          <cell r="E1645">
            <v>904</v>
          </cell>
          <cell r="F1645" t="b">
            <v>0</v>
          </cell>
          <cell r="G1645">
            <v>11554.852478029899</v>
          </cell>
          <cell r="H1645">
            <v>2469.24561415178</v>
          </cell>
          <cell r="I1645">
            <v>78</v>
          </cell>
          <cell r="J1645">
            <v>4.31006020591713E-5</v>
          </cell>
          <cell r="K1645">
            <v>3208</v>
          </cell>
          <cell r="L1645">
            <v>64.147777164769806</v>
          </cell>
          <cell r="M1645">
            <v>2127</v>
          </cell>
          <cell r="N1645">
            <v>6.6274365314099703E-3</v>
          </cell>
          <cell r="O1645">
            <v>2113</v>
          </cell>
          <cell r="P1645">
            <v>0.04</v>
          </cell>
          <cell r="Q1645">
            <v>2146</v>
          </cell>
        </row>
        <row r="1646">
          <cell r="B1646" t="str">
            <v>LAS GALLINAS A 110599904</v>
          </cell>
          <cell r="C1646">
            <v>42991105</v>
          </cell>
          <cell r="D1646" t="str">
            <v>LAS GALLINAS A 1105</v>
          </cell>
          <cell r="E1646">
            <v>99904</v>
          </cell>
          <cell r="F1646" t="b">
            <v>0</v>
          </cell>
          <cell r="G1646">
            <v>8949.4852600374707</v>
          </cell>
          <cell r="H1646">
            <v>8949.4852600374707</v>
          </cell>
          <cell r="I1646">
            <v>54</v>
          </cell>
          <cell r="J1646">
            <v>1.8177278804985101E-4</v>
          </cell>
          <cell r="K1646">
            <v>500</v>
          </cell>
          <cell r="L1646">
            <v>1184.39182475399</v>
          </cell>
          <cell r="M1646">
            <v>739</v>
          </cell>
          <cell r="N1646">
            <v>0.250058744986352</v>
          </cell>
          <cell r="O1646">
            <v>215</v>
          </cell>
          <cell r="P1646">
            <v>39.72</v>
          </cell>
          <cell r="Q1646">
            <v>187</v>
          </cell>
        </row>
        <row r="1647">
          <cell r="B1647" t="str">
            <v>LAS GALLINAS A 1105CB</v>
          </cell>
          <cell r="C1647">
            <v>42991105</v>
          </cell>
          <cell r="D1647" t="str">
            <v>LAS GALLINAS A 1105</v>
          </cell>
          <cell r="E1647" t="str">
            <v>CB</v>
          </cell>
          <cell r="F1647" t="b">
            <v>1</v>
          </cell>
          <cell r="G1647">
            <v>3345.6945788387502</v>
          </cell>
          <cell r="H1647">
            <v>710.30384030705704</v>
          </cell>
          <cell r="I1647">
            <v>26</v>
          </cell>
          <cell r="J1647">
            <v>1.13626917132373E-4</v>
          </cell>
          <cell r="K1647">
            <v>1329</v>
          </cell>
          <cell r="L1647">
            <v>21.091849219114401</v>
          </cell>
          <cell r="M1647">
            <v>2434</v>
          </cell>
          <cell r="N1647">
            <v>4.1416215436905802E-3</v>
          </cell>
          <cell r="O1647">
            <v>2249</v>
          </cell>
          <cell r="P1647">
            <v>0.02</v>
          </cell>
          <cell r="Q1647">
            <v>2541</v>
          </cell>
        </row>
        <row r="1648">
          <cell r="B1648" t="str">
            <v>LAS GALLINAS A 1106206332</v>
          </cell>
          <cell r="C1648">
            <v>42991106</v>
          </cell>
          <cell r="D1648" t="str">
            <v>LAS GALLINAS A 1106</v>
          </cell>
          <cell r="E1648">
            <v>206332</v>
          </cell>
          <cell r="F1648" t="b">
            <v>1</v>
          </cell>
          <cell r="G1648">
            <v>973.83026674359303</v>
          </cell>
          <cell r="H1648">
            <v>488.86529014840897</v>
          </cell>
          <cell r="I1648">
            <v>7</v>
          </cell>
          <cell r="J1648">
            <v>3.1898206673629001E-5</v>
          </cell>
          <cell r="K1648">
            <v>3402</v>
          </cell>
          <cell r="L1648">
            <v>7.2746744180720399E-2</v>
          </cell>
          <cell r="M1648">
            <v>2939</v>
          </cell>
          <cell r="N1648">
            <v>2.2568892350794601E-6</v>
          </cell>
          <cell r="O1648">
            <v>3486</v>
          </cell>
          <cell r="Q1648">
            <v>3039</v>
          </cell>
        </row>
        <row r="1649">
          <cell r="B1649" t="str">
            <v>LAS GALLINAS A 1106228906</v>
          </cell>
          <cell r="C1649">
            <v>42991106</v>
          </cell>
          <cell r="D1649" t="str">
            <v>LAS GALLINAS A 1106</v>
          </cell>
          <cell r="E1649">
            <v>228906</v>
          </cell>
          <cell r="F1649" t="b">
            <v>1</v>
          </cell>
          <cell r="G1649">
            <v>2215.3526902795402</v>
          </cell>
          <cell r="H1649">
            <v>988.59490148070904</v>
          </cell>
          <cell r="I1649">
            <v>21</v>
          </cell>
          <cell r="J1649">
            <v>3.9760792874620199E-5</v>
          </cell>
          <cell r="K1649">
            <v>3273</v>
          </cell>
          <cell r="L1649">
            <v>5.3471945840085899</v>
          </cell>
          <cell r="M1649">
            <v>2734</v>
          </cell>
          <cell r="N1649">
            <v>3.9715565504213398E-4</v>
          </cell>
          <cell r="O1649">
            <v>2764</v>
          </cell>
          <cell r="Q1649">
            <v>3330</v>
          </cell>
        </row>
        <row r="1650">
          <cell r="B1650" t="str">
            <v>LAS GALLINAS A 1106685656</v>
          </cell>
          <cell r="C1650">
            <v>42991106</v>
          </cell>
          <cell r="D1650" t="str">
            <v>LAS GALLINAS A 1106</v>
          </cell>
          <cell r="E1650">
            <v>685656</v>
          </cell>
          <cell r="F1650" t="b">
            <v>0</v>
          </cell>
          <cell r="G1650">
            <v>5880.2293697019304</v>
          </cell>
          <cell r="H1650">
            <v>1923.4164539042599</v>
          </cell>
          <cell r="I1650">
            <v>43</v>
          </cell>
          <cell r="J1650">
            <v>3.4110576401618198E-5</v>
          </cell>
          <cell r="K1650">
            <v>3369</v>
          </cell>
          <cell r="L1650">
            <v>6.5329820250717596E-2</v>
          </cell>
          <cell r="M1650">
            <v>3449</v>
          </cell>
          <cell r="N1650">
            <v>2.2324763021694299E-6</v>
          </cell>
          <cell r="O1650">
            <v>3488</v>
          </cell>
          <cell r="Q1650">
            <v>2845</v>
          </cell>
        </row>
        <row r="1651">
          <cell r="B1651" t="str">
            <v>LAS GALLINAS A 1106685852</v>
          </cell>
          <cell r="C1651">
            <v>42991106</v>
          </cell>
          <cell r="D1651" t="str">
            <v>LAS GALLINAS A 1106</v>
          </cell>
          <cell r="E1651">
            <v>685852</v>
          </cell>
          <cell r="F1651" t="b">
            <v>1</v>
          </cell>
          <cell r="G1651">
            <v>222.93053811173201</v>
          </cell>
          <cell r="H1651">
            <v>104.933135520443</v>
          </cell>
          <cell r="I1651">
            <v>3</v>
          </cell>
          <cell r="J1651">
            <v>1.12574378969535E-4</v>
          </cell>
          <cell r="K1651">
            <v>1352</v>
          </cell>
          <cell r="L1651">
            <v>15.9116006201548</v>
          </cell>
          <cell r="M1651">
            <v>2517</v>
          </cell>
          <cell r="N1651">
            <v>1.5648232128468501E-3</v>
          </cell>
          <cell r="O1651">
            <v>2544</v>
          </cell>
          <cell r="Q1651">
            <v>3611</v>
          </cell>
        </row>
        <row r="1652">
          <cell r="B1652" t="str">
            <v>LAS GALLINAS A 1106CB</v>
          </cell>
          <cell r="C1652">
            <v>42991106</v>
          </cell>
          <cell r="D1652" t="str">
            <v>LAS GALLINAS A 1106</v>
          </cell>
          <cell r="E1652" t="str">
            <v>CB</v>
          </cell>
          <cell r="F1652" t="b">
            <v>1</v>
          </cell>
          <cell r="G1652">
            <v>16165.561819986</v>
          </cell>
          <cell r="H1652">
            <v>153.74680750578801</v>
          </cell>
          <cell r="I1652">
            <v>111</v>
          </cell>
          <cell r="J1652">
            <v>7.0206978168104605E-5</v>
          </cell>
          <cell r="K1652">
            <v>2463</v>
          </cell>
          <cell r="L1652">
            <v>11.080987395365399</v>
          </cell>
          <cell r="M1652">
            <v>2607</v>
          </cell>
          <cell r="N1652">
            <v>1.5644163548328099E-3</v>
          </cell>
          <cell r="O1652">
            <v>2545</v>
          </cell>
          <cell r="P1652">
            <v>0.1</v>
          </cell>
          <cell r="Q1652">
            <v>1466</v>
          </cell>
        </row>
        <row r="1653">
          <cell r="B1653" t="str">
            <v>LAS GALLINAS A 1107554</v>
          </cell>
          <cell r="C1653">
            <v>42991107</v>
          </cell>
          <cell r="D1653" t="str">
            <v>LAS GALLINAS A 1107</v>
          </cell>
          <cell r="E1653">
            <v>554</v>
          </cell>
          <cell r="F1653" t="b">
            <v>1</v>
          </cell>
          <cell r="G1653">
            <v>4453.2978125063701</v>
          </cell>
          <cell r="H1653">
            <v>52.9857185924973</v>
          </cell>
          <cell r="I1653">
            <v>35</v>
          </cell>
          <cell r="J1653">
            <v>6.3329779443259098E-5</v>
          </cell>
          <cell r="K1653">
            <v>2667</v>
          </cell>
          <cell r="L1653">
            <v>6.51877657164147E-2</v>
          </cell>
          <cell r="M1653">
            <v>3524</v>
          </cell>
          <cell r="N1653">
            <v>4.1302774389470199E-6</v>
          </cell>
          <cell r="O1653">
            <v>3329</v>
          </cell>
          <cell r="Q1653">
            <v>2848</v>
          </cell>
        </row>
        <row r="1654">
          <cell r="B1654" t="str">
            <v>LAS POSITAS 2108MR182</v>
          </cell>
          <cell r="C1654">
            <v>14402108</v>
          </cell>
          <cell r="D1654" t="str">
            <v>LAS POSITAS 2108</v>
          </cell>
          <cell r="E1654" t="str">
            <v>MR182</v>
          </cell>
          <cell r="F1654" t="b">
            <v>0</v>
          </cell>
          <cell r="G1654">
            <v>11548.6883931048</v>
          </cell>
          <cell r="H1654">
            <v>10768.7758603456</v>
          </cell>
          <cell r="I1654">
            <v>56</v>
          </cell>
          <cell r="J1654">
            <v>6.1377071948040101E-5</v>
          </cell>
          <cell r="K1654">
            <v>2738</v>
          </cell>
          <cell r="L1654">
            <v>1819.61372312702</v>
          </cell>
          <cell r="M1654">
            <v>502</v>
          </cell>
          <cell r="N1654">
            <v>9.3921084854702797E-2</v>
          </cell>
          <cell r="O1654">
            <v>803</v>
          </cell>
          <cell r="P1654">
            <v>0.09</v>
          </cell>
          <cell r="Q1654">
            <v>1515</v>
          </cell>
        </row>
        <row r="1655">
          <cell r="B1655" t="str">
            <v>LAS POSITAS 2108MR190</v>
          </cell>
          <cell r="C1655">
            <v>14402108</v>
          </cell>
          <cell r="D1655" t="str">
            <v>LAS POSITAS 2108</v>
          </cell>
          <cell r="E1655" t="str">
            <v>MR190</v>
          </cell>
          <cell r="F1655" t="b">
            <v>0</v>
          </cell>
          <cell r="G1655">
            <v>18265.303045668501</v>
          </cell>
          <cell r="H1655">
            <v>1336.9263983640701</v>
          </cell>
          <cell r="I1655">
            <v>130</v>
          </cell>
          <cell r="J1655">
            <v>5.6319889146775901E-5</v>
          </cell>
          <cell r="K1655">
            <v>2880</v>
          </cell>
          <cell r="L1655">
            <v>303.84426507710799</v>
          </cell>
          <cell r="M1655">
            <v>1444</v>
          </cell>
          <cell r="N1655">
            <v>1.2744124156593E-2</v>
          </cell>
          <cell r="O1655">
            <v>1852</v>
          </cell>
          <cell r="P1655">
            <v>0.03</v>
          </cell>
          <cell r="Q1655">
            <v>2386</v>
          </cell>
        </row>
        <row r="1656">
          <cell r="B1656" t="str">
            <v>LAS PULGAS 0401104588</v>
          </cell>
          <cell r="C1656">
            <v>24120401</v>
          </cell>
          <cell r="D1656" t="str">
            <v>LAS PULGAS 0401</v>
          </cell>
          <cell r="E1656">
            <v>104588</v>
          </cell>
          <cell r="F1656" t="b">
            <v>1</v>
          </cell>
          <cell r="G1656">
            <v>1238.83589980581</v>
          </cell>
          <cell r="H1656">
            <v>581.41137400596597</v>
          </cell>
          <cell r="I1656">
            <v>11</v>
          </cell>
          <cell r="J1656">
            <v>2.8291087801335302E-5</v>
          </cell>
          <cell r="K1656">
            <v>3451</v>
          </cell>
          <cell r="L1656">
            <v>6.5731044520031298E-2</v>
          </cell>
          <cell r="M1656">
            <v>3301</v>
          </cell>
          <cell r="N1656">
            <v>1.86530936921093E-6</v>
          </cell>
          <cell r="O1656">
            <v>3520</v>
          </cell>
          <cell r="Q1656">
            <v>2924</v>
          </cell>
        </row>
        <row r="1657">
          <cell r="B1657" t="str">
            <v>LAURELES 111110141</v>
          </cell>
          <cell r="C1657">
            <v>182371111</v>
          </cell>
          <cell r="D1657" t="str">
            <v>LAURELES 1111</v>
          </cell>
          <cell r="E1657">
            <v>10141</v>
          </cell>
          <cell r="F1657" t="b">
            <v>0</v>
          </cell>
          <cell r="G1657">
            <v>4694.7774786464697</v>
          </cell>
          <cell r="H1657">
            <v>4694.7774786464697</v>
          </cell>
          <cell r="I1657">
            <v>21</v>
          </cell>
          <cell r="J1657">
            <v>5.6214257970818102E-5</v>
          </cell>
          <cell r="K1657">
            <v>2882</v>
          </cell>
          <cell r="L1657">
            <v>1.1979207914079499</v>
          </cell>
          <cell r="M1657">
            <v>2879</v>
          </cell>
          <cell r="N1657">
            <v>6.7840253494228796E-5</v>
          </cell>
          <cell r="O1657">
            <v>2892</v>
          </cell>
          <cell r="P1657">
            <v>4.6100000000000003</v>
          </cell>
          <cell r="Q1657">
            <v>512</v>
          </cell>
        </row>
        <row r="1658">
          <cell r="B1658" t="str">
            <v>LAURELES 11112020</v>
          </cell>
          <cell r="C1658">
            <v>182371111</v>
          </cell>
          <cell r="D1658" t="str">
            <v>LAURELES 1111</v>
          </cell>
          <cell r="E1658">
            <v>2020</v>
          </cell>
          <cell r="F1658" t="b">
            <v>0</v>
          </cell>
          <cell r="G1658">
            <v>55275.257191422199</v>
          </cell>
          <cell r="H1658">
            <v>55275.257191422199</v>
          </cell>
          <cell r="I1658">
            <v>281</v>
          </cell>
          <cell r="J1658">
            <v>9.1433863952091593E-5</v>
          </cell>
          <cell r="K1658">
            <v>1861</v>
          </cell>
          <cell r="L1658">
            <v>43.132676769329699</v>
          </cell>
          <cell r="M1658">
            <v>2260</v>
          </cell>
          <cell r="N1658">
            <v>5.3759956977428702E-3</v>
          </cell>
          <cell r="O1658">
            <v>2187</v>
          </cell>
          <cell r="P1658">
            <v>0.23</v>
          </cell>
          <cell r="Q1658">
            <v>1114</v>
          </cell>
        </row>
        <row r="1659">
          <cell r="B1659" t="str">
            <v>LAURELES 11112028</v>
          </cell>
          <cell r="C1659">
            <v>182371111</v>
          </cell>
          <cell r="D1659" t="str">
            <v>LAURELES 1111</v>
          </cell>
          <cell r="E1659">
            <v>2028</v>
          </cell>
          <cell r="F1659" t="b">
            <v>0</v>
          </cell>
          <cell r="G1659">
            <v>14061.784669782901</v>
          </cell>
          <cell r="H1659">
            <v>14048.068642554301</v>
          </cell>
          <cell r="I1659">
            <v>107</v>
          </cell>
          <cell r="J1659">
            <v>9.4212931765120394E-5</v>
          </cell>
          <cell r="K1659">
            <v>1788</v>
          </cell>
          <cell r="L1659">
            <v>6.6419868719803099E-2</v>
          </cell>
          <cell r="M1659">
            <v>3114</v>
          </cell>
          <cell r="N1659">
            <v>6.2584619047691899E-6</v>
          </cell>
          <cell r="O1659">
            <v>3199</v>
          </cell>
          <cell r="P1659">
            <v>0.05</v>
          </cell>
          <cell r="Q1659">
            <v>2036</v>
          </cell>
        </row>
        <row r="1660">
          <cell r="B1660" t="str">
            <v>LAURELES 1111432</v>
          </cell>
          <cell r="C1660">
            <v>182371111</v>
          </cell>
          <cell r="D1660" t="str">
            <v>LAURELES 1111</v>
          </cell>
          <cell r="E1660">
            <v>432</v>
          </cell>
          <cell r="F1660" t="b">
            <v>0</v>
          </cell>
          <cell r="G1660">
            <v>79373.0606867022</v>
          </cell>
          <cell r="H1660">
            <v>79373.0606867022</v>
          </cell>
          <cell r="I1660">
            <v>320</v>
          </cell>
          <cell r="J1660">
            <v>6.1722622486758201E-5</v>
          </cell>
          <cell r="K1660">
            <v>2728</v>
          </cell>
          <cell r="L1660">
            <v>74.795186855641006</v>
          </cell>
          <cell r="M1660">
            <v>2069</v>
          </cell>
          <cell r="N1660">
            <v>4.65013972855686E-3</v>
          </cell>
          <cell r="O1660">
            <v>2223</v>
          </cell>
          <cell r="P1660">
            <v>0.19</v>
          </cell>
          <cell r="Q1660">
            <v>1170</v>
          </cell>
        </row>
        <row r="1661">
          <cell r="B1661" t="str">
            <v>LAURELES 11116421</v>
          </cell>
          <cell r="C1661">
            <v>182371111</v>
          </cell>
          <cell r="D1661" t="str">
            <v>LAURELES 1111</v>
          </cell>
          <cell r="E1661">
            <v>6421</v>
          </cell>
          <cell r="F1661" t="b">
            <v>0</v>
          </cell>
          <cell r="G1661">
            <v>2777.3682492090002</v>
          </cell>
          <cell r="H1661">
            <v>2777.3682492090002</v>
          </cell>
          <cell r="I1661">
            <v>20</v>
          </cell>
          <cell r="J1661">
            <v>5.7664634368848001E-5</v>
          </cell>
          <cell r="K1661">
            <v>2846</v>
          </cell>
          <cell r="L1661">
            <v>26.200416763021199</v>
          </cell>
          <cell r="M1661">
            <v>2374</v>
          </cell>
          <cell r="N1661">
            <v>1.8044410515489001E-3</v>
          </cell>
          <cell r="O1661">
            <v>2504</v>
          </cell>
          <cell r="P1661">
            <v>0.14000000000000001</v>
          </cell>
          <cell r="Q1661">
            <v>1307</v>
          </cell>
        </row>
        <row r="1662">
          <cell r="B1662" t="str">
            <v>LAURELES 11116617</v>
          </cell>
          <cell r="C1662">
            <v>182371111</v>
          </cell>
          <cell r="D1662" t="str">
            <v>LAURELES 1111</v>
          </cell>
          <cell r="E1662">
            <v>6617</v>
          </cell>
          <cell r="F1662" t="b">
            <v>0</v>
          </cell>
          <cell r="G1662">
            <v>2923.6770447220301</v>
          </cell>
          <cell r="H1662">
            <v>2923.6770447220301</v>
          </cell>
          <cell r="I1662">
            <v>13</v>
          </cell>
          <cell r="J1662">
            <v>7.8081722536948105E-5</v>
          </cell>
          <cell r="K1662">
            <v>2257</v>
          </cell>
          <cell r="L1662">
            <v>6.8388089666765697E-2</v>
          </cell>
          <cell r="M1662">
            <v>2946</v>
          </cell>
          <cell r="N1662">
            <v>5.3040234688852303E-6</v>
          </cell>
          <cell r="O1662">
            <v>3250</v>
          </cell>
          <cell r="P1662">
            <v>1.03</v>
          </cell>
          <cell r="Q1662">
            <v>726</v>
          </cell>
        </row>
        <row r="1663">
          <cell r="B1663" t="str">
            <v>LAURELES 1111CB</v>
          </cell>
          <cell r="C1663">
            <v>182371111</v>
          </cell>
          <cell r="D1663" t="str">
            <v>LAURELES 1111</v>
          </cell>
          <cell r="E1663" t="str">
            <v>CB</v>
          </cell>
          <cell r="F1663" t="b">
            <v>0</v>
          </cell>
          <cell r="G1663">
            <v>13124.8359687374</v>
          </cell>
          <cell r="H1663">
            <v>11515.531213177799</v>
          </cell>
          <cell r="I1663">
            <v>82</v>
          </cell>
          <cell r="J1663">
            <v>7.3715876779471395E-5</v>
          </cell>
          <cell r="K1663">
            <v>2370</v>
          </cell>
          <cell r="L1663">
            <v>185.60357038231501</v>
          </cell>
          <cell r="M1663">
            <v>1669</v>
          </cell>
          <cell r="N1663">
            <v>1.10750048268919E-2</v>
          </cell>
          <cell r="O1663">
            <v>1916</v>
          </cell>
          <cell r="P1663">
            <v>7.0000000000000007E-2</v>
          </cell>
          <cell r="Q1663">
            <v>1709</v>
          </cell>
        </row>
        <row r="1664">
          <cell r="B1664" t="str">
            <v>LAURELES 11122142</v>
          </cell>
          <cell r="C1664">
            <v>182371112</v>
          </cell>
          <cell r="D1664" t="str">
            <v>LAURELES 1112</v>
          </cell>
          <cell r="E1664">
            <v>2142</v>
          </cell>
          <cell r="F1664" t="b">
            <v>1</v>
          </cell>
          <cell r="G1664">
            <v>2588.0177052362101</v>
          </cell>
          <cell r="H1664">
            <v>151.88505870047101</v>
          </cell>
          <cell r="I1664">
            <v>26</v>
          </cell>
          <cell r="J1664">
            <v>4.02933547565435E-5</v>
          </cell>
          <cell r="K1664">
            <v>3261</v>
          </cell>
          <cell r="L1664">
            <v>6.5245830095731205E-2</v>
          </cell>
          <cell r="M1664">
            <v>3480</v>
          </cell>
          <cell r="N1664">
            <v>2.63010375220877E-6</v>
          </cell>
          <cell r="O1664">
            <v>3451</v>
          </cell>
          <cell r="P1664">
            <v>0.08</v>
          </cell>
          <cell r="Q1664">
            <v>1615</v>
          </cell>
        </row>
        <row r="1665">
          <cell r="B1665" t="str">
            <v>LAURELES 11122768</v>
          </cell>
          <cell r="C1665">
            <v>182371112</v>
          </cell>
          <cell r="D1665" t="str">
            <v>LAURELES 1112</v>
          </cell>
          <cell r="E1665">
            <v>2768</v>
          </cell>
          <cell r="F1665" t="b">
            <v>0</v>
          </cell>
          <cell r="G1665">
            <v>12969.969470898701</v>
          </cell>
          <cell r="H1665">
            <v>10109.724899969</v>
          </cell>
          <cell r="I1665">
            <v>92</v>
          </cell>
          <cell r="J1665">
            <v>7.5186604293697203E-5</v>
          </cell>
          <cell r="K1665">
            <v>2326</v>
          </cell>
          <cell r="L1665">
            <v>22.270061879378201</v>
          </cell>
          <cell r="M1665">
            <v>2424</v>
          </cell>
          <cell r="N1665">
            <v>1.66472500038375E-3</v>
          </cell>
          <cell r="O1665">
            <v>2527</v>
          </cell>
          <cell r="P1665">
            <v>0.05</v>
          </cell>
          <cell r="Q1665">
            <v>2021</v>
          </cell>
        </row>
        <row r="1666">
          <cell r="B1666" t="str">
            <v>LAURELES 1112438</v>
          </cell>
          <cell r="C1666">
            <v>182371112</v>
          </cell>
          <cell r="D1666" t="str">
            <v>LAURELES 1112</v>
          </cell>
          <cell r="E1666">
            <v>438</v>
          </cell>
          <cell r="F1666" t="b">
            <v>0</v>
          </cell>
          <cell r="G1666">
            <v>9219.1150509869894</v>
          </cell>
          <cell r="H1666">
            <v>8226.4087993545108</v>
          </cell>
          <cell r="I1666">
            <v>48</v>
          </cell>
          <cell r="J1666">
            <v>7.1249500600041504E-5</v>
          </cell>
          <cell r="K1666">
            <v>2440</v>
          </cell>
          <cell r="L1666">
            <v>29.804996528686001</v>
          </cell>
          <cell r="M1666">
            <v>2347</v>
          </cell>
          <cell r="N1666">
            <v>2.2240577935925799E-3</v>
          </cell>
          <cell r="O1666">
            <v>2449</v>
          </cell>
          <cell r="P1666">
            <v>0.05</v>
          </cell>
          <cell r="Q1666">
            <v>2035</v>
          </cell>
        </row>
        <row r="1667">
          <cell r="B1667" t="str">
            <v>LAURELES 1112562376</v>
          </cell>
          <cell r="C1667">
            <v>182371112</v>
          </cell>
          <cell r="D1667" t="str">
            <v>LAURELES 1112</v>
          </cell>
          <cell r="E1667">
            <v>562376</v>
          </cell>
          <cell r="F1667" t="b">
            <v>0</v>
          </cell>
          <cell r="G1667">
            <v>12962.1788914392</v>
          </cell>
          <cell r="H1667">
            <v>12746.1038700441</v>
          </cell>
          <cell r="I1667">
            <v>82</v>
          </cell>
          <cell r="J1667">
            <v>6.0914177083759501E-5</v>
          </cell>
          <cell r="K1667">
            <v>2752</v>
          </cell>
          <cell r="L1667">
            <v>14.0411966951563</v>
          </cell>
          <cell r="M1667">
            <v>2548</v>
          </cell>
          <cell r="N1667">
            <v>5.21505210795513E-4</v>
          </cell>
          <cell r="O1667">
            <v>2730</v>
          </cell>
          <cell r="Q1667">
            <v>2872</v>
          </cell>
        </row>
        <row r="1668">
          <cell r="B1668" t="str">
            <v>LAURELES 111268454</v>
          </cell>
          <cell r="C1668">
            <v>182371112</v>
          </cell>
          <cell r="D1668" t="str">
            <v>LAURELES 1112</v>
          </cell>
          <cell r="E1668">
            <v>68454</v>
          </cell>
          <cell r="F1668" t="b">
            <v>0</v>
          </cell>
          <cell r="G1668">
            <v>17728.979831959001</v>
          </cell>
          <cell r="H1668">
            <v>13589.215804313701</v>
          </cell>
          <cell r="I1668">
            <v>142</v>
          </cell>
          <cell r="J1668">
            <v>6.6560293394296596E-5</v>
          </cell>
          <cell r="K1668">
            <v>2571</v>
          </cell>
          <cell r="L1668">
            <v>6.6015668213367407E-2</v>
          </cell>
          <cell r="M1668">
            <v>3214</v>
          </cell>
          <cell r="N1668">
            <v>4.3911880824054596E-6</v>
          </cell>
          <cell r="O1668">
            <v>3304</v>
          </cell>
          <cell r="P1668">
            <v>0.14000000000000001</v>
          </cell>
          <cell r="Q1668">
            <v>1311</v>
          </cell>
        </row>
        <row r="1669">
          <cell r="B1669" t="str">
            <v>LAURELES 1112CB</v>
          </cell>
          <cell r="C1669">
            <v>182371112</v>
          </cell>
          <cell r="D1669" t="str">
            <v>LAURELES 1112</v>
          </cell>
          <cell r="E1669" t="str">
            <v>CB</v>
          </cell>
          <cell r="F1669" t="b">
            <v>1</v>
          </cell>
          <cell r="G1669">
            <v>3818.0633908413602</v>
          </cell>
          <cell r="H1669">
            <v>493.18149787604398</v>
          </cell>
          <cell r="I1669">
            <v>38</v>
          </cell>
          <cell r="J1669">
            <v>6.4589039108173705E-5</v>
          </cell>
          <cell r="K1669">
            <v>2622</v>
          </cell>
          <cell r="L1669">
            <v>6.5214617471945902E-2</v>
          </cell>
          <cell r="M1669">
            <v>3503</v>
          </cell>
          <cell r="N1669">
            <v>4.2137292396496699E-6</v>
          </cell>
          <cell r="O1669">
            <v>3319</v>
          </cell>
          <cell r="P1669">
            <v>0.01</v>
          </cell>
          <cell r="Q1669">
            <v>2579</v>
          </cell>
        </row>
        <row r="1670">
          <cell r="B1670" t="str">
            <v>LAYTONVILLE 11011760</v>
          </cell>
          <cell r="C1670">
            <v>42681101</v>
          </cell>
          <cell r="D1670" t="str">
            <v>LAYTONVILLE 1101</v>
          </cell>
          <cell r="E1670">
            <v>1760</v>
          </cell>
          <cell r="F1670" t="b">
            <v>0</v>
          </cell>
          <cell r="G1670">
            <v>20336.588271321802</v>
          </cell>
          <cell r="H1670">
            <v>15610.272049368399</v>
          </cell>
          <cell r="I1670">
            <v>73</v>
          </cell>
          <cell r="J1670">
            <v>2.6451989423818101E-4</v>
          </cell>
          <cell r="K1670">
            <v>183</v>
          </cell>
          <cell r="L1670">
            <v>220.07653521492199</v>
          </cell>
          <cell r="M1670">
            <v>1605</v>
          </cell>
          <cell r="N1670">
            <v>4.8043335862838397E-2</v>
          </cell>
          <cell r="O1670">
            <v>1196</v>
          </cell>
          <cell r="P1670">
            <v>0</v>
          </cell>
          <cell r="Q1670">
            <v>2647</v>
          </cell>
        </row>
        <row r="1671">
          <cell r="B1671" t="str">
            <v>LAYTONVILLE 1101402</v>
          </cell>
          <cell r="C1671">
            <v>42681101</v>
          </cell>
          <cell r="D1671" t="str">
            <v>LAYTONVILLE 1101</v>
          </cell>
          <cell r="E1671">
            <v>402</v>
          </cell>
          <cell r="F1671" t="b">
            <v>0</v>
          </cell>
          <cell r="G1671">
            <v>37926.292515010602</v>
          </cell>
          <cell r="H1671">
            <v>37584.613815686702</v>
          </cell>
          <cell r="I1671">
            <v>151</v>
          </cell>
          <cell r="J1671">
            <v>1.6620436376827899E-4</v>
          </cell>
          <cell r="K1671">
            <v>581</v>
          </cell>
          <cell r="L1671">
            <v>293.76918130058601</v>
          </cell>
          <cell r="M1671">
            <v>1458</v>
          </cell>
          <cell r="N1671">
            <v>4.0695401133886297E-2</v>
          </cell>
          <cell r="O1671">
            <v>1293</v>
          </cell>
          <cell r="P1671">
            <v>7.0000000000000007E-2</v>
          </cell>
          <cell r="Q1671">
            <v>1764</v>
          </cell>
        </row>
        <row r="1672">
          <cell r="B1672" t="str">
            <v>LAYTONVILLE 1101518</v>
          </cell>
          <cell r="C1672">
            <v>42681101</v>
          </cell>
          <cell r="D1672" t="str">
            <v>LAYTONVILLE 1101</v>
          </cell>
          <cell r="E1672">
            <v>518</v>
          </cell>
          <cell r="F1672" t="b">
            <v>0</v>
          </cell>
          <cell r="G1672">
            <v>36303.823811783201</v>
          </cell>
          <cell r="H1672">
            <v>4840.0159230157096</v>
          </cell>
          <cell r="I1672">
            <v>165</v>
          </cell>
          <cell r="J1672">
            <v>1.5639894432175201E-4</v>
          </cell>
          <cell r="K1672">
            <v>680</v>
          </cell>
          <cell r="L1672">
            <v>133.42318815479399</v>
          </cell>
          <cell r="M1672">
            <v>1837</v>
          </cell>
          <cell r="N1672">
            <v>2.2370101769285701E-2</v>
          </cell>
          <cell r="O1672">
            <v>1623</v>
          </cell>
          <cell r="P1672">
            <v>0.31</v>
          </cell>
          <cell r="Q1672">
            <v>1002</v>
          </cell>
        </row>
        <row r="1673">
          <cell r="B1673" t="str">
            <v>LAYTONVILLE 110189606</v>
          </cell>
          <cell r="C1673">
            <v>42681101</v>
          </cell>
          <cell r="D1673" t="str">
            <v>LAYTONVILLE 1101</v>
          </cell>
          <cell r="E1673">
            <v>89606</v>
          </cell>
          <cell r="F1673" t="b">
            <v>0</v>
          </cell>
          <cell r="G1673">
            <v>19260.546763338902</v>
          </cell>
          <cell r="H1673">
            <v>18716.194579631101</v>
          </cell>
          <cell r="I1673">
            <v>100</v>
          </cell>
          <cell r="J1673">
            <v>1.8081721052057E-4</v>
          </cell>
          <cell r="K1673">
            <v>506</v>
          </cell>
          <cell r="L1673">
            <v>280.30085486924798</v>
          </cell>
          <cell r="M1673">
            <v>1471</v>
          </cell>
          <cell r="N1673">
            <v>3.6225896761602601E-2</v>
          </cell>
          <cell r="O1673">
            <v>1350</v>
          </cell>
          <cell r="P1673">
            <v>2.6</v>
          </cell>
          <cell r="Q1673">
            <v>595</v>
          </cell>
        </row>
        <row r="1674">
          <cell r="B1674" t="str">
            <v>LAYTONVILLE 1101CB</v>
          </cell>
          <cell r="C1674">
            <v>42681101</v>
          </cell>
          <cell r="D1674" t="str">
            <v>LAYTONVILLE 1101</v>
          </cell>
          <cell r="E1674" t="str">
            <v>CB</v>
          </cell>
          <cell r="F1674" t="b">
            <v>0</v>
          </cell>
          <cell r="G1674">
            <v>14777.823993161501</v>
          </cell>
          <cell r="H1674">
            <v>9580.0030374171802</v>
          </cell>
          <cell r="I1674">
            <v>90</v>
          </cell>
          <cell r="J1674">
            <v>1.9434197650601399E-4</v>
          </cell>
          <cell r="K1674">
            <v>422</v>
          </cell>
          <cell r="L1674">
            <v>250.18738116198699</v>
          </cell>
          <cell r="M1674">
            <v>1539</v>
          </cell>
          <cell r="N1674">
            <v>4.0115562193853101E-2</v>
          </cell>
          <cell r="O1674">
            <v>1304</v>
          </cell>
          <cell r="P1674">
            <v>6.07</v>
          </cell>
          <cell r="Q1674">
            <v>474</v>
          </cell>
        </row>
        <row r="1675">
          <cell r="B1675" t="str">
            <v>LAYTONVILLE 11022502</v>
          </cell>
          <cell r="C1675">
            <v>42681102</v>
          </cell>
          <cell r="D1675" t="str">
            <v>LAYTONVILLE 1102</v>
          </cell>
          <cell r="E1675">
            <v>2502</v>
          </cell>
          <cell r="F1675" t="b">
            <v>0</v>
          </cell>
          <cell r="G1675">
            <v>28650.078871180602</v>
          </cell>
          <cell r="H1675">
            <v>28650.078871180602</v>
          </cell>
          <cell r="I1675">
            <v>80</v>
          </cell>
          <cell r="J1675">
            <v>1.19174208800988E-4</v>
          </cell>
          <cell r="K1675">
            <v>1201</v>
          </cell>
          <cell r="L1675">
            <v>1243.1177039868701</v>
          </cell>
          <cell r="M1675">
            <v>705</v>
          </cell>
          <cell r="N1675">
            <v>0.13859211708161501</v>
          </cell>
          <cell r="O1675">
            <v>574</v>
          </cell>
          <cell r="P1675">
            <v>0.04</v>
          </cell>
          <cell r="Q1675">
            <v>2183</v>
          </cell>
        </row>
        <row r="1676">
          <cell r="B1676" t="str">
            <v>LAYTONVILLE 110237586</v>
          </cell>
          <cell r="C1676">
            <v>42681102</v>
          </cell>
          <cell r="D1676" t="str">
            <v>LAYTONVILLE 1102</v>
          </cell>
          <cell r="E1676">
            <v>37586</v>
          </cell>
          <cell r="F1676" t="b">
            <v>0</v>
          </cell>
          <cell r="G1676">
            <v>22457.027839403501</v>
          </cell>
          <cell r="H1676">
            <v>22457.027839403501</v>
          </cell>
          <cell r="I1676">
            <v>72</v>
          </cell>
          <cell r="J1676">
            <v>1.3606500703774901E-4</v>
          </cell>
          <cell r="K1676">
            <v>919</v>
          </cell>
          <cell r="L1676">
            <v>959.20445646548501</v>
          </cell>
          <cell r="M1676">
            <v>854</v>
          </cell>
          <cell r="N1676">
            <v>0.111370168488093</v>
          </cell>
          <cell r="O1676">
            <v>706</v>
          </cell>
          <cell r="P1676">
            <v>7.0000000000000007E-2</v>
          </cell>
          <cell r="Q1676">
            <v>1736</v>
          </cell>
        </row>
        <row r="1677">
          <cell r="B1677" t="str">
            <v>LAYTONVILLE 1102500</v>
          </cell>
          <cell r="C1677">
            <v>42681102</v>
          </cell>
          <cell r="D1677" t="str">
            <v>LAYTONVILLE 1102</v>
          </cell>
          <cell r="E1677">
            <v>500</v>
          </cell>
          <cell r="F1677" t="b">
            <v>0</v>
          </cell>
          <cell r="G1677">
            <v>47144.6891008811</v>
          </cell>
          <cell r="H1677">
            <v>34375.745208702901</v>
          </cell>
          <cell r="I1677">
            <v>214</v>
          </cell>
          <cell r="J1677">
            <v>1.8228575310168401E-4</v>
          </cell>
          <cell r="K1677">
            <v>495</v>
          </cell>
          <cell r="L1677">
            <v>1298.67870436815</v>
          </cell>
          <cell r="M1677">
            <v>684</v>
          </cell>
          <cell r="N1677">
            <v>0.19575729675183201</v>
          </cell>
          <cell r="O1677">
            <v>342</v>
          </cell>
          <cell r="P1677">
            <v>2.86</v>
          </cell>
          <cell r="Q1677">
            <v>574</v>
          </cell>
        </row>
        <row r="1678">
          <cell r="B1678" t="str">
            <v>LAYTONVILLE 1102572</v>
          </cell>
          <cell r="C1678">
            <v>42681102</v>
          </cell>
          <cell r="D1678" t="str">
            <v>LAYTONVILLE 1102</v>
          </cell>
          <cell r="E1678">
            <v>572</v>
          </cell>
          <cell r="F1678" t="b">
            <v>0</v>
          </cell>
          <cell r="G1678">
            <v>34429.322500643699</v>
          </cell>
          <cell r="H1678">
            <v>34429.322500643699</v>
          </cell>
          <cell r="I1678">
            <v>155</v>
          </cell>
          <cell r="J1678">
            <v>2.0811748078391199E-4</v>
          </cell>
          <cell r="K1678">
            <v>372</v>
          </cell>
          <cell r="L1678">
            <v>588.46421772437498</v>
          </cell>
          <cell r="M1678">
            <v>1115</v>
          </cell>
          <cell r="N1678">
            <v>0.12096956804551599</v>
          </cell>
          <cell r="O1678">
            <v>640</v>
          </cell>
          <cell r="P1678">
            <v>5.0599999999999996</v>
          </cell>
          <cell r="Q1678">
            <v>497</v>
          </cell>
        </row>
        <row r="1679">
          <cell r="B1679" t="str">
            <v>LAYTONVILLE 110264908</v>
          </cell>
          <cell r="C1679">
            <v>42681102</v>
          </cell>
          <cell r="D1679" t="str">
            <v>LAYTONVILLE 1102</v>
          </cell>
          <cell r="E1679">
            <v>64908</v>
          </cell>
          <cell r="F1679" t="b">
            <v>0</v>
          </cell>
          <cell r="G1679">
            <v>10254.770742745901</v>
          </cell>
          <cell r="H1679">
            <v>6238.0238676953204</v>
          </cell>
          <cell r="I1679">
            <v>84</v>
          </cell>
          <cell r="J1679">
            <v>3.5802718308072399E-4</v>
          </cell>
          <cell r="K1679">
            <v>84</v>
          </cell>
          <cell r="L1679">
            <v>246.132502114999</v>
          </cell>
          <cell r="M1679">
            <v>1550</v>
          </cell>
          <cell r="N1679">
            <v>6.6995149395835202E-2</v>
          </cell>
          <cell r="O1679">
            <v>1003</v>
          </cell>
          <cell r="P1679">
            <v>0.84</v>
          </cell>
          <cell r="Q1679">
            <v>767</v>
          </cell>
        </row>
        <row r="1680">
          <cell r="B1680" t="str">
            <v>LAYTONVILLE 1102682</v>
          </cell>
          <cell r="C1680">
            <v>42681102</v>
          </cell>
          <cell r="D1680" t="str">
            <v>LAYTONVILLE 1102</v>
          </cell>
          <cell r="E1680">
            <v>682</v>
          </cell>
          <cell r="F1680" t="b">
            <v>0</v>
          </cell>
          <cell r="G1680">
            <v>23844.534928167701</v>
          </cell>
          <cell r="H1680">
            <v>23844.534928167701</v>
          </cell>
          <cell r="I1680">
            <v>97</v>
          </cell>
          <cell r="J1680">
            <v>1.6348755663401701E-4</v>
          </cell>
          <cell r="K1680">
            <v>605</v>
          </cell>
          <cell r="L1680">
            <v>167.41242317928101</v>
          </cell>
          <cell r="M1680">
            <v>1727</v>
          </cell>
          <cell r="N1680">
            <v>2.7282227394958201E-2</v>
          </cell>
          <cell r="O1680">
            <v>1508</v>
          </cell>
          <cell r="P1680">
            <v>2.58</v>
          </cell>
          <cell r="Q1680">
            <v>596</v>
          </cell>
        </row>
        <row r="1681">
          <cell r="B1681" t="str">
            <v>LAYTONVILLE 110268436</v>
          </cell>
          <cell r="C1681">
            <v>42681102</v>
          </cell>
          <cell r="D1681" t="str">
            <v>LAYTONVILLE 1102</v>
          </cell>
          <cell r="E1681">
            <v>68436</v>
          </cell>
          <cell r="F1681" t="b">
            <v>0</v>
          </cell>
          <cell r="G1681">
            <v>14664.971455123101</v>
          </cell>
          <cell r="H1681">
            <v>14664.971455123101</v>
          </cell>
          <cell r="I1681">
            <v>45</v>
          </cell>
          <cell r="J1681">
            <v>1.15812272016164E-4</v>
          </cell>
          <cell r="K1681">
            <v>1278</v>
          </cell>
          <cell r="L1681">
            <v>1690.8360473474099</v>
          </cell>
          <cell r="M1681">
            <v>525</v>
          </cell>
          <cell r="N1681">
            <v>0.14626574672013901</v>
          </cell>
          <cell r="O1681">
            <v>543</v>
          </cell>
          <cell r="P1681">
            <v>3.52</v>
          </cell>
          <cell r="Q1681">
            <v>544</v>
          </cell>
        </row>
        <row r="1682">
          <cell r="B1682" t="str">
            <v>LAYTONVILLE 1102CB</v>
          </cell>
          <cell r="C1682">
            <v>42681102</v>
          </cell>
          <cell r="D1682" t="str">
            <v>LAYTONVILLE 1102</v>
          </cell>
          <cell r="E1682" t="str">
            <v>CB</v>
          </cell>
          <cell r="F1682" t="b">
            <v>0</v>
          </cell>
          <cell r="G1682">
            <v>20899.9329227341</v>
          </cell>
          <cell r="H1682">
            <v>19267.370200695299</v>
          </cell>
          <cell r="I1682">
            <v>95</v>
          </cell>
          <cell r="J1682">
            <v>2.07169346013156E-4</v>
          </cell>
          <cell r="K1682">
            <v>375</v>
          </cell>
          <cell r="L1682">
            <v>574.88982219479101</v>
          </cell>
          <cell r="M1682">
            <v>1127</v>
          </cell>
          <cell r="N1682">
            <v>9.5781590025772703E-2</v>
          </cell>
          <cell r="O1682">
            <v>786</v>
          </cell>
          <cell r="P1682">
            <v>5.57</v>
          </cell>
          <cell r="Q1682">
            <v>485</v>
          </cell>
        </row>
        <row r="1683">
          <cell r="B1683" t="str">
            <v>LINCOLN 1101186060</v>
          </cell>
          <cell r="C1683">
            <v>153701101</v>
          </cell>
          <cell r="D1683" t="str">
            <v>LINCOLN 1101</v>
          </cell>
          <cell r="E1683">
            <v>186060</v>
          </cell>
          <cell r="F1683" t="b">
            <v>0</v>
          </cell>
          <cell r="G1683">
            <v>24068.764991272099</v>
          </cell>
          <cell r="H1683">
            <v>17542.596341812699</v>
          </cell>
          <cell r="I1683">
            <v>161</v>
          </cell>
          <cell r="J1683">
            <v>1.17156644089122E-4</v>
          </cell>
          <cell r="K1683">
            <v>1242</v>
          </cell>
          <cell r="L1683">
            <v>1235.1524143750801</v>
          </cell>
          <cell r="M1683">
            <v>709</v>
          </cell>
          <cell r="N1683">
            <v>0.13732015406797801</v>
          </cell>
          <cell r="O1683">
            <v>577</v>
          </cell>
          <cell r="Q1683">
            <v>2791</v>
          </cell>
        </row>
        <row r="1684">
          <cell r="B1684" t="str">
            <v>LINCOLN 11012310</v>
          </cell>
          <cell r="C1684">
            <v>153701101</v>
          </cell>
          <cell r="D1684" t="str">
            <v>LINCOLN 1101</v>
          </cell>
          <cell r="E1684">
            <v>2310</v>
          </cell>
          <cell r="F1684" t="b">
            <v>0</v>
          </cell>
          <cell r="G1684">
            <v>4180.4549808744696</v>
          </cell>
          <cell r="H1684">
            <v>1304.6994282321</v>
          </cell>
          <cell r="I1684">
            <v>34</v>
          </cell>
          <cell r="J1684">
            <v>1.3670607201193499E-4</v>
          </cell>
          <cell r="K1684">
            <v>911</v>
          </cell>
          <cell r="L1684">
            <v>509.33319093242301</v>
          </cell>
          <cell r="M1684">
            <v>1192</v>
          </cell>
          <cell r="N1684">
            <v>3.2911476976352903E-2</v>
          </cell>
          <cell r="O1684">
            <v>1408</v>
          </cell>
          <cell r="P1684">
            <v>0.05</v>
          </cell>
          <cell r="Q1684">
            <v>1962</v>
          </cell>
        </row>
        <row r="1685">
          <cell r="B1685" t="str">
            <v>LINCOLN 110195756</v>
          </cell>
          <cell r="C1685">
            <v>153701101</v>
          </cell>
          <cell r="D1685" t="str">
            <v>LINCOLN 1101</v>
          </cell>
          <cell r="E1685">
            <v>95756</v>
          </cell>
          <cell r="F1685" t="b">
            <v>0</v>
          </cell>
          <cell r="G1685">
            <v>29109.909251421199</v>
          </cell>
          <cell r="H1685">
            <v>11950.380426363299</v>
          </cell>
          <cell r="I1685">
            <v>200</v>
          </cell>
          <cell r="J1685">
            <v>7.02483770208656E-5</v>
          </cell>
          <cell r="K1685">
            <v>2461</v>
          </cell>
          <cell r="L1685">
            <v>1033.0935179798801</v>
          </cell>
          <cell r="M1685">
            <v>805</v>
          </cell>
          <cell r="N1685">
            <v>8.0379330347278802E-2</v>
          </cell>
          <cell r="O1685">
            <v>893</v>
          </cell>
          <cell r="P1685">
            <v>0.03</v>
          </cell>
          <cell r="Q1685">
            <v>2343</v>
          </cell>
        </row>
        <row r="1686">
          <cell r="B1686" t="str">
            <v>LINCOLN 11042070</v>
          </cell>
          <cell r="C1686">
            <v>153701104</v>
          </cell>
          <cell r="D1686" t="str">
            <v>LINCOLN 1104</v>
          </cell>
          <cell r="E1686">
            <v>2070</v>
          </cell>
          <cell r="F1686" t="b">
            <v>0</v>
          </cell>
          <cell r="G1686">
            <v>46879.118776845302</v>
          </cell>
          <cell r="H1686">
            <v>28951.643338817499</v>
          </cell>
          <cell r="I1686">
            <v>303</v>
          </cell>
          <cell r="J1686">
            <v>7.9200712358317896E-5</v>
          </cell>
          <cell r="K1686">
            <v>2227</v>
          </cell>
          <cell r="L1686">
            <v>1863.8371857500599</v>
          </cell>
          <cell r="M1686">
            <v>485</v>
          </cell>
          <cell r="N1686">
            <v>0.14110680214711299</v>
          </cell>
          <cell r="O1686">
            <v>568</v>
          </cell>
          <cell r="P1686">
            <v>2.76</v>
          </cell>
          <cell r="Q1686">
            <v>584</v>
          </cell>
        </row>
        <row r="1687">
          <cell r="B1687" t="str">
            <v>LINCOLN 11042072</v>
          </cell>
          <cell r="C1687">
            <v>153701104</v>
          </cell>
          <cell r="D1687" t="str">
            <v>LINCOLN 1104</v>
          </cell>
          <cell r="E1687">
            <v>2072</v>
          </cell>
          <cell r="F1687" t="b">
            <v>1</v>
          </cell>
          <cell r="G1687">
            <v>27455.566449314501</v>
          </cell>
          <cell r="H1687">
            <v>501.46682916237199</v>
          </cell>
          <cell r="I1687">
            <v>193</v>
          </cell>
          <cell r="J1687">
            <v>9.36991161885617E-5</v>
          </cell>
          <cell r="K1687">
            <v>1804</v>
          </cell>
          <cell r="L1687">
            <v>181.657477716199</v>
          </cell>
          <cell r="M1687">
            <v>1679</v>
          </cell>
          <cell r="N1687">
            <v>2.11971433551487E-2</v>
          </cell>
          <cell r="O1687">
            <v>1647</v>
          </cell>
          <cell r="P1687">
            <v>0.03</v>
          </cell>
          <cell r="Q1687">
            <v>2308</v>
          </cell>
        </row>
        <row r="1688">
          <cell r="B1688" t="str">
            <v>LINCOLN 1104275986</v>
          </cell>
          <cell r="C1688">
            <v>153701104</v>
          </cell>
          <cell r="D1688" t="str">
            <v>LINCOLN 1104</v>
          </cell>
          <cell r="E1688">
            <v>275986</v>
          </cell>
          <cell r="F1688" t="b">
            <v>1</v>
          </cell>
          <cell r="G1688">
            <v>934.58830882025995</v>
          </cell>
          <cell r="H1688">
            <v>934.58830882025995</v>
          </cell>
          <cell r="I1688">
            <v>5</v>
          </cell>
          <cell r="J1688">
            <v>8.2973866665270101E-5</v>
          </cell>
          <cell r="K1688">
            <v>2131</v>
          </cell>
          <cell r="L1688">
            <v>2938.8625157869701</v>
          </cell>
          <cell r="M1688">
            <v>283</v>
          </cell>
          <cell r="N1688">
            <v>0.26526403321347097</v>
          </cell>
          <cell r="O1688">
            <v>185</v>
          </cell>
          <cell r="Q1688">
            <v>3473</v>
          </cell>
        </row>
        <row r="1689">
          <cell r="B1689" t="str">
            <v>LINCOLN 110451756</v>
          </cell>
          <cell r="C1689">
            <v>153701104</v>
          </cell>
          <cell r="D1689" t="str">
            <v>LINCOLN 1104</v>
          </cell>
          <cell r="E1689">
            <v>51756</v>
          </cell>
          <cell r="F1689" t="b">
            <v>0</v>
          </cell>
          <cell r="G1689">
            <v>56082.310214264799</v>
          </cell>
          <cell r="H1689">
            <v>17440.805784742501</v>
          </cell>
          <cell r="I1689">
            <v>264</v>
          </cell>
          <cell r="J1689">
            <v>8.4998332043211897E-5</v>
          </cell>
          <cell r="K1689">
            <v>2060</v>
          </cell>
          <cell r="L1689">
            <v>1131.9938510701299</v>
          </cell>
          <cell r="M1689">
            <v>763</v>
          </cell>
          <cell r="N1689">
            <v>0.112515586887456</v>
          </cell>
          <cell r="O1689">
            <v>693</v>
          </cell>
          <cell r="P1689">
            <v>1.1499999999999999</v>
          </cell>
          <cell r="Q1689">
            <v>707</v>
          </cell>
        </row>
        <row r="1690">
          <cell r="B1690" t="str">
            <v>LINCOLN 11045391</v>
          </cell>
          <cell r="C1690">
            <v>153701104</v>
          </cell>
          <cell r="D1690" t="str">
            <v>LINCOLN 1104</v>
          </cell>
          <cell r="E1690">
            <v>5391</v>
          </cell>
          <cell r="F1690" t="b">
            <v>0</v>
          </cell>
          <cell r="G1690">
            <v>1530.18286107107</v>
          </cell>
          <cell r="H1690">
            <v>1530.18286107107</v>
          </cell>
          <cell r="I1690">
            <v>7</v>
          </cell>
          <cell r="J1690">
            <v>4.9283826748640897E-5</v>
          </cell>
          <cell r="K1690">
            <v>3055</v>
          </cell>
          <cell r="L1690">
            <v>2595.0682841863299</v>
          </cell>
          <cell r="M1690">
            <v>333</v>
          </cell>
          <cell r="N1690">
            <v>0.128678856770093</v>
          </cell>
          <cell r="O1690">
            <v>610</v>
          </cell>
          <cell r="P1690">
            <v>2.85</v>
          </cell>
          <cell r="Q1690">
            <v>575</v>
          </cell>
        </row>
        <row r="1691">
          <cell r="B1691" t="str">
            <v>LINCOLN 1104685276</v>
          </cell>
          <cell r="C1691">
            <v>153701104</v>
          </cell>
          <cell r="D1691" t="str">
            <v>LINCOLN 1104</v>
          </cell>
          <cell r="E1691">
            <v>685276</v>
          </cell>
          <cell r="F1691" t="b">
            <v>0</v>
          </cell>
          <cell r="G1691">
            <v>34821.965579108299</v>
          </cell>
          <cell r="H1691">
            <v>10432.386883092</v>
          </cell>
          <cell r="I1691">
            <v>216</v>
          </cell>
          <cell r="J1691">
            <v>7.8085518759698306E-5</v>
          </cell>
          <cell r="K1691">
            <v>2256</v>
          </cell>
          <cell r="L1691">
            <v>3212.4400661755999</v>
          </cell>
          <cell r="M1691">
            <v>238</v>
          </cell>
          <cell r="N1691">
            <v>0.242082143397438</v>
          </cell>
          <cell r="O1691">
            <v>230</v>
          </cell>
          <cell r="Q1691">
            <v>2761</v>
          </cell>
        </row>
        <row r="1692">
          <cell r="B1692" t="str">
            <v>LLAGAS 21011451</v>
          </cell>
          <cell r="C1692">
            <v>83182101</v>
          </cell>
          <cell r="D1692" t="str">
            <v>LLAGAS 2101</v>
          </cell>
          <cell r="E1692">
            <v>1451</v>
          </cell>
          <cell r="F1692" t="b">
            <v>0</v>
          </cell>
          <cell r="G1692">
            <v>14799.055146381799</v>
          </cell>
          <cell r="H1692">
            <v>9963.2756971690596</v>
          </cell>
          <cell r="I1692">
            <v>61</v>
          </cell>
          <cell r="J1692">
            <v>7.7841420291709505E-5</v>
          </cell>
          <cell r="K1692">
            <v>2264</v>
          </cell>
          <cell r="L1692">
            <v>590.71092606847503</v>
          </cell>
          <cell r="M1692">
            <v>1112</v>
          </cell>
          <cell r="N1692">
            <v>3.38102806523587E-2</v>
          </cell>
          <cell r="O1692">
            <v>1392</v>
          </cell>
          <cell r="P1692">
            <v>7.0000000000000007E-2</v>
          </cell>
          <cell r="Q1692">
            <v>1693</v>
          </cell>
        </row>
        <row r="1693">
          <cell r="B1693" t="str">
            <v>LLAGAS 21014523</v>
          </cell>
          <cell r="C1693">
            <v>83182101</v>
          </cell>
          <cell r="D1693" t="str">
            <v>LLAGAS 2101</v>
          </cell>
          <cell r="E1693">
            <v>4523</v>
          </cell>
          <cell r="F1693" t="b">
            <v>0</v>
          </cell>
          <cell r="G1693">
            <v>4420.7891694413001</v>
          </cell>
          <cell r="H1693">
            <v>1471.05880339907</v>
          </cell>
          <cell r="I1693">
            <v>28</v>
          </cell>
          <cell r="J1693">
            <v>9.5344942954917695E-5</v>
          </cell>
          <cell r="K1693">
            <v>1750</v>
          </cell>
          <cell r="L1693">
            <v>593.44465915619196</v>
          </cell>
          <cell r="M1693">
            <v>1109</v>
          </cell>
          <cell r="N1693">
            <v>5.7805924260599099E-2</v>
          </cell>
          <cell r="O1693">
            <v>1080</v>
          </cell>
          <cell r="Q1693">
            <v>3449</v>
          </cell>
        </row>
        <row r="1694">
          <cell r="B1694" t="str">
            <v>LLAGAS 2101587857</v>
          </cell>
          <cell r="C1694">
            <v>83182101</v>
          </cell>
          <cell r="D1694" t="str">
            <v>LLAGAS 2101</v>
          </cell>
          <cell r="E1694">
            <v>587857</v>
          </cell>
          <cell r="F1694" t="b">
            <v>1</v>
          </cell>
          <cell r="G1694">
            <v>3120.9827944369699</v>
          </cell>
          <cell r="H1694">
            <v>171.86214639867799</v>
          </cell>
          <cell r="I1694">
            <v>28</v>
          </cell>
          <cell r="J1694">
            <v>8.5670288171968396E-5</v>
          </cell>
          <cell r="K1694">
            <v>2038</v>
          </cell>
          <cell r="L1694">
            <v>73.850539235664201</v>
          </cell>
          <cell r="M1694">
            <v>2073</v>
          </cell>
          <cell r="N1694">
            <v>1.1943563899814999E-2</v>
          </cell>
          <cell r="O1694">
            <v>1886</v>
          </cell>
          <cell r="Q1694">
            <v>3211</v>
          </cell>
        </row>
        <row r="1695">
          <cell r="B1695" t="str">
            <v>LLAGAS 2101783467</v>
          </cell>
          <cell r="C1695">
            <v>83182101</v>
          </cell>
          <cell r="D1695" t="str">
            <v>LLAGAS 2101</v>
          </cell>
          <cell r="E1695">
            <v>783467</v>
          </cell>
          <cell r="F1695" t="b">
            <v>0</v>
          </cell>
          <cell r="G1695">
            <v>16521.495708397299</v>
          </cell>
          <cell r="H1695">
            <v>16448.609645800901</v>
          </cell>
          <cell r="I1695">
            <v>61</v>
          </cell>
          <cell r="J1695">
            <v>8.0180227580397407E-5</v>
          </cell>
          <cell r="K1695">
            <v>2201</v>
          </cell>
          <cell r="L1695">
            <v>245.17824532778599</v>
          </cell>
          <cell r="M1695">
            <v>1554</v>
          </cell>
          <cell r="N1695">
            <v>2.0784801117557299E-2</v>
          </cell>
          <cell r="O1695">
            <v>1655</v>
          </cell>
          <cell r="Q1695">
            <v>3145</v>
          </cell>
        </row>
        <row r="1696">
          <cell r="B1696" t="str">
            <v>LLAGAS 2101984552</v>
          </cell>
          <cell r="C1696">
            <v>83182101</v>
          </cell>
          <cell r="D1696" t="str">
            <v>LLAGAS 2101</v>
          </cell>
          <cell r="E1696">
            <v>984552</v>
          </cell>
          <cell r="F1696" t="b">
            <v>0</v>
          </cell>
          <cell r="G1696">
            <v>9221.3481045059198</v>
          </cell>
          <cell r="H1696">
            <v>7304.6851583977004</v>
          </cell>
          <cell r="I1696">
            <v>53</v>
          </cell>
          <cell r="J1696">
            <v>7.8725229338127701E-5</v>
          </cell>
          <cell r="K1696">
            <v>2243</v>
          </cell>
          <cell r="L1696">
            <v>1388.93272186799</v>
          </cell>
          <cell r="M1696">
            <v>642</v>
          </cell>
          <cell r="N1696">
            <v>8.7511401049732096E-2</v>
          </cell>
          <cell r="O1696">
            <v>841</v>
          </cell>
          <cell r="Q1696">
            <v>3254</v>
          </cell>
        </row>
        <row r="1697">
          <cell r="B1697" t="str">
            <v>LLAGAS 2101XR244</v>
          </cell>
          <cell r="C1697">
            <v>83182101</v>
          </cell>
          <cell r="D1697" t="str">
            <v>LLAGAS 2101</v>
          </cell>
          <cell r="E1697" t="str">
            <v>XR244</v>
          </cell>
          <cell r="F1697" t="b">
            <v>1</v>
          </cell>
          <cell r="G1697">
            <v>22757.8316677119</v>
          </cell>
          <cell r="H1697">
            <v>0</v>
          </cell>
          <cell r="I1697">
            <v>157</v>
          </cell>
          <cell r="J1697">
            <v>6.3756563503697904E-5</v>
          </cell>
          <cell r="K1697">
            <v>2654</v>
          </cell>
          <cell r="L1697">
            <v>15.2590738933557</v>
          </cell>
          <cell r="M1697">
            <v>2527</v>
          </cell>
          <cell r="N1697">
            <v>1.28249813354016E-3</v>
          </cell>
          <cell r="O1697">
            <v>2585</v>
          </cell>
          <cell r="P1697">
            <v>0.59</v>
          </cell>
          <cell r="Q1697">
            <v>855</v>
          </cell>
        </row>
        <row r="1698">
          <cell r="B1698" t="str">
            <v>LLAGAS 2101XR264</v>
          </cell>
          <cell r="C1698">
            <v>83182101</v>
          </cell>
          <cell r="D1698" t="str">
            <v>LLAGAS 2101</v>
          </cell>
          <cell r="E1698" t="str">
            <v>XR264</v>
          </cell>
          <cell r="F1698" t="b">
            <v>1</v>
          </cell>
          <cell r="G1698">
            <v>33068.069386928997</v>
          </cell>
          <cell r="H1698">
            <v>0</v>
          </cell>
          <cell r="I1698">
            <v>258</v>
          </cell>
          <cell r="J1698">
            <v>7.9579546479635596E-5</v>
          </cell>
          <cell r="K1698">
            <v>2219</v>
          </cell>
          <cell r="L1698">
            <v>168.572157814203</v>
          </cell>
          <cell r="M1698">
            <v>1723</v>
          </cell>
          <cell r="N1698">
            <v>1.17261962513648E-2</v>
          </cell>
          <cell r="O1698">
            <v>1891</v>
          </cell>
          <cell r="P1698">
            <v>0.77</v>
          </cell>
          <cell r="Q1698">
            <v>783</v>
          </cell>
        </row>
        <row r="1699">
          <cell r="B1699" t="str">
            <v>LLAGAS 2104603392</v>
          </cell>
          <cell r="C1699">
            <v>83182104</v>
          </cell>
          <cell r="D1699" t="str">
            <v>LLAGAS 2104</v>
          </cell>
          <cell r="E1699">
            <v>603392</v>
          </cell>
          <cell r="F1699" t="b">
            <v>0</v>
          </cell>
          <cell r="G1699">
            <v>5227.4341376508</v>
          </cell>
          <cell r="H1699">
            <v>4685.9835245416098</v>
          </cell>
          <cell r="I1699">
            <v>17</v>
          </cell>
          <cell r="J1699">
            <v>5.2363057286985302E-5</v>
          </cell>
          <cell r="K1699">
            <v>2983</v>
          </cell>
          <cell r="L1699">
            <v>1917.7993579379799</v>
          </cell>
          <cell r="M1699">
            <v>469</v>
          </cell>
          <cell r="N1699">
            <v>9.6621383003892905E-2</v>
          </cell>
          <cell r="O1699">
            <v>783</v>
          </cell>
          <cell r="Q1699">
            <v>3382</v>
          </cell>
        </row>
        <row r="1700">
          <cell r="B1700" t="str">
            <v>LLAGAS 2105154256</v>
          </cell>
          <cell r="C1700">
            <v>83182105</v>
          </cell>
          <cell r="D1700" t="str">
            <v>LLAGAS 2105</v>
          </cell>
          <cell r="E1700">
            <v>154256</v>
          </cell>
          <cell r="F1700" t="b">
            <v>1</v>
          </cell>
          <cell r="G1700">
            <v>446.52284890189202</v>
          </cell>
          <cell r="H1700">
            <v>430.60881949166702</v>
          </cell>
          <cell r="I1700">
            <v>2</v>
          </cell>
          <cell r="J1700">
            <v>1.17048199172131E-4</v>
          </cell>
          <cell r="K1700">
            <v>1248</v>
          </cell>
          <cell r="L1700">
            <v>293.42396640777503</v>
          </cell>
          <cell r="M1700">
            <v>1459</v>
          </cell>
          <cell r="N1700">
            <v>2.3318194686429601E-2</v>
          </cell>
          <cell r="O1700">
            <v>1593</v>
          </cell>
          <cell r="Q1700">
            <v>3510</v>
          </cell>
        </row>
        <row r="1701">
          <cell r="B1701" t="str">
            <v>LLAGAS 2105534019</v>
          </cell>
          <cell r="C1701">
            <v>83182105</v>
          </cell>
          <cell r="D1701" t="str">
            <v>LLAGAS 2105</v>
          </cell>
          <cell r="E1701">
            <v>534019</v>
          </cell>
          <cell r="F1701" t="b">
            <v>0</v>
          </cell>
          <cell r="G1701">
            <v>1193.5001127508001</v>
          </cell>
          <cell r="H1701">
            <v>1147.9573166791499</v>
          </cell>
          <cell r="I1701">
            <v>5</v>
          </cell>
          <cell r="J1701">
            <v>1.11097613989841E-4</v>
          </cell>
          <cell r="K1701">
            <v>1391</v>
          </cell>
          <cell r="L1701">
            <v>269.54944409429999</v>
          </cell>
          <cell r="M1701">
            <v>1499</v>
          </cell>
          <cell r="N1701">
            <v>2.9893154784585801E-2</v>
          </cell>
          <cell r="O1701">
            <v>1463</v>
          </cell>
          <cell r="Q1701">
            <v>3519</v>
          </cell>
        </row>
        <row r="1702">
          <cell r="B1702" t="str">
            <v>LLAGAS 2105XR234</v>
          </cell>
          <cell r="C1702">
            <v>83182105</v>
          </cell>
          <cell r="D1702" t="str">
            <v>LLAGAS 2105</v>
          </cell>
          <cell r="E1702" t="str">
            <v>XR234</v>
          </cell>
          <cell r="F1702" t="b">
            <v>1</v>
          </cell>
          <cell r="G1702">
            <v>1908.9722459588299</v>
          </cell>
          <cell r="H1702">
            <v>4.1246457618599699</v>
          </cell>
          <cell r="I1702">
            <v>26</v>
          </cell>
          <cell r="J1702">
            <v>4.1932054864446398E-5</v>
          </cell>
          <cell r="K1702">
            <v>3226</v>
          </cell>
          <cell r="L1702">
            <v>7.3799213692545802</v>
          </cell>
          <cell r="M1702">
            <v>2680</v>
          </cell>
          <cell r="N1702">
            <v>4.5563269434974901E-4</v>
          </cell>
          <cell r="O1702">
            <v>2746</v>
          </cell>
          <cell r="P1702">
            <v>0.03</v>
          </cell>
          <cell r="Q1702">
            <v>2236</v>
          </cell>
        </row>
        <row r="1703">
          <cell r="B1703" t="str">
            <v>LLAGAS 2106338878</v>
          </cell>
          <cell r="C1703">
            <v>83182106</v>
          </cell>
          <cell r="D1703" t="str">
            <v>LLAGAS 2106</v>
          </cell>
          <cell r="E1703">
            <v>338878</v>
          </cell>
          <cell r="F1703" t="b">
            <v>0</v>
          </cell>
          <cell r="G1703">
            <v>7522.30541246947</v>
          </cell>
          <cell r="H1703">
            <v>3300.0011738181902</v>
          </cell>
          <cell r="I1703">
            <v>23</v>
          </cell>
          <cell r="J1703">
            <v>6.6372785161212503E-5</v>
          </cell>
          <cell r="K1703">
            <v>2579</v>
          </cell>
          <cell r="L1703">
            <v>72.112815570412806</v>
          </cell>
          <cell r="M1703">
            <v>2083</v>
          </cell>
          <cell r="N1703">
            <v>3.6202716141944401E-3</v>
          </cell>
          <cell r="O1703">
            <v>2285</v>
          </cell>
          <cell r="Q1703">
            <v>3067</v>
          </cell>
        </row>
        <row r="1704">
          <cell r="B1704" t="str">
            <v>LLAGAS 2107250129</v>
          </cell>
          <cell r="C1704">
            <v>83182107</v>
          </cell>
          <cell r="D1704" t="str">
            <v>LLAGAS 2107</v>
          </cell>
          <cell r="E1704">
            <v>250129</v>
          </cell>
          <cell r="F1704" t="b">
            <v>1</v>
          </cell>
          <cell r="G1704">
            <v>467.99890860086401</v>
          </cell>
          <cell r="H1704">
            <v>401.67280756749602</v>
          </cell>
          <cell r="I1704">
            <v>5</v>
          </cell>
          <cell r="J1704">
            <v>1.57453125575557E-4</v>
          </cell>
          <cell r="K1704">
            <v>668</v>
          </cell>
          <cell r="L1704">
            <v>6.6431909799575806E-2</v>
          </cell>
          <cell r="M1704">
            <v>2964</v>
          </cell>
          <cell r="N1704">
            <v>1.04599118358967E-5</v>
          </cell>
          <cell r="O1704">
            <v>3059</v>
          </cell>
          <cell r="Q1704">
            <v>3307</v>
          </cell>
        </row>
        <row r="1705">
          <cell r="B1705" t="str">
            <v>LLAGAS 2107870396</v>
          </cell>
          <cell r="C1705">
            <v>83182107</v>
          </cell>
          <cell r="D1705" t="str">
            <v>LLAGAS 2107</v>
          </cell>
          <cell r="E1705">
            <v>870396</v>
          </cell>
          <cell r="F1705" t="b">
            <v>0</v>
          </cell>
          <cell r="G1705">
            <v>4752.0973164587003</v>
          </cell>
          <cell r="H1705">
            <v>1326.4883659424099</v>
          </cell>
          <cell r="I1705">
            <v>40</v>
          </cell>
          <cell r="J1705">
            <v>7.7997246853556102E-5</v>
          </cell>
          <cell r="K1705">
            <v>2259</v>
          </cell>
          <cell r="L1705">
            <v>529.87354465126896</v>
          </cell>
          <cell r="M1705">
            <v>1173</v>
          </cell>
          <cell r="N1705">
            <v>3.6327474380040997E-2</v>
          </cell>
          <cell r="O1705">
            <v>1349</v>
          </cell>
          <cell r="Q1705">
            <v>3499</v>
          </cell>
        </row>
        <row r="1706">
          <cell r="B1706" t="str">
            <v>LLAGAS 2107XR178</v>
          </cell>
          <cell r="C1706">
            <v>83182107</v>
          </cell>
          <cell r="D1706" t="str">
            <v>LLAGAS 2107</v>
          </cell>
          <cell r="E1706" t="str">
            <v>XR178</v>
          </cell>
          <cell r="F1706" t="b">
            <v>0</v>
          </cell>
          <cell r="G1706">
            <v>20866.192793775699</v>
          </cell>
          <cell r="H1706">
            <v>9493.9491348677693</v>
          </cell>
          <cell r="I1706">
            <v>138</v>
          </cell>
          <cell r="J1706">
            <v>8.7818442085810307E-5</v>
          </cell>
          <cell r="K1706">
            <v>1989</v>
          </cell>
          <cell r="L1706">
            <v>483.512814182086</v>
          </cell>
          <cell r="M1706">
            <v>1211</v>
          </cell>
          <cell r="N1706">
            <v>4.68300337699942E-2</v>
          </cell>
          <cell r="O1706">
            <v>1215</v>
          </cell>
          <cell r="P1706">
            <v>0.94</v>
          </cell>
          <cell r="Q1706">
            <v>744</v>
          </cell>
        </row>
        <row r="1707">
          <cell r="B1707" t="str">
            <v>LLAGAS 2107XR188</v>
          </cell>
          <cell r="C1707">
            <v>83182107</v>
          </cell>
          <cell r="D1707" t="str">
            <v>LLAGAS 2107</v>
          </cell>
          <cell r="E1707" t="str">
            <v>XR188</v>
          </cell>
          <cell r="F1707" t="b">
            <v>1</v>
          </cell>
          <cell r="G1707">
            <v>5000.7033946846404</v>
          </cell>
          <cell r="H1707">
            <v>608.15104624218202</v>
          </cell>
          <cell r="I1707">
            <v>43</v>
          </cell>
          <cell r="J1707">
            <v>1.02658514195008E-4</v>
          </cell>
          <cell r="K1707">
            <v>1579</v>
          </cell>
          <cell r="L1707">
            <v>145.353106584833</v>
          </cell>
          <cell r="M1707">
            <v>1791</v>
          </cell>
          <cell r="N1707">
            <v>2.55962266245277E-2</v>
          </cell>
          <cell r="O1707">
            <v>1544</v>
          </cell>
          <cell r="P1707">
            <v>0.05</v>
          </cell>
          <cell r="Q1707">
            <v>1999</v>
          </cell>
        </row>
        <row r="1708">
          <cell r="B1708" t="str">
            <v>LOGAN CREEK 2102795010</v>
          </cell>
          <cell r="C1708">
            <v>103142102</v>
          </cell>
          <cell r="D1708" t="str">
            <v>LOGAN CREEK 2102</v>
          </cell>
          <cell r="E1708">
            <v>795010</v>
          </cell>
          <cell r="F1708" t="b">
            <v>0</v>
          </cell>
          <cell r="G1708">
            <v>6022.8067772392897</v>
          </cell>
          <cell r="H1708">
            <v>5964.9275849780097</v>
          </cell>
          <cell r="I1708">
            <v>12</v>
          </cell>
          <cell r="J1708">
            <v>3.8041870456336998E-5</v>
          </cell>
          <cell r="K1708">
            <v>3300</v>
          </cell>
          <cell r="L1708">
            <v>5006.5634672360602</v>
          </cell>
          <cell r="M1708">
            <v>76</v>
          </cell>
          <cell r="N1708">
            <v>0.18504913874484299</v>
          </cell>
          <cell r="O1708">
            <v>388</v>
          </cell>
          <cell r="Q1708">
            <v>3401</v>
          </cell>
        </row>
        <row r="1709">
          <cell r="B1709" t="str">
            <v>LONE TREE 210521210</v>
          </cell>
          <cell r="C1709">
            <v>13232105</v>
          </cell>
          <cell r="D1709" t="str">
            <v>LONE TREE 2105</v>
          </cell>
          <cell r="E1709">
            <v>21210</v>
          </cell>
          <cell r="F1709" t="b">
            <v>0</v>
          </cell>
          <cell r="G1709">
            <v>26056.9930876832</v>
          </cell>
          <cell r="H1709">
            <v>20686.237698961901</v>
          </cell>
          <cell r="I1709">
            <v>111</v>
          </cell>
          <cell r="J1709">
            <v>5.4908290175657303E-5</v>
          </cell>
          <cell r="K1709">
            <v>2916</v>
          </cell>
          <cell r="L1709">
            <v>4309.2408166145997</v>
          </cell>
          <cell r="M1709">
            <v>126</v>
          </cell>
          <cell r="N1709">
            <v>0.20895786310870401</v>
          </cell>
          <cell r="O1709">
            <v>310</v>
          </cell>
          <cell r="P1709">
            <v>0.06</v>
          </cell>
          <cell r="Q1709">
            <v>1808</v>
          </cell>
        </row>
        <row r="1710">
          <cell r="B1710" t="str">
            <v>LOS COCHES 1101625902</v>
          </cell>
          <cell r="C1710">
            <v>182151101</v>
          </cell>
          <cell r="D1710" t="str">
            <v>LOS COCHES 1101</v>
          </cell>
          <cell r="E1710">
            <v>625902</v>
          </cell>
          <cell r="F1710" t="b">
            <v>0</v>
          </cell>
          <cell r="G1710">
            <v>9066.5476554102206</v>
          </cell>
          <cell r="H1710">
            <v>4214.4265944650397</v>
          </cell>
          <cell r="I1710">
            <v>26</v>
          </cell>
          <cell r="J1710">
            <v>5.2521019567749399E-5</v>
          </cell>
          <cell r="K1710">
            <v>2981</v>
          </cell>
          <cell r="L1710">
            <v>97.958785884965593</v>
          </cell>
          <cell r="M1710">
            <v>1969</v>
          </cell>
          <cell r="N1710">
            <v>8.9146746979194402E-3</v>
          </cell>
          <cell r="O1710">
            <v>2006</v>
          </cell>
          <cell r="Q1710">
            <v>2735</v>
          </cell>
        </row>
        <row r="1711">
          <cell r="B1711" t="str">
            <v>LOS GATOS 1101184035</v>
          </cell>
          <cell r="C1711">
            <v>82021101</v>
          </cell>
          <cell r="D1711" t="str">
            <v>LOS GATOS 1101</v>
          </cell>
          <cell r="E1711">
            <v>184035</v>
          </cell>
          <cell r="F1711" t="b">
            <v>1</v>
          </cell>
          <cell r="G1711">
            <v>995.77745856671299</v>
          </cell>
          <cell r="H1711">
            <v>905.93599115277095</v>
          </cell>
          <cell r="I1711">
            <v>9</v>
          </cell>
          <cell r="J1711">
            <v>9.1457030470741695E-5</v>
          </cell>
          <cell r="K1711">
            <v>1859</v>
          </cell>
          <cell r="L1711">
            <v>6.6289140946335201E-2</v>
          </cell>
          <cell r="M1711">
            <v>3152</v>
          </cell>
          <cell r="N1711">
            <v>6.0720745934605601E-6</v>
          </cell>
          <cell r="O1711">
            <v>3203</v>
          </cell>
          <cell r="Q1711">
            <v>3118</v>
          </cell>
        </row>
        <row r="1712">
          <cell r="B1712" t="str">
            <v>LOS GATOS 1101206248</v>
          </cell>
          <cell r="C1712">
            <v>82021101</v>
          </cell>
          <cell r="D1712" t="str">
            <v>LOS GATOS 1101</v>
          </cell>
          <cell r="E1712">
            <v>206248</v>
          </cell>
          <cell r="F1712" t="b">
            <v>1</v>
          </cell>
          <cell r="G1712">
            <v>893.30869956243805</v>
          </cell>
          <cell r="H1712">
            <v>83.003927623963506</v>
          </cell>
          <cell r="I1712">
            <v>10</v>
          </cell>
          <cell r="J1712">
            <v>3.8949678310018501E-5</v>
          </cell>
          <cell r="K1712">
            <v>3288</v>
          </cell>
          <cell r="L1712">
            <v>6.5403974056243902E-2</v>
          </cell>
          <cell r="M1712">
            <v>3414</v>
          </cell>
          <cell r="N1712">
            <v>2.5435239181142902E-6</v>
          </cell>
          <cell r="O1712">
            <v>3461</v>
          </cell>
          <cell r="Q1712">
            <v>3179</v>
          </cell>
        </row>
        <row r="1713">
          <cell r="B1713" t="str">
            <v>LOS GATOS 1101502026</v>
          </cell>
          <cell r="C1713">
            <v>82021101</v>
          </cell>
          <cell r="D1713" t="str">
            <v>LOS GATOS 1101</v>
          </cell>
          <cell r="E1713">
            <v>502026</v>
          </cell>
          <cell r="F1713" t="b">
            <v>1</v>
          </cell>
          <cell r="G1713">
            <v>1729.63854636721</v>
          </cell>
          <cell r="H1713">
            <v>180.53929069447</v>
          </cell>
          <cell r="I1713">
            <v>17</v>
          </cell>
          <cell r="J1713">
            <v>5.2047943320169799E-5</v>
          </cell>
          <cell r="K1713">
            <v>2992</v>
          </cell>
          <cell r="L1713">
            <v>6.5373740652028195E-2</v>
          </cell>
          <cell r="M1713">
            <v>3427</v>
          </cell>
          <cell r="N1713">
            <v>3.40236043548835E-6</v>
          </cell>
          <cell r="O1713">
            <v>3374</v>
          </cell>
          <cell r="Q1713">
            <v>3302</v>
          </cell>
        </row>
        <row r="1714">
          <cell r="B1714" t="str">
            <v>LOS GATOS 110160052</v>
          </cell>
          <cell r="C1714">
            <v>82021101</v>
          </cell>
          <cell r="D1714" t="str">
            <v>LOS GATOS 1101</v>
          </cell>
          <cell r="E1714">
            <v>60052</v>
          </cell>
          <cell r="F1714" t="b">
            <v>0</v>
          </cell>
          <cell r="G1714">
            <v>3169.0096736321698</v>
          </cell>
          <cell r="H1714">
            <v>3169.0096736321698</v>
          </cell>
          <cell r="I1714">
            <v>28</v>
          </cell>
          <cell r="J1714">
            <v>1.17481333940564E-4</v>
          </cell>
          <cell r="K1714">
            <v>1236</v>
          </cell>
          <cell r="L1714">
            <v>6.6431588658315902E-2</v>
          </cell>
          <cell r="M1714">
            <v>3001</v>
          </cell>
          <cell r="N1714">
            <v>7.8044729774258595E-6</v>
          </cell>
          <cell r="O1714">
            <v>3131</v>
          </cell>
          <cell r="P1714">
            <v>0.05</v>
          </cell>
          <cell r="Q1714">
            <v>1976</v>
          </cell>
        </row>
        <row r="1715">
          <cell r="B1715" t="str">
            <v>LOS GATOS 110160136</v>
          </cell>
          <cell r="C1715">
            <v>82021101</v>
          </cell>
          <cell r="D1715" t="str">
            <v>LOS GATOS 1101</v>
          </cell>
          <cell r="E1715">
            <v>60136</v>
          </cell>
          <cell r="F1715" t="b">
            <v>1</v>
          </cell>
          <cell r="G1715">
            <v>6522.6172317498203</v>
          </cell>
          <cell r="H1715">
            <v>0</v>
          </cell>
          <cell r="I1715">
            <v>57</v>
          </cell>
          <cell r="J1715">
            <v>3.4156459294440299E-5</v>
          </cell>
          <cell r="K1715">
            <v>3367</v>
          </cell>
          <cell r="L1715">
            <v>6.5146990120410905E-2</v>
          </cell>
          <cell r="M1715">
            <v>3622</v>
          </cell>
          <cell r="N1715">
            <v>2.2251905162031098E-6</v>
          </cell>
          <cell r="O1715">
            <v>3489</v>
          </cell>
          <cell r="Q1715">
            <v>2829</v>
          </cell>
        </row>
        <row r="1716">
          <cell r="B1716" t="str">
            <v>LOS GATOS 1101950286</v>
          </cell>
          <cell r="C1716">
            <v>82021101</v>
          </cell>
          <cell r="D1716" t="str">
            <v>LOS GATOS 1101</v>
          </cell>
          <cell r="E1716">
            <v>950286</v>
          </cell>
          <cell r="F1716" t="b">
            <v>0</v>
          </cell>
          <cell r="G1716">
            <v>1710.79952677048</v>
          </cell>
          <cell r="H1716">
            <v>1710.79952677048</v>
          </cell>
          <cell r="I1716">
            <v>17</v>
          </cell>
          <cell r="J1716">
            <v>4.91103161467061E-5</v>
          </cell>
          <cell r="K1716">
            <v>3061</v>
          </cell>
          <cell r="L1716">
            <v>6.6431909799575806E-2</v>
          </cell>
          <cell r="M1716">
            <v>2974</v>
          </cell>
          <cell r="N1716">
            <v>3.26249209248663E-6</v>
          </cell>
          <cell r="O1716">
            <v>3385</v>
          </cell>
          <cell r="Q1716">
            <v>3046</v>
          </cell>
        </row>
        <row r="1717">
          <cell r="B1717" t="str">
            <v>LOS GATOS 1101CB</v>
          </cell>
          <cell r="C1717">
            <v>82021101</v>
          </cell>
          <cell r="D1717" t="str">
            <v>LOS GATOS 1101</v>
          </cell>
          <cell r="E1717" t="str">
            <v>CB</v>
          </cell>
          <cell r="F1717" t="b">
            <v>1</v>
          </cell>
          <cell r="G1717">
            <v>3679.7789869892499</v>
          </cell>
          <cell r="H1717">
            <v>47.652367837477797</v>
          </cell>
          <cell r="I1717">
            <v>34</v>
          </cell>
          <cell r="J1717">
            <v>4.81232606640939E-5</v>
          </cell>
          <cell r="K1717">
            <v>3090</v>
          </cell>
          <cell r="L1717">
            <v>6.51847818756804E-2</v>
          </cell>
          <cell r="M1717">
            <v>3530</v>
          </cell>
          <cell r="N1717">
            <v>3.1364358949218299E-6</v>
          </cell>
          <cell r="O1717">
            <v>3396</v>
          </cell>
          <cell r="P1717">
            <v>0.03</v>
          </cell>
          <cell r="Q1717">
            <v>2233</v>
          </cell>
        </row>
        <row r="1718">
          <cell r="B1718" t="str">
            <v>LOS GATOS 1101LB40</v>
          </cell>
          <cell r="C1718">
            <v>82021101</v>
          </cell>
          <cell r="D1718" t="str">
            <v>LOS GATOS 1101</v>
          </cell>
          <cell r="E1718" t="str">
            <v>LB40</v>
          </cell>
          <cell r="F1718" t="b">
            <v>0</v>
          </cell>
          <cell r="G1718">
            <v>14924.9201274646</v>
          </cell>
          <cell r="H1718">
            <v>13714.1211562793</v>
          </cell>
          <cell r="I1718">
            <v>131</v>
          </cell>
          <cell r="J1718">
            <v>7.5710452043869898E-5</v>
          </cell>
          <cell r="K1718">
            <v>2314</v>
          </cell>
          <cell r="L1718">
            <v>4.7844390119083702</v>
          </cell>
          <cell r="M1718">
            <v>2761</v>
          </cell>
          <cell r="N1718">
            <v>3.2354414020325801E-4</v>
          </cell>
          <cell r="O1718">
            <v>2787</v>
          </cell>
          <cell r="P1718">
            <v>0.15</v>
          </cell>
          <cell r="Q1718">
            <v>1298</v>
          </cell>
        </row>
        <row r="1719">
          <cell r="B1719" t="str">
            <v>LOS GATOS 1102526868</v>
          </cell>
          <cell r="C1719">
            <v>82021102</v>
          </cell>
          <cell r="D1719" t="str">
            <v>LOS GATOS 1102</v>
          </cell>
          <cell r="E1719">
            <v>526868</v>
          </cell>
          <cell r="F1719" t="b">
            <v>0</v>
          </cell>
          <cell r="G1719">
            <v>2061.1443452540102</v>
          </cell>
          <cell r="H1719">
            <v>1780.51654809703</v>
          </cell>
          <cell r="I1719">
            <v>20</v>
          </cell>
          <cell r="J1719">
            <v>5.6771582421788399E-5</v>
          </cell>
          <cell r="K1719">
            <v>2867</v>
          </cell>
          <cell r="L1719">
            <v>6.6239171847701006E-2</v>
          </cell>
          <cell r="M1719">
            <v>3165</v>
          </cell>
          <cell r="N1719">
            <v>3.7613694080036601E-6</v>
          </cell>
          <cell r="O1719">
            <v>3349</v>
          </cell>
          <cell r="Q1719">
            <v>2663</v>
          </cell>
        </row>
        <row r="1720">
          <cell r="B1720" t="str">
            <v>LOS GATOS 1102CB</v>
          </cell>
          <cell r="C1720">
            <v>82021102</v>
          </cell>
          <cell r="D1720" t="str">
            <v>LOS GATOS 1102</v>
          </cell>
          <cell r="E1720" t="str">
            <v>CB</v>
          </cell>
          <cell r="F1720" t="b">
            <v>1</v>
          </cell>
          <cell r="G1720">
            <v>7506.1649675971303</v>
          </cell>
          <cell r="H1720">
            <v>0</v>
          </cell>
          <cell r="I1720">
            <v>70</v>
          </cell>
          <cell r="J1720">
            <v>3.0936387903628702E-5</v>
          </cell>
          <cell r="K1720">
            <v>3418</v>
          </cell>
          <cell r="L1720">
            <v>6.5146990120410905E-2</v>
          </cell>
          <cell r="M1720">
            <v>3616</v>
          </cell>
          <cell r="N1720">
            <v>2.0154125571188899E-6</v>
          </cell>
          <cell r="O1720">
            <v>3509</v>
          </cell>
          <cell r="P1720">
            <v>0.05</v>
          </cell>
          <cell r="Q1720">
            <v>2064</v>
          </cell>
        </row>
        <row r="1721">
          <cell r="B1721" t="str">
            <v>LOS GATOS 110660116</v>
          </cell>
          <cell r="C1721">
            <v>82021106</v>
          </cell>
          <cell r="D1721" t="str">
            <v>LOS GATOS 1106</v>
          </cell>
          <cell r="E1721">
            <v>60116</v>
          </cell>
          <cell r="F1721" t="b">
            <v>0</v>
          </cell>
          <cell r="G1721">
            <v>19634.1928033105</v>
          </cell>
          <cell r="H1721">
            <v>19634.1928033105</v>
          </cell>
          <cell r="I1721">
            <v>151</v>
          </cell>
          <cell r="J1721">
            <v>2.0010939731838101E-4</v>
          </cell>
          <cell r="K1721">
            <v>397</v>
          </cell>
          <cell r="L1721">
            <v>4.94680389093421</v>
          </cell>
          <cell r="M1721">
            <v>2757</v>
          </cell>
          <cell r="N1721">
            <v>9.5504793935836496E-4</v>
          </cell>
          <cell r="O1721">
            <v>2646</v>
          </cell>
          <cell r="P1721">
            <v>0.89</v>
          </cell>
          <cell r="Q1721">
            <v>751</v>
          </cell>
        </row>
        <row r="1722">
          <cell r="B1722" t="str">
            <v>LOS GATOS 1106697500</v>
          </cell>
          <cell r="C1722">
            <v>82021106</v>
          </cell>
          <cell r="D1722" t="str">
            <v>LOS GATOS 1106</v>
          </cell>
          <cell r="E1722">
            <v>697500</v>
          </cell>
          <cell r="F1722" t="b">
            <v>0</v>
          </cell>
          <cell r="G1722">
            <v>10836.647378920599</v>
          </cell>
          <cell r="H1722">
            <v>10836.647378920599</v>
          </cell>
          <cell r="I1722">
            <v>74</v>
          </cell>
          <cell r="J1722">
            <v>1.7367993274780701E-4</v>
          </cell>
          <cell r="K1722">
            <v>536</v>
          </cell>
          <cell r="L1722">
            <v>8.0975243543192494</v>
          </cell>
          <cell r="M1722">
            <v>2667</v>
          </cell>
          <cell r="N1722">
            <v>1.9029435446207301E-3</v>
          </cell>
          <cell r="O1722">
            <v>2489</v>
          </cell>
          <cell r="Q1722">
            <v>3178</v>
          </cell>
        </row>
        <row r="1723">
          <cell r="B1723" t="str">
            <v>LOS GATOS 1106CB</v>
          </cell>
          <cell r="C1723">
            <v>82021106</v>
          </cell>
          <cell r="D1723" t="str">
            <v>LOS GATOS 1106</v>
          </cell>
          <cell r="E1723" t="str">
            <v>CB</v>
          </cell>
          <cell r="F1723" t="b">
            <v>1</v>
          </cell>
          <cell r="G1723">
            <v>1170.6002670308901</v>
          </cell>
          <cell r="H1723">
            <v>164.25231019796701</v>
          </cell>
          <cell r="I1723">
            <v>11</v>
          </cell>
          <cell r="J1723">
            <v>4.0345801789953801E-5</v>
          </cell>
          <cell r="K1723">
            <v>3259</v>
          </cell>
          <cell r="L1723">
            <v>6.5497422760183097E-2</v>
          </cell>
          <cell r="M1723">
            <v>3371</v>
          </cell>
          <cell r="N1723">
            <v>2.65102842622662E-6</v>
          </cell>
          <cell r="O1723">
            <v>3448</v>
          </cell>
          <cell r="P1723">
            <v>0.27</v>
          </cell>
          <cell r="Q1723">
            <v>1059</v>
          </cell>
        </row>
        <row r="1724">
          <cell r="B1724" t="str">
            <v>LOS GATOS 1106LA42</v>
          </cell>
          <cell r="C1724">
            <v>82021106</v>
          </cell>
          <cell r="D1724" t="str">
            <v>LOS GATOS 1106</v>
          </cell>
          <cell r="E1724" t="str">
            <v>LA42</v>
          </cell>
          <cell r="F1724" t="b">
            <v>0</v>
          </cell>
          <cell r="G1724">
            <v>4459.4554471551601</v>
          </cell>
          <cell r="H1724">
            <v>4459.4554471551601</v>
          </cell>
          <cell r="I1724">
            <v>35</v>
          </cell>
          <cell r="J1724">
            <v>2.17518404159428E-4</v>
          </cell>
          <cell r="K1724">
            <v>329</v>
          </cell>
          <cell r="L1724">
            <v>6.6431229729116206E-2</v>
          </cell>
          <cell r="M1724">
            <v>3062</v>
          </cell>
          <cell r="N1724">
            <v>1.44500150770257E-5</v>
          </cell>
          <cell r="O1724">
            <v>3015</v>
          </cell>
          <cell r="P1724">
            <v>0.48</v>
          </cell>
          <cell r="Q1724">
            <v>904</v>
          </cell>
        </row>
        <row r="1725">
          <cell r="B1725" t="str">
            <v>LOS GATOS 1106LA46</v>
          </cell>
          <cell r="C1725">
            <v>82021106</v>
          </cell>
          <cell r="D1725" t="str">
            <v>LOS GATOS 1106</v>
          </cell>
          <cell r="E1725" t="str">
            <v>LA46</v>
          </cell>
          <cell r="F1725" t="b">
            <v>0</v>
          </cell>
          <cell r="G1725">
            <v>2411.7924563820002</v>
          </cell>
          <cell r="H1725">
            <v>2411.7924563820002</v>
          </cell>
          <cell r="I1725">
            <v>20</v>
          </cell>
          <cell r="J1725">
            <v>1.7602464940864499E-4</v>
          </cell>
          <cell r="K1725">
            <v>522</v>
          </cell>
          <cell r="L1725">
            <v>6.6431229729116206E-2</v>
          </cell>
          <cell r="M1725">
            <v>3058</v>
          </cell>
          <cell r="N1725">
            <v>1.16935339228529E-5</v>
          </cell>
          <cell r="O1725">
            <v>3037</v>
          </cell>
          <cell r="P1725">
            <v>19.55</v>
          </cell>
          <cell r="Q1725">
            <v>311</v>
          </cell>
        </row>
        <row r="1726">
          <cell r="B1726" t="str">
            <v>LOS GATOS 1106LA64</v>
          </cell>
          <cell r="C1726">
            <v>82021106</v>
          </cell>
          <cell r="D1726" t="str">
            <v>LOS GATOS 1106</v>
          </cell>
          <cell r="E1726" t="str">
            <v>LA64</v>
          </cell>
          <cell r="F1726" t="b">
            <v>0</v>
          </cell>
          <cell r="G1726">
            <v>20425.5787664583</v>
          </cell>
          <cell r="H1726">
            <v>20425.5787664583</v>
          </cell>
          <cell r="I1726">
            <v>152</v>
          </cell>
          <cell r="J1726">
            <v>2.4136766844668701E-4</v>
          </cell>
          <cell r="K1726">
            <v>243</v>
          </cell>
          <cell r="L1726">
            <v>12.4216873528578</v>
          </cell>
          <cell r="M1726">
            <v>2580</v>
          </cell>
          <cell r="N1726">
            <v>2.9683956262721201E-3</v>
          </cell>
          <cell r="O1726">
            <v>2356</v>
          </cell>
          <cell r="P1726">
            <v>0.94</v>
          </cell>
          <cell r="Q1726">
            <v>741</v>
          </cell>
        </row>
        <row r="1727">
          <cell r="B1727" t="str">
            <v>LOS GATOS 1106LB44</v>
          </cell>
          <cell r="C1727">
            <v>82021106</v>
          </cell>
          <cell r="D1727" t="str">
            <v>LOS GATOS 1106</v>
          </cell>
          <cell r="E1727" t="str">
            <v>LB44</v>
          </cell>
          <cell r="F1727" t="b">
            <v>0</v>
          </cell>
          <cell r="G1727">
            <v>31139.872612353702</v>
          </cell>
          <cell r="H1727">
            <v>31139.872612353702</v>
          </cell>
          <cell r="I1727">
            <v>213</v>
          </cell>
          <cell r="J1727">
            <v>1.4638886947034201E-4</v>
          </cell>
          <cell r="K1727">
            <v>783</v>
          </cell>
          <cell r="L1727">
            <v>100.851621353764</v>
          </cell>
          <cell r="M1727">
            <v>1950</v>
          </cell>
          <cell r="N1727">
            <v>1.2498918349547E-2</v>
          </cell>
          <cell r="O1727">
            <v>1864</v>
          </cell>
          <cell r="P1727">
            <v>1.29</v>
          </cell>
          <cell r="Q1727">
            <v>690</v>
          </cell>
        </row>
        <row r="1728">
          <cell r="B1728" t="str">
            <v>LOS GATOS 1106LB48</v>
          </cell>
          <cell r="C1728">
            <v>82021106</v>
          </cell>
          <cell r="D1728" t="str">
            <v>LOS GATOS 1106</v>
          </cell>
          <cell r="E1728" t="str">
            <v>LB48</v>
          </cell>
          <cell r="F1728" t="b">
            <v>0</v>
          </cell>
          <cell r="G1728">
            <v>23668.374035717501</v>
          </cell>
          <cell r="H1728">
            <v>23668.374035717501</v>
          </cell>
          <cell r="I1728">
            <v>142</v>
          </cell>
          <cell r="J1728">
            <v>1.4120265673932001E-4</v>
          </cell>
          <cell r="K1728">
            <v>849</v>
          </cell>
          <cell r="L1728">
            <v>89.797969889126094</v>
          </cell>
          <cell r="M1728">
            <v>2000</v>
          </cell>
          <cell r="N1728">
            <v>1.2757338253069499E-2</v>
          </cell>
          <cell r="O1728">
            <v>1851</v>
          </cell>
          <cell r="P1728">
            <v>0.79</v>
          </cell>
          <cell r="Q1728">
            <v>776</v>
          </cell>
        </row>
        <row r="1729">
          <cell r="B1729" t="str">
            <v>LOS GATOS 110712041</v>
          </cell>
          <cell r="C1729">
            <v>82021107</v>
          </cell>
          <cell r="D1729" t="str">
            <v>LOS GATOS 1107</v>
          </cell>
          <cell r="E1729">
            <v>12041</v>
          </cell>
          <cell r="F1729" t="b">
            <v>0</v>
          </cell>
          <cell r="G1729">
            <v>10143.785134662299</v>
          </cell>
          <cell r="H1729">
            <v>10143.785134662299</v>
          </cell>
          <cell r="I1729">
            <v>65</v>
          </cell>
          <cell r="J1729">
            <v>1.3198250089772E-4</v>
          </cell>
          <cell r="K1729">
            <v>985</v>
          </cell>
          <cell r="L1729">
            <v>5.1865841046046199</v>
          </cell>
          <cell r="M1729">
            <v>2743</v>
          </cell>
          <cell r="N1729">
            <v>5.9296744491201697E-4</v>
          </cell>
          <cell r="O1729">
            <v>2710</v>
          </cell>
          <cell r="P1729">
            <v>30.78</v>
          </cell>
          <cell r="Q1729">
            <v>234</v>
          </cell>
        </row>
        <row r="1730">
          <cell r="B1730" t="str">
            <v>LOS GATOS 110760024</v>
          </cell>
          <cell r="C1730">
            <v>82021107</v>
          </cell>
          <cell r="D1730" t="str">
            <v>LOS GATOS 1107</v>
          </cell>
          <cell r="E1730">
            <v>60024</v>
          </cell>
          <cell r="F1730" t="b">
            <v>0</v>
          </cell>
          <cell r="G1730">
            <v>6398.0406892177698</v>
          </cell>
          <cell r="H1730">
            <v>6398.0406892177698</v>
          </cell>
          <cell r="I1730">
            <v>27</v>
          </cell>
          <cell r="J1730">
            <v>8.4330334815334597E-5</v>
          </cell>
          <cell r="K1730">
            <v>2081</v>
          </cell>
          <cell r="L1730">
            <v>118.047139608693</v>
          </cell>
          <cell r="M1730">
            <v>1880</v>
          </cell>
          <cell r="N1730">
            <v>1.0381130113777901E-2</v>
          </cell>
          <cell r="O1730">
            <v>1942</v>
          </cell>
          <cell r="P1730">
            <v>22.82</v>
          </cell>
          <cell r="Q1730">
            <v>292</v>
          </cell>
        </row>
        <row r="1731">
          <cell r="B1731" t="str">
            <v>LOS GATOS 110760092</v>
          </cell>
          <cell r="C1731">
            <v>82021107</v>
          </cell>
          <cell r="D1731" t="str">
            <v>LOS GATOS 1107</v>
          </cell>
          <cell r="E1731">
            <v>60092</v>
          </cell>
          <cell r="F1731" t="b">
            <v>0</v>
          </cell>
          <cell r="G1731">
            <v>15629.1335963806</v>
          </cell>
          <cell r="H1731">
            <v>15629.1335963806</v>
          </cell>
          <cell r="I1731">
            <v>108</v>
          </cell>
          <cell r="J1731">
            <v>1.97311475161445E-4</v>
          </cell>
          <cell r="K1731">
            <v>408</v>
          </cell>
          <cell r="L1731">
            <v>2.9278922649779902</v>
          </cell>
          <cell r="M1731">
            <v>2813</v>
          </cell>
          <cell r="N1731">
            <v>3.8814013055436499E-4</v>
          </cell>
          <cell r="O1731">
            <v>2767</v>
          </cell>
          <cell r="P1731">
            <v>0.39</v>
          </cell>
          <cell r="Q1731">
            <v>951</v>
          </cell>
        </row>
        <row r="1732">
          <cell r="B1732" t="str">
            <v>LOS GATOS 110760114</v>
          </cell>
          <cell r="C1732">
            <v>82021107</v>
          </cell>
          <cell r="D1732" t="str">
            <v>LOS GATOS 1107</v>
          </cell>
          <cell r="E1732">
            <v>60114</v>
          </cell>
          <cell r="F1732" t="b">
            <v>0</v>
          </cell>
          <cell r="G1732">
            <v>39130.988185018898</v>
          </cell>
          <cell r="H1732">
            <v>39130.988185018898</v>
          </cell>
          <cell r="I1732">
            <v>220</v>
          </cell>
          <cell r="J1732">
            <v>1.4614363455670799E-4</v>
          </cell>
          <cell r="K1732">
            <v>787</v>
          </cell>
          <cell r="L1732">
            <v>173.29355695288299</v>
          </cell>
          <cell r="M1732">
            <v>1702</v>
          </cell>
          <cell r="N1732">
            <v>1.6971170433673601E-2</v>
          </cell>
          <cell r="O1732">
            <v>1738</v>
          </cell>
          <cell r="P1732">
            <v>112.13</v>
          </cell>
          <cell r="Q1732">
            <v>13</v>
          </cell>
        </row>
        <row r="1733">
          <cell r="B1733" t="str">
            <v>LOS GATOS 110760118</v>
          </cell>
          <cell r="C1733">
            <v>82021107</v>
          </cell>
          <cell r="D1733" t="str">
            <v>LOS GATOS 1107</v>
          </cell>
          <cell r="E1733">
            <v>60118</v>
          </cell>
          <cell r="F1733" t="b">
            <v>0</v>
          </cell>
          <cell r="G1733">
            <v>44902.947814163999</v>
          </cell>
          <cell r="H1733">
            <v>44902.947814163999</v>
          </cell>
          <cell r="I1733">
            <v>323</v>
          </cell>
          <cell r="J1733">
            <v>1.7204306945278801E-4</v>
          </cell>
          <cell r="K1733">
            <v>550</v>
          </cell>
          <cell r="L1733">
            <v>26.0465074640667</v>
          </cell>
          <cell r="M1733">
            <v>2376</v>
          </cell>
          <cell r="N1733">
            <v>4.5775276872769598E-3</v>
          </cell>
          <cell r="O1733">
            <v>2227</v>
          </cell>
          <cell r="P1733">
            <v>45.32</v>
          </cell>
          <cell r="Q1733">
            <v>149</v>
          </cell>
        </row>
        <row r="1734">
          <cell r="B1734" t="str">
            <v>LOS GATOS 1107CB</v>
          </cell>
          <cell r="C1734">
            <v>82021107</v>
          </cell>
          <cell r="D1734" t="str">
            <v>LOS GATOS 1107</v>
          </cell>
          <cell r="E1734" t="str">
            <v>CB</v>
          </cell>
          <cell r="F1734" t="b">
            <v>0</v>
          </cell>
          <cell r="G1734">
            <v>25409.854618428701</v>
          </cell>
          <cell r="H1734">
            <v>24616.647628737501</v>
          </cell>
          <cell r="I1734">
            <v>192</v>
          </cell>
          <cell r="J1734">
            <v>1.22118371194801E-4</v>
          </cell>
          <cell r="K1734">
            <v>1146</v>
          </cell>
          <cell r="L1734">
            <v>9.4761624320995796</v>
          </cell>
          <cell r="M1734">
            <v>2636</v>
          </cell>
          <cell r="N1734">
            <v>1.1504197849060401E-3</v>
          </cell>
          <cell r="O1734">
            <v>2606</v>
          </cell>
          <cell r="P1734">
            <v>0.14000000000000001</v>
          </cell>
          <cell r="Q1734">
            <v>1327</v>
          </cell>
        </row>
        <row r="1735">
          <cell r="B1735" t="str">
            <v>LOS GATOS 1107LA60</v>
          </cell>
          <cell r="C1735">
            <v>82021107</v>
          </cell>
          <cell r="D1735" t="str">
            <v>LOS GATOS 1107</v>
          </cell>
          <cell r="E1735" t="str">
            <v>LA60</v>
          </cell>
          <cell r="F1735" t="b">
            <v>0</v>
          </cell>
          <cell r="G1735">
            <v>13957.172886832101</v>
          </cell>
          <cell r="H1735">
            <v>13957.172886832101</v>
          </cell>
          <cell r="I1735">
            <v>61</v>
          </cell>
          <cell r="J1735">
            <v>1.00537327062872E-4</v>
          </cell>
          <cell r="K1735">
            <v>1636</v>
          </cell>
          <cell r="L1735">
            <v>81.905356215349101</v>
          </cell>
          <cell r="M1735">
            <v>2041</v>
          </cell>
          <cell r="N1735">
            <v>6.1262545073137104E-3</v>
          </cell>
          <cell r="O1735">
            <v>2148</v>
          </cell>
          <cell r="P1735">
            <v>41.93</v>
          </cell>
          <cell r="Q1735">
            <v>173</v>
          </cell>
        </row>
        <row r="1736">
          <cell r="B1736" t="str">
            <v>LOS GATOS 1108CB</v>
          </cell>
          <cell r="C1736">
            <v>82021108</v>
          </cell>
          <cell r="D1736" t="str">
            <v>LOS GATOS 1108</v>
          </cell>
          <cell r="E1736" t="str">
            <v>CB</v>
          </cell>
          <cell r="F1736" t="b">
            <v>1</v>
          </cell>
          <cell r="G1736">
            <v>1166.66572373025</v>
          </cell>
          <cell r="H1736">
            <v>0</v>
          </cell>
          <cell r="I1736">
            <v>15</v>
          </cell>
          <cell r="J1736">
            <v>3.1212257843955197E-5</v>
          </cell>
          <cell r="K1736">
            <v>3412</v>
          </cell>
          <cell r="L1736">
            <v>6.5146990120410905E-2</v>
          </cell>
          <cell r="M1736">
            <v>3617</v>
          </cell>
          <cell r="N1736">
            <v>2.03338465339586E-6</v>
          </cell>
          <cell r="O1736">
            <v>3508</v>
          </cell>
          <cell r="Q1736">
            <v>3022</v>
          </cell>
        </row>
        <row r="1737">
          <cell r="B1737" t="str">
            <v>LOS GATOS 1108LB86</v>
          </cell>
          <cell r="C1737">
            <v>82021108</v>
          </cell>
          <cell r="D1737" t="str">
            <v>LOS GATOS 1108</v>
          </cell>
          <cell r="E1737" t="str">
            <v>LB86</v>
          </cell>
          <cell r="F1737" t="b">
            <v>0</v>
          </cell>
          <cell r="G1737">
            <v>8620.4874954571696</v>
          </cell>
          <cell r="H1737">
            <v>7270.7679308898796</v>
          </cell>
          <cell r="I1737">
            <v>69</v>
          </cell>
          <cell r="J1737">
            <v>8.9583602943278393E-5</v>
          </cell>
          <cell r="K1737">
            <v>1927</v>
          </cell>
          <cell r="L1737">
            <v>6.6208390751620605E-2</v>
          </cell>
          <cell r="M1737">
            <v>3169</v>
          </cell>
          <cell r="N1737">
            <v>5.9457995626703696E-6</v>
          </cell>
          <cell r="O1737">
            <v>3212</v>
          </cell>
          <cell r="P1737">
            <v>0.13</v>
          </cell>
          <cell r="Q1737">
            <v>1335</v>
          </cell>
        </row>
        <row r="1738">
          <cell r="B1738" t="str">
            <v>LOS MOLINOS 1101297862</v>
          </cell>
          <cell r="C1738">
            <v>103481101</v>
          </cell>
          <cell r="D1738" t="str">
            <v>LOS MOLINOS 1101</v>
          </cell>
          <cell r="E1738">
            <v>297862</v>
          </cell>
          <cell r="F1738" t="b">
            <v>1</v>
          </cell>
          <cell r="G1738">
            <v>519.22624481549099</v>
          </cell>
          <cell r="H1738">
            <v>503.22416135925999</v>
          </cell>
          <cell r="I1738">
            <v>4</v>
          </cell>
          <cell r="J1738">
            <v>7.9186846051015796E-5</v>
          </cell>
          <cell r="K1738">
            <v>2228</v>
          </cell>
          <cell r="L1738">
            <v>3345.0840247116598</v>
          </cell>
          <cell r="M1738">
            <v>219</v>
          </cell>
          <cell r="N1738">
            <v>8.9566991102422E-2</v>
          </cell>
          <cell r="O1738">
            <v>825</v>
          </cell>
          <cell r="Q1738">
            <v>3575</v>
          </cell>
        </row>
        <row r="1739">
          <cell r="B1739" t="str">
            <v>LOS OSITOS 2102148504</v>
          </cell>
          <cell r="C1739">
            <v>182082102</v>
          </cell>
          <cell r="D1739" t="str">
            <v>LOS OSITOS 2102</v>
          </cell>
          <cell r="E1739">
            <v>148504</v>
          </cell>
          <cell r="F1739" t="b">
            <v>1</v>
          </cell>
          <cell r="G1739">
            <v>3218.0268218968799</v>
          </cell>
          <cell r="H1739">
            <v>275.76023140656298</v>
          </cell>
          <cell r="I1739">
            <v>14</v>
          </cell>
          <cell r="J1739">
            <v>6.4052561076375806E-5</v>
          </cell>
          <cell r="K1739">
            <v>2643</v>
          </cell>
          <cell r="L1739">
            <v>71.398766107325002</v>
          </cell>
          <cell r="M1739">
            <v>2086</v>
          </cell>
          <cell r="N1739">
            <v>4.9962623052738301E-3</v>
          </cell>
          <cell r="O1739">
            <v>2205</v>
          </cell>
          <cell r="Q1739">
            <v>3134</v>
          </cell>
        </row>
        <row r="1740">
          <cell r="B1740" t="str">
            <v>LOS OSITOS 2102258878</v>
          </cell>
          <cell r="C1740">
            <v>182082102</v>
          </cell>
          <cell r="D1740" t="str">
            <v>LOS OSITOS 2102</v>
          </cell>
          <cell r="E1740">
            <v>258878</v>
          </cell>
          <cell r="F1740" t="b">
            <v>0</v>
          </cell>
          <cell r="G1740">
            <v>7396.92929578434</v>
          </cell>
          <cell r="H1740">
            <v>5357.1762545209604</v>
          </cell>
          <cell r="I1740">
            <v>26</v>
          </cell>
          <cell r="J1740">
            <v>3.9952707766133197E-5</v>
          </cell>
          <cell r="K1740">
            <v>3270</v>
          </cell>
          <cell r="L1740">
            <v>107.508409350818</v>
          </cell>
          <cell r="M1740">
            <v>1921</v>
          </cell>
          <cell r="N1740">
            <v>7.2140649849259204E-3</v>
          </cell>
          <cell r="O1740">
            <v>2085</v>
          </cell>
          <cell r="Q1740">
            <v>3114</v>
          </cell>
        </row>
        <row r="1741">
          <cell r="B1741" t="str">
            <v>LOS OSITOS 2102624200</v>
          </cell>
          <cell r="C1741">
            <v>182082102</v>
          </cell>
          <cell r="D1741" t="str">
            <v>LOS OSITOS 2102</v>
          </cell>
          <cell r="E1741">
            <v>624200</v>
          </cell>
          <cell r="F1741" t="b">
            <v>0</v>
          </cell>
          <cell r="G1741">
            <v>3744.0071145429902</v>
          </cell>
          <cell r="H1741">
            <v>2491.85802213426</v>
          </cell>
          <cell r="I1741">
            <v>6</v>
          </cell>
          <cell r="J1741">
            <v>9.1262399109837103E-6</v>
          </cell>
          <cell r="K1741">
            <v>3614</v>
          </cell>
          <cell r="L1741">
            <v>78.163195549199898</v>
          </cell>
          <cell r="M1741">
            <v>2058</v>
          </cell>
          <cell r="N1741">
            <v>1.14322364276393E-3</v>
          </cell>
          <cell r="O1741">
            <v>2609</v>
          </cell>
          <cell r="Q1741">
            <v>3383</v>
          </cell>
        </row>
        <row r="1742">
          <cell r="B1742" t="str">
            <v>LOS OSITOS 2103220608</v>
          </cell>
          <cell r="C1742">
            <v>182082103</v>
          </cell>
          <cell r="D1742" t="str">
            <v>LOS OSITOS 2103</v>
          </cell>
          <cell r="E1742">
            <v>220608</v>
          </cell>
          <cell r="F1742" t="b">
            <v>0</v>
          </cell>
          <cell r="G1742">
            <v>3563.34517280914</v>
          </cell>
          <cell r="H1742">
            <v>1678.7883060870699</v>
          </cell>
          <cell r="I1742">
            <v>10</v>
          </cell>
          <cell r="J1742">
            <v>2.1846115133586002E-5</v>
          </cell>
          <cell r="K1742">
            <v>3522</v>
          </cell>
          <cell r="L1742">
            <v>416.46174219623202</v>
          </cell>
          <cell r="M1742">
            <v>1275</v>
          </cell>
          <cell r="N1742">
            <v>9.4489906078841293E-3</v>
          </cell>
          <cell r="O1742">
            <v>1986</v>
          </cell>
          <cell r="Q1742">
            <v>2941</v>
          </cell>
        </row>
        <row r="1743">
          <cell r="B1743" t="str">
            <v>LOS OSITOS 2103258688</v>
          </cell>
          <cell r="C1743">
            <v>182082103</v>
          </cell>
          <cell r="D1743" t="str">
            <v>LOS OSITOS 2103</v>
          </cell>
          <cell r="E1743">
            <v>258688</v>
          </cell>
          <cell r="F1743" t="b">
            <v>0</v>
          </cell>
          <cell r="G1743">
            <v>5700.7116905254297</v>
          </cell>
          <cell r="H1743">
            <v>1727.29510383209</v>
          </cell>
          <cell r="I1743">
            <v>17</v>
          </cell>
          <cell r="J1743">
            <v>1.3020552427512999E-5</v>
          </cell>
          <cell r="K1743">
            <v>3601</v>
          </cell>
          <cell r="L1743">
            <v>51.849743830682897</v>
          </cell>
          <cell r="M1743">
            <v>2202</v>
          </cell>
          <cell r="N1743">
            <v>3.28821819097673E-3</v>
          </cell>
          <cell r="O1743">
            <v>2317</v>
          </cell>
          <cell r="Q1743">
            <v>3463</v>
          </cell>
        </row>
        <row r="1744">
          <cell r="B1744" t="str">
            <v>LOS OSITOS 21033010</v>
          </cell>
          <cell r="C1744">
            <v>182082103</v>
          </cell>
          <cell r="D1744" t="str">
            <v>LOS OSITOS 2103</v>
          </cell>
          <cell r="E1744">
            <v>3010</v>
          </cell>
          <cell r="F1744" t="b">
            <v>0</v>
          </cell>
          <cell r="G1744">
            <v>50085.859830204303</v>
          </cell>
          <cell r="H1744">
            <v>50061.440041186397</v>
          </cell>
          <cell r="I1744">
            <v>229</v>
          </cell>
          <cell r="J1744">
            <v>6.2602156753506505E-5</v>
          </cell>
          <cell r="K1744">
            <v>2699</v>
          </cell>
          <cell r="L1744">
            <v>457.26914975654398</v>
          </cell>
          <cell r="M1744">
            <v>1239</v>
          </cell>
          <cell r="N1744">
            <v>2.72814243982685E-2</v>
          </cell>
          <cell r="O1744">
            <v>1509</v>
          </cell>
          <cell r="P1744">
            <v>0.11</v>
          </cell>
          <cell r="Q1744">
            <v>1434</v>
          </cell>
        </row>
        <row r="1745">
          <cell r="B1745" t="str">
            <v>LOS OSITOS 2103695270</v>
          </cell>
          <cell r="C1745">
            <v>182082103</v>
          </cell>
          <cell r="D1745" t="str">
            <v>LOS OSITOS 2103</v>
          </cell>
          <cell r="E1745">
            <v>695270</v>
          </cell>
          <cell r="F1745" t="b">
            <v>0</v>
          </cell>
          <cell r="G1745">
            <v>1764.2136907213301</v>
          </cell>
          <cell r="H1745">
            <v>1116.19921328737</v>
          </cell>
          <cell r="I1745">
            <v>12</v>
          </cell>
          <cell r="J1745">
            <v>6.65902070977608E-5</v>
          </cell>
          <cell r="K1745">
            <v>2569</v>
          </cell>
          <cell r="L1745">
            <v>184.78619128217301</v>
          </cell>
          <cell r="M1745">
            <v>1675</v>
          </cell>
          <cell r="N1745">
            <v>9.1989864297506996E-3</v>
          </cell>
          <cell r="O1745">
            <v>1994</v>
          </cell>
          <cell r="Q1745">
            <v>3425</v>
          </cell>
        </row>
        <row r="1746">
          <cell r="B1746" t="str">
            <v>LOS OSITOS 21037062</v>
          </cell>
          <cell r="C1746">
            <v>182082103</v>
          </cell>
          <cell r="D1746" t="str">
            <v>LOS OSITOS 2103</v>
          </cell>
          <cell r="E1746">
            <v>7062</v>
          </cell>
          <cell r="F1746" t="b">
            <v>0</v>
          </cell>
          <cell r="G1746">
            <v>19664.1429371593</v>
          </cell>
          <cell r="H1746">
            <v>19664.1429371593</v>
          </cell>
          <cell r="I1746">
            <v>53</v>
          </cell>
          <cell r="J1746">
            <v>5.2216118092474001E-5</v>
          </cell>
          <cell r="K1746">
            <v>2986</v>
          </cell>
          <cell r="L1746">
            <v>685.29036540764798</v>
          </cell>
          <cell r="M1746">
            <v>1034</v>
          </cell>
          <cell r="N1746">
            <v>3.5805261528204999E-2</v>
          </cell>
          <cell r="O1746">
            <v>1359</v>
          </cell>
          <cell r="P1746">
            <v>0.1</v>
          </cell>
          <cell r="Q1746">
            <v>1452</v>
          </cell>
        </row>
        <row r="1747">
          <cell r="B1747" t="str">
            <v>LOW GAP 11012094</v>
          </cell>
          <cell r="C1747">
            <v>192411101</v>
          </cell>
          <cell r="D1747" t="str">
            <v>LOW GAP 1101</v>
          </cell>
          <cell r="E1747">
            <v>2094</v>
          </cell>
          <cell r="F1747" t="b">
            <v>0</v>
          </cell>
          <cell r="G1747">
            <v>27452.3558001704</v>
          </cell>
          <cell r="H1747">
            <v>25248.629520420702</v>
          </cell>
          <cell r="I1747">
            <v>139</v>
          </cell>
          <cell r="J1747">
            <v>2.1403877627048799E-4</v>
          </cell>
          <cell r="K1747">
            <v>343</v>
          </cell>
          <cell r="L1747">
            <v>379.78532730738698</v>
          </cell>
          <cell r="M1747">
            <v>1321</v>
          </cell>
          <cell r="N1747">
            <v>6.2103113272817603E-2</v>
          </cell>
          <cell r="O1747">
            <v>1042</v>
          </cell>
          <cell r="P1747">
            <v>3.85</v>
          </cell>
          <cell r="Q1747">
            <v>533</v>
          </cell>
        </row>
        <row r="1748">
          <cell r="B1748" t="str">
            <v>LOW GAP 110137498</v>
          </cell>
          <cell r="C1748">
            <v>192411101</v>
          </cell>
          <cell r="D1748" t="str">
            <v>LOW GAP 1101</v>
          </cell>
          <cell r="E1748">
            <v>37498</v>
          </cell>
          <cell r="F1748" t="b">
            <v>0</v>
          </cell>
          <cell r="G1748">
            <v>26197.741536715901</v>
          </cell>
          <cell r="H1748">
            <v>26197.741536715901</v>
          </cell>
          <cell r="I1748">
            <v>129</v>
          </cell>
          <cell r="J1748">
            <v>1.80723452322408E-4</v>
          </cell>
          <cell r="K1748">
            <v>507</v>
          </cell>
          <cell r="L1748">
            <v>890.63688501353897</v>
          </cell>
          <cell r="M1748">
            <v>887</v>
          </cell>
          <cell r="N1748">
            <v>0.16072532453007299</v>
          </cell>
          <cell r="O1748">
            <v>466</v>
          </cell>
          <cell r="P1748">
            <v>7.0000000000000007E-2</v>
          </cell>
          <cell r="Q1748">
            <v>1723</v>
          </cell>
        </row>
        <row r="1749">
          <cell r="B1749" t="str">
            <v>LOW GAP 11014086</v>
          </cell>
          <cell r="C1749">
            <v>192411101</v>
          </cell>
          <cell r="D1749" t="str">
            <v>LOW GAP 1101</v>
          </cell>
          <cell r="E1749">
            <v>4086</v>
          </cell>
          <cell r="F1749" t="b">
            <v>0</v>
          </cell>
          <cell r="G1749">
            <v>18494.2050549704</v>
          </cell>
          <cell r="H1749">
            <v>18494.2050549704</v>
          </cell>
          <cell r="I1749">
            <v>66</v>
          </cell>
          <cell r="J1749">
            <v>1.27865446074793E-4</v>
          </cell>
          <cell r="K1749">
            <v>1052</v>
          </cell>
          <cell r="L1749">
            <v>634.82875195986196</v>
          </cell>
          <cell r="M1749">
            <v>1073</v>
          </cell>
          <cell r="N1749">
            <v>7.2098001604423798E-2</v>
          </cell>
          <cell r="O1749">
            <v>964</v>
          </cell>
          <cell r="P1749">
            <v>0.12</v>
          </cell>
          <cell r="Q1749">
            <v>1393</v>
          </cell>
        </row>
        <row r="1750">
          <cell r="B1750" t="str">
            <v>LOW GAP 11014160</v>
          </cell>
          <cell r="C1750">
            <v>192411101</v>
          </cell>
          <cell r="D1750" t="str">
            <v>LOW GAP 1101</v>
          </cell>
          <cell r="E1750">
            <v>4160</v>
          </cell>
          <cell r="F1750" t="b">
            <v>0</v>
          </cell>
          <cell r="G1750">
            <v>34990.355906935998</v>
          </cell>
          <cell r="H1750">
            <v>34990.355906935998</v>
          </cell>
          <cell r="I1750">
            <v>194</v>
          </cell>
          <cell r="J1750">
            <v>1.53670008194004E-4</v>
          </cell>
          <cell r="K1750">
            <v>716</v>
          </cell>
          <cell r="L1750">
            <v>332.52987425032899</v>
          </cell>
          <cell r="M1750">
            <v>1395</v>
          </cell>
          <cell r="N1750">
            <v>4.7994109814807499E-2</v>
          </cell>
          <cell r="O1750">
            <v>1197</v>
          </cell>
          <cell r="P1750">
            <v>0.11</v>
          </cell>
          <cell r="Q1750">
            <v>1435</v>
          </cell>
        </row>
        <row r="1751">
          <cell r="B1751" t="str">
            <v>LOW GAP 110186816</v>
          </cell>
          <cell r="C1751">
            <v>192411101</v>
          </cell>
          <cell r="D1751" t="str">
            <v>LOW GAP 1101</v>
          </cell>
          <cell r="E1751">
            <v>86816</v>
          </cell>
          <cell r="F1751" t="b">
            <v>0</v>
          </cell>
          <cell r="G1751">
            <v>7103.5026271945098</v>
          </cell>
          <cell r="H1751">
            <v>7103.5026271945098</v>
          </cell>
          <cell r="I1751">
            <v>51</v>
          </cell>
          <cell r="J1751">
            <v>2.3289329107558599E-4</v>
          </cell>
          <cell r="K1751">
            <v>272</v>
          </cell>
          <cell r="L1751">
            <v>393.45623761717297</v>
          </cell>
          <cell r="M1751">
            <v>1304</v>
          </cell>
          <cell r="N1751">
            <v>9.0318540299543698E-2</v>
          </cell>
          <cell r="O1751">
            <v>821</v>
          </cell>
          <cell r="P1751">
            <v>6.82</v>
          </cell>
          <cell r="Q1751">
            <v>458</v>
          </cell>
        </row>
        <row r="1752">
          <cell r="B1752" t="str">
            <v>LOW GAP 1101CB</v>
          </cell>
          <cell r="C1752">
            <v>192411101</v>
          </cell>
          <cell r="D1752" t="str">
            <v>LOW GAP 1101</v>
          </cell>
          <cell r="E1752" t="str">
            <v>CB</v>
          </cell>
          <cell r="F1752" t="b">
            <v>0</v>
          </cell>
          <cell r="G1752">
            <v>3490.25088628921</v>
          </cell>
          <cell r="H1752">
            <v>3490.25088628921</v>
          </cell>
          <cell r="I1752">
            <v>23</v>
          </cell>
          <cell r="J1752">
            <v>2.0947474315661201E-4</v>
          </cell>
          <cell r="K1752">
            <v>361</v>
          </cell>
          <cell r="L1752">
            <v>222.197033142344</v>
          </cell>
          <cell r="M1752">
            <v>1600</v>
          </cell>
          <cell r="N1752">
            <v>3.4029149388576603E-2</v>
          </cell>
          <cell r="O1752">
            <v>1385</v>
          </cell>
          <cell r="P1752">
            <v>9.67</v>
          </cell>
          <cell r="Q1752">
            <v>405</v>
          </cell>
        </row>
        <row r="1753">
          <cell r="B1753" t="str">
            <v>LOYOLA 110260082</v>
          </cell>
          <cell r="C1753">
            <v>82161102</v>
          </cell>
          <cell r="D1753" t="str">
            <v>LOYOLA 1102</v>
          </cell>
          <cell r="E1753">
            <v>60082</v>
          </cell>
          <cell r="F1753" t="b">
            <v>1</v>
          </cell>
          <cell r="G1753">
            <v>6614.3058264265201</v>
          </cell>
          <cell r="H1753">
            <v>0</v>
          </cell>
          <cell r="I1753">
            <v>57</v>
          </cell>
          <cell r="J1753">
            <v>1.17351053469454E-4</v>
          </cell>
          <cell r="K1753">
            <v>1238</v>
          </cell>
          <cell r="L1753">
            <v>6.5169532570922506E-2</v>
          </cell>
          <cell r="M1753">
            <v>3546</v>
          </cell>
          <cell r="N1753">
            <v>7.6477375536758398E-6</v>
          </cell>
          <cell r="O1753">
            <v>3137</v>
          </cell>
          <cell r="Q1753">
            <v>2780</v>
          </cell>
        </row>
        <row r="1754">
          <cell r="B1754" t="str">
            <v>LOYOLA 1102725939</v>
          </cell>
          <cell r="C1754">
            <v>82161102</v>
          </cell>
          <cell r="D1754" t="str">
            <v>LOYOLA 1102</v>
          </cell>
          <cell r="E1754">
            <v>725939</v>
          </cell>
          <cell r="F1754" t="b">
            <v>1</v>
          </cell>
          <cell r="G1754">
            <v>1338.45712714663</v>
          </cell>
          <cell r="H1754">
            <v>150.535515185089</v>
          </cell>
          <cell r="I1754">
            <v>14</v>
          </cell>
          <cell r="J1754">
            <v>1.66396904835262E-4</v>
          </cell>
          <cell r="K1754">
            <v>579</v>
          </cell>
          <cell r="L1754">
            <v>36.243362658248699</v>
          </cell>
          <cell r="M1754">
            <v>2303</v>
          </cell>
          <cell r="N1754">
            <v>8.6107908569479502E-3</v>
          </cell>
          <cell r="O1754">
            <v>2023</v>
          </cell>
          <cell r="Q1754">
            <v>3249</v>
          </cell>
        </row>
        <row r="1755">
          <cell r="B1755" t="str">
            <v>LUCERNE 11031280</v>
          </cell>
          <cell r="C1755">
            <v>43351103</v>
          </cell>
          <cell r="D1755" t="str">
            <v>LUCERNE 1103</v>
          </cell>
          <cell r="E1755">
            <v>1280</v>
          </cell>
          <cell r="F1755" t="b">
            <v>0</v>
          </cell>
          <cell r="G1755">
            <v>37796.6984679046</v>
          </cell>
          <cell r="H1755">
            <v>12933.817401804499</v>
          </cell>
          <cell r="I1755">
            <v>238</v>
          </cell>
          <cell r="J1755">
            <v>1.15617559382341E-4</v>
          </cell>
          <cell r="K1755">
            <v>1283</v>
          </cell>
          <cell r="L1755">
            <v>1326.8731933718</v>
          </cell>
          <cell r="M1755">
            <v>670</v>
          </cell>
          <cell r="N1755">
            <v>0.151195455027621</v>
          </cell>
          <cell r="O1755">
            <v>512</v>
          </cell>
          <cell r="P1755">
            <v>0.03</v>
          </cell>
          <cell r="Q1755">
            <v>2282</v>
          </cell>
        </row>
        <row r="1756">
          <cell r="B1756" t="str">
            <v>LUCERNE 11031663</v>
          </cell>
          <cell r="C1756">
            <v>43351103</v>
          </cell>
          <cell r="D1756" t="str">
            <v>LUCERNE 1103</v>
          </cell>
          <cell r="E1756">
            <v>1663</v>
          </cell>
          <cell r="F1756" t="b">
            <v>0</v>
          </cell>
          <cell r="G1756">
            <v>1947.6462350208101</v>
          </cell>
          <cell r="H1756">
            <v>1947.6462350208101</v>
          </cell>
          <cell r="I1756">
            <v>17</v>
          </cell>
          <cell r="J1756">
            <v>9.1108733613509603E-5</v>
          </cell>
          <cell r="K1756">
            <v>1877</v>
          </cell>
          <cell r="L1756">
            <v>6.6431607551183297E-2</v>
          </cell>
          <cell r="M1756">
            <v>3000</v>
          </cell>
          <cell r="N1756">
            <v>6.0524996358979698E-6</v>
          </cell>
          <cell r="O1756">
            <v>3205</v>
          </cell>
          <cell r="P1756">
            <v>0.08</v>
          </cell>
          <cell r="Q1756">
            <v>1656</v>
          </cell>
        </row>
        <row r="1757">
          <cell r="B1757" t="str">
            <v>LUCERNE 11034200</v>
          </cell>
          <cell r="C1757">
            <v>43351103</v>
          </cell>
          <cell r="D1757" t="str">
            <v>LUCERNE 1103</v>
          </cell>
          <cell r="E1757">
            <v>4200</v>
          </cell>
          <cell r="F1757" t="b">
            <v>0</v>
          </cell>
          <cell r="G1757">
            <v>7940.3443704009296</v>
          </cell>
          <cell r="H1757">
            <v>6495.7462183048401</v>
          </cell>
          <cell r="I1757">
            <v>37</v>
          </cell>
          <cell r="J1757">
            <v>1.10574450789843E-4</v>
          </cell>
          <cell r="K1757">
            <v>1400</v>
          </cell>
          <cell r="L1757">
            <v>2908.2308778250699</v>
          </cell>
          <cell r="M1757">
            <v>287</v>
          </cell>
          <cell r="N1757">
            <v>0.19926754718074799</v>
          </cell>
          <cell r="O1757">
            <v>329</v>
          </cell>
          <cell r="P1757">
            <v>0.05</v>
          </cell>
          <cell r="Q1757">
            <v>1995</v>
          </cell>
        </row>
        <row r="1758">
          <cell r="B1758" t="str">
            <v>LUCERNE 11034624</v>
          </cell>
          <cell r="C1758">
            <v>43351103</v>
          </cell>
          <cell r="D1758" t="str">
            <v>LUCERNE 1103</v>
          </cell>
          <cell r="E1758">
            <v>4624</v>
          </cell>
          <cell r="F1758" t="b">
            <v>1</v>
          </cell>
          <cell r="G1758">
            <v>6101.7646760166299</v>
          </cell>
          <cell r="H1758">
            <v>50.672441555326699</v>
          </cell>
          <cell r="I1758">
            <v>42</v>
          </cell>
          <cell r="J1758">
            <v>1.25479405423469E-4</v>
          </cell>
          <cell r="K1758">
            <v>1090</v>
          </cell>
          <cell r="L1758">
            <v>117.197484710734</v>
          </cell>
          <cell r="M1758">
            <v>1886</v>
          </cell>
          <cell r="N1758">
            <v>1.3291779141484401E-2</v>
          </cell>
          <cell r="O1758">
            <v>1836</v>
          </cell>
          <cell r="P1758">
            <v>0.02</v>
          </cell>
          <cell r="Q1758">
            <v>2483</v>
          </cell>
        </row>
        <row r="1759">
          <cell r="B1759" t="str">
            <v>LUCERNE 1103630</v>
          </cell>
          <cell r="C1759">
            <v>43351103</v>
          </cell>
          <cell r="D1759" t="str">
            <v>LUCERNE 1103</v>
          </cell>
          <cell r="E1759">
            <v>630</v>
          </cell>
          <cell r="F1759" t="b">
            <v>0</v>
          </cell>
          <cell r="G1759">
            <v>21891.424363185</v>
          </cell>
          <cell r="H1759">
            <v>20012.261541782402</v>
          </cell>
          <cell r="I1759">
            <v>154</v>
          </cell>
          <cell r="J1759">
            <v>9.5266120879862495E-5</v>
          </cell>
          <cell r="K1759">
            <v>1756</v>
          </cell>
          <cell r="L1759">
            <v>292.79218216712002</v>
          </cell>
          <cell r="M1759">
            <v>1460</v>
          </cell>
          <cell r="N1759">
            <v>2.1528597448398801E-2</v>
          </cell>
          <cell r="O1759">
            <v>1639</v>
          </cell>
          <cell r="P1759">
            <v>0.13</v>
          </cell>
          <cell r="Q1759">
            <v>1357</v>
          </cell>
        </row>
        <row r="1760">
          <cell r="B1760" t="str">
            <v>LUCERNE 1103CB</v>
          </cell>
          <cell r="C1760">
            <v>43351103</v>
          </cell>
          <cell r="D1760" t="str">
            <v>LUCERNE 1103</v>
          </cell>
          <cell r="E1760" t="str">
            <v>CB</v>
          </cell>
          <cell r="F1760" t="b">
            <v>0</v>
          </cell>
          <cell r="G1760">
            <v>7158.5649693263003</v>
          </cell>
          <cell r="H1760">
            <v>3619.1596719407098</v>
          </cell>
          <cell r="I1760">
            <v>59</v>
          </cell>
          <cell r="J1760">
            <v>1.8211216002670999E-4</v>
          </cell>
          <cell r="K1760">
            <v>497</v>
          </cell>
          <cell r="L1760">
            <v>299.72052733583001</v>
          </cell>
          <cell r="M1760">
            <v>1447</v>
          </cell>
          <cell r="N1760">
            <v>0.107894263151215</v>
          </cell>
          <cell r="O1760">
            <v>719</v>
          </cell>
          <cell r="P1760">
            <v>0.1</v>
          </cell>
          <cell r="Q1760">
            <v>1483</v>
          </cell>
        </row>
        <row r="1761">
          <cell r="B1761" t="str">
            <v>LUCERNE 11062327</v>
          </cell>
          <cell r="C1761">
            <v>43351106</v>
          </cell>
          <cell r="D1761" t="str">
            <v>LUCERNE 1106</v>
          </cell>
          <cell r="E1761">
            <v>2327</v>
          </cell>
          <cell r="F1761" t="b">
            <v>0</v>
          </cell>
          <cell r="G1761">
            <v>2038.9697887734801</v>
          </cell>
          <cell r="H1761">
            <v>1914.8889720295001</v>
          </cell>
          <cell r="I1761">
            <v>20</v>
          </cell>
          <cell r="J1761">
            <v>1.33259923313744E-4</v>
          </cell>
          <cell r="K1761">
            <v>953</v>
          </cell>
          <cell r="L1761">
            <v>15.518933189026701</v>
          </cell>
          <cell r="M1761">
            <v>2523</v>
          </cell>
          <cell r="N1761">
            <v>2.2381192749155502E-3</v>
          </cell>
          <cell r="O1761">
            <v>2445</v>
          </cell>
          <cell r="P1761">
            <v>0.08</v>
          </cell>
          <cell r="Q1761">
            <v>1640</v>
          </cell>
        </row>
        <row r="1762">
          <cell r="B1762" t="str">
            <v>LUCERNE 11062355</v>
          </cell>
          <cell r="C1762">
            <v>43351106</v>
          </cell>
          <cell r="D1762" t="str">
            <v>LUCERNE 1106</v>
          </cell>
          <cell r="E1762">
            <v>2355</v>
          </cell>
          <cell r="F1762" t="b">
            <v>1</v>
          </cell>
          <cell r="G1762">
            <v>1676.48355440266</v>
          </cell>
          <cell r="H1762">
            <v>644.35984504772296</v>
          </cell>
          <cell r="I1762">
            <v>13</v>
          </cell>
          <cell r="J1762">
            <v>4.9957123687468399E-5</v>
          </cell>
          <cell r="K1762">
            <v>3038</v>
          </cell>
          <cell r="L1762">
            <v>6.5642550207882996E-2</v>
          </cell>
          <cell r="M1762">
            <v>3325</v>
          </cell>
          <cell r="N1762">
            <v>3.2963118850800098E-6</v>
          </cell>
          <cell r="O1762">
            <v>3382</v>
          </cell>
          <cell r="P1762">
            <v>0.06</v>
          </cell>
          <cell r="Q1762">
            <v>1797</v>
          </cell>
        </row>
        <row r="1763">
          <cell r="B1763" t="str">
            <v>LUCERNE 110638436</v>
          </cell>
          <cell r="C1763">
            <v>43351106</v>
          </cell>
          <cell r="D1763" t="str">
            <v>LUCERNE 1106</v>
          </cell>
          <cell r="E1763">
            <v>38436</v>
          </cell>
          <cell r="F1763" t="b">
            <v>0</v>
          </cell>
          <cell r="G1763">
            <v>7699.8875662748696</v>
          </cell>
          <cell r="H1763">
            <v>7253.5317755015503</v>
          </cell>
          <cell r="I1763">
            <v>62</v>
          </cell>
          <cell r="J1763">
            <v>1.13036624996663E-4</v>
          </cell>
          <cell r="K1763">
            <v>1342</v>
          </cell>
          <cell r="L1763">
            <v>129.16733031051999</v>
          </cell>
          <cell r="M1763">
            <v>1847</v>
          </cell>
          <cell r="N1763">
            <v>1.9424452572568401E-2</v>
          </cell>
          <cell r="O1763">
            <v>1681</v>
          </cell>
          <cell r="P1763">
            <v>0.17</v>
          </cell>
          <cell r="Q1763">
            <v>1243</v>
          </cell>
        </row>
        <row r="1764">
          <cell r="B1764" t="str">
            <v>LUCERNE 110638632</v>
          </cell>
          <cell r="C1764">
            <v>43351106</v>
          </cell>
          <cell r="D1764" t="str">
            <v>LUCERNE 1106</v>
          </cell>
          <cell r="E1764">
            <v>38632</v>
          </cell>
          <cell r="F1764" t="b">
            <v>0</v>
          </cell>
          <cell r="G1764">
            <v>7538.4158144011499</v>
          </cell>
          <cell r="H1764">
            <v>7535.3677562927496</v>
          </cell>
          <cell r="I1764">
            <v>58</v>
          </cell>
          <cell r="J1764">
            <v>1.83408334123669E-4</v>
          </cell>
          <cell r="K1764">
            <v>485</v>
          </cell>
          <cell r="L1764">
            <v>125.72498312592801</v>
          </cell>
          <cell r="M1764">
            <v>1857</v>
          </cell>
          <cell r="N1764">
            <v>1.02453541757729E-2</v>
          </cell>
          <cell r="O1764">
            <v>1948</v>
          </cell>
          <cell r="P1764">
            <v>0.22</v>
          </cell>
          <cell r="Q1764">
            <v>1128</v>
          </cell>
        </row>
        <row r="1765">
          <cell r="B1765" t="str">
            <v>LUCERNE 110647198</v>
          </cell>
          <cell r="C1765">
            <v>43351106</v>
          </cell>
          <cell r="D1765" t="str">
            <v>LUCERNE 1106</v>
          </cell>
          <cell r="E1765">
            <v>47198</v>
          </cell>
          <cell r="F1765" t="b">
            <v>0</v>
          </cell>
          <cell r="G1765">
            <v>9365.2067198321602</v>
          </cell>
          <cell r="H1765">
            <v>4939.4620251620599</v>
          </cell>
          <cell r="I1765">
            <v>70</v>
          </cell>
          <cell r="J1765">
            <v>1.0691662298216E-4</v>
          </cell>
          <cell r="K1765">
            <v>1477</v>
          </cell>
          <cell r="L1765">
            <v>39.339668077354801</v>
          </cell>
          <cell r="M1765">
            <v>2280</v>
          </cell>
          <cell r="N1765">
            <v>5.6207124744534097E-3</v>
          </cell>
          <cell r="O1765">
            <v>2173</v>
          </cell>
          <cell r="P1765">
            <v>0.04</v>
          </cell>
          <cell r="Q1765">
            <v>2116</v>
          </cell>
        </row>
        <row r="1766">
          <cell r="B1766" t="str">
            <v>LUCERNE 1106526</v>
          </cell>
          <cell r="C1766">
            <v>43351106</v>
          </cell>
          <cell r="D1766" t="str">
            <v>LUCERNE 1106</v>
          </cell>
          <cell r="E1766">
            <v>526</v>
          </cell>
          <cell r="F1766" t="b">
            <v>0</v>
          </cell>
          <cell r="G1766">
            <v>17461.301231637601</v>
          </cell>
          <cell r="H1766">
            <v>16256.6321327352</v>
          </cell>
          <cell r="I1766">
            <v>100</v>
          </cell>
          <cell r="J1766">
            <v>1.12521329430485E-4</v>
          </cell>
          <cell r="K1766">
            <v>1356</v>
          </cell>
          <cell r="L1766">
            <v>2700.1810164665699</v>
          </cell>
          <cell r="M1766">
            <v>312</v>
          </cell>
          <cell r="N1766">
            <v>0.25318001383033301</v>
          </cell>
          <cell r="O1766">
            <v>210</v>
          </cell>
          <cell r="P1766">
            <v>7.0000000000000007E-2</v>
          </cell>
          <cell r="Q1766">
            <v>1679</v>
          </cell>
        </row>
        <row r="1767">
          <cell r="B1767" t="str">
            <v>LUCERNE 1106664</v>
          </cell>
          <cell r="C1767">
            <v>43351106</v>
          </cell>
          <cell r="D1767" t="str">
            <v>LUCERNE 1106</v>
          </cell>
          <cell r="E1767">
            <v>664</v>
          </cell>
          <cell r="F1767" t="b">
            <v>0</v>
          </cell>
          <cell r="G1767">
            <v>17972.9054458092</v>
          </cell>
          <cell r="H1767">
            <v>15503.1918991689</v>
          </cell>
          <cell r="I1767">
            <v>140</v>
          </cell>
          <cell r="J1767">
            <v>1.3278443907768E-4</v>
          </cell>
          <cell r="K1767">
            <v>964</v>
          </cell>
          <cell r="L1767">
            <v>291.18608758256698</v>
          </cell>
          <cell r="M1767">
            <v>1461</v>
          </cell>
          <cell r="N1767">
            <v>5.0043053046363903E-2</v>
          </cell>
          <cell r="O1767">
            <v>1177</v>
          </cell>
          <cell r="P1767">
            <v>0.12</v>
          </cell>
          <cell r="Q1767">
            <v>1389</v>
          </cell>
        </row>
        <row r="1768">
          <cell r="B1768" t="str">
            <v>LUCERNE 110676850</v>
          </cell>
          <cell r="C1768">
            <v>43351106</v>
          </cell>
          <cell r="D1768" t="str">
            <v>LUCERNE 1106</v>
          </cell>
          <cell r="E1768">
            <v>76850</v>
          </cell>
          <cell r="F1768" t="b">
            <v>0</v>
          </cell>
          <cell r="G1768">
            <v>5941.1146210952402</v>
          </cell>
          <cell r="H1768">
            <v>3458.1260863733901</v>
          </cell>
          <cell r="I1768">
            <v>51</v>
          </cell>
          <cell r="J1768">
            <v>1.2907271886041199E-4</v>
          </cell>
          <cell r="K1768">
            <v>1026</v>
          </cell>
          <cell r="L1768">
            <v>65.463166070891802</v>
          </cell>
          <cell r="M1768">
            <v>2120</v>
          </cell>
          <cell r="N1768">
            <v>7.2690590230315702E-3</v>
          </cell>
          <cell r="O1768">
            <v>2082</v>
          </cell>
          <cell r="P1768">
            <v>0.04</v>
          </cell>
          <cell r="Q1768">
            <v>2220</v>
          </cell>
        </row>
        <row r="1769">
          <cell r="B1769" t="str">
            <v>LUCERNE 1106CB</v>
          </cell>
          <cell r="C1769">
            <v>43351106</v>
          </cell>
          <cell r="D1769" t="str">
            <v>LUCERNE 1106</v>
          </cell>
          <cell r="E1769" t="str">
            <v>CB</v>
          </cell>
          <cell r="F1769" t="b">
            <v>0</v>
          </cell>
          <cell r="G1769">
            <v>5806.4034898376503</v>
          </cell>
          <cell r="H1769">
            <v>3043.2971063550199</v>
          </cell>
          <cell r="I1769">
            <v>48</v>
          </cell>
          <cell r="J1769">
            <v>1.49934314473891E-4</v>
          </cell>
          <cell r="K1769">
            <v>737</v>
          </cell>
          <cell r="L1769">
            <v>3.69367958130956</v>
          </cell>
          <cell r="M1769">
            <v>2784</v>
          </cell>
          <cell r="N1769">
            <v>6.9406714699290399E-4</v>
          </cell>
          <cell r="O1769">
            <v>2687</v>
          </cell>
          <cell r="P1769">
            <v>0.04</v>
          </cell>
          <cell r="Q1769">
            <v>2177</v>
          </cell>
        </row>
        <row r="1770">
          <cell r="B1770" t="str">
            <v>MADISON 1105495270</v>
          </cell>
          <cell r="C1770">
            <v>63171105</v>
          </cell>
          <cell r="D1770" t="str">
            <v>MADISON 1105</v>
          </cell>
          <cell r="E1770">
            <v>495270</v>
          </cell>
          <cell r="F1770" t="b">
            <v>1</v>
          </cell>
          <cell r="G1770">
            <v>13307.702097826101</v>
          </cell>
          <cell r="H1770">
            <v>863.31943726035399</v>
          </cell>
          <cell r="I1770">
            <v>50</v>
          </cell>
          <cell r="J1770">
            <v>9.0841423952952002E-5</v>
          </cell>
          <cell r="K1770">
            <v>1888</v>
          </cell>
          <cell r="L1770">
            <v>589.96672976952004</v>
          </cell>
          <cell r="M1770">
            <v>1113</v>
          </cell>
          <cell r="N1770">
            <v>3.3688183043541001E-2</v>
          </cell>
          <cell r="O1770">
            <v>1397</v>
          </cell>
          <cell r="Q1770">
            <v>2953</v>
          </cell>
        </row>
        <row r="1771">
          <cell r="B1771" t="str">
            <v>MADISON 2101117644</v>
          </cell>
          <cell r="C1771">
            <v>63172101</v>
          </cell>
          <cell r="D1771" t="str">
            <v>MADISON 2101</v>
          </cell>
          <cell r="E1771">
            <v>117644</v>
          </cell>
          <cell r="F1771" t="b">
            <v>0</v>
          </cell>
          <cell r="G1771">
            <v>3757.3781567578799</v>
          </cell>
          <cell r="H1771">
            <v>1080.3525171669301</v>
          </cell>
          <cell r="I1771">
            <v>12</v>
          </cell>
          <cell r="J1771">
            <v>9.3021259393329505E-5</v>
          </cell>
          <cell r="K1771">
            <v>1820</v>
          </cell>
          <cell r="L1771">
            <v>2949.3644506983001</v>
          </cell>
          <cell r="M1771">
            <v>280</v>
          </cell>
          <cell r="N1771">
            <v>0.23987070602101401</v>
          </cell>
          <cell r="O1771">
            <v>236</v>
          </cell>
          <cell r="Q1771">
            <v>3416</v>
          </cell>
        </row>
        <row r="1772">
          <cell r="B1772" t="str">
            <v>MADISON 210113372</v>
          </cell>
          <cell r="C1772">
            <v>63172101</v>
          </cell>
          <cell r="D1772" t="str">
            <v>MADISON 2101</v>
          </cell>
          <cell r="E1772">
            <v>13372</v>
          </cell>
          <cell r="F1772" t="b">
            <v>0</v>
          </cell>
          <cell r="G1772">
            <v>6191.0561427398097</v>
          </cell>
          <cell r="H1772">
            <v>6152.1597228848004</v>
          </cell>
          <cell r="I1772">
            <v>5</v>
          </cell>
          <cell r="J1772">
            <v>3.5403064733448697E-5</v>
          </cell>
          <cell r="K1772">
            <v>3342</v>
          </cell>
          <cell r="L1772">
            <v>4181.88959536319</v>
          </cell>
          <cell r="M1772">
            <v>139</v>
          </cell>
          <cell r="N1772">
            <v>0.17013834719366</v>
          </cell>
          <cell r="O1772">
            <v>436</v>
          </cell>
          <cell r="P1772">
            <v>1.32</v>
          </cell>
          <cell r="Q1772">
            <v>686</v>
          </cell>
        </row>
        <row r="1773">
          <cell r="B1773" t="str">
            <v>MADISON 21011606</v>
          </cell>
          <cell r="C1773">
            <v>63172101</v>
          </cell>
          <cell r="D1773" t="str">
            <v>MADISON 2101</v>
          </cell>
          <cell r="E1773">
            <v>1606</v>
          </cell>
          <cell r="F1773" t="b">
            <v>1</v>
          </cell>
          <cell r="G1773">
            <v>42761.0947534308</v>
          </cell>
          <cell r="H1773">
            <v>254.35305978666301</v>
          </cell>
          <cell r="I1773">
            <v>280</v>
          </cell>
          <cell r="J1773">
            <v>7.0898338023284803E-5</v>
          </cell>
          <cell r="K1773">
            <v>2446</v>
          </cell>
          <cell r="L1773">
            <v>1248.3016831156201</v>
          </cell>
          <cell r="M1773">
            <v>701</v>
          </cell>
          <cell r="N1773">
            <v>7.4510679113403894E-2</v>
          </cell>
          <cell r="O1773">
            <v>941</v>
          </cell>
          <cell r="P1773">
            <v>0.02</v>
          </cell>
          <cell r="Q1773">
            <v>2551</v>
          </cell>
        </row>
        <row r="1774">
          <cell r="B1774" t="str">
            <v>MADISON 2101351038</v>
          </cell>
          <cell r="C1774">
            <v>63172101</v>
          </cell>
          <cell r="D1774" t="str">
            <v>MADISON 2101</v>
          </cell>
          <cell r="E1774">
            <v>351038</v>
          </cell>
          <cell r="F1774" t="b">
            <v>0</v>
          </cell>
          <cell r="G1774">
            <v>22506.966183053999</v>
          </cell>
          <cell r="H1774">
            <v>2661.6552487538102</v>
          </cell>
          <cell r="I1774">
            <v>130</v>
          </cell>
          <cell r="J1774">
            <v>7.0208803564558199E-5</v>
          </cell>
          <cell r="K1774">
            <v>2462</v>
          </cell>
          <cell r="L1774">
            <v>1068.3127471477101</v>
          </cell>
          <cell r="M1774">
            <v>787</v>
          </cell>
          <cell r="N1774">
            <v>6.13155987601674E-2</v>
          </cell>
          <cell r="O1774">
            <v>1051</v>
          </cell>
          <cell r="Q1774">
            <v>3029</v>
          </cell>
        </row>
        <row r="1775">
          <cell r="B1775" t="str">
            <v>MADISON 2101725408</v>
          </cell>
          <cell r="C1775">
            <v>63172101</v>
          </cell>
          <cell r="D1775" t="str">
            <v>MADISON 2101</v>
          </cell>
          <cell r="E1775">
            <v>725408</v>
          </cell>
          <cell r="F1775" t="b">
            <v>0</v>
          </cell>
          <cell r="G1775">
            <v>2105.6405731605701</v>
          </cell>
          <cell r="H1775">
            <v>1530.18971326222</v>
          </cell>
          <cell r="I1775">
            <v>9</v>
          </cell>
          <cell r="J1775">
            <v>9.3020679034654799E-5</v>
          </cell>
          <cell r="K1775">
            <v>1821</v>
          </cell>
          <cell r="L1775">
            <v>2838.0742535244499</v>
          </cell>
          <cell r="M1775">
            <v>294</v>
          </cell>
          <cell r="N1775">
            <v>0.23427245222811</v>
          </cell>
          <cell r="O1775">
            <v>250</v>
          </cell>
          <cell r="Q1775">
            <v>3511</v>
          </cell>
        </row>
        <row r="1776">
          <cell r="B1776" t="str">
            <v>MADISON 2101745850</v>
          </cell>
          <cell r="C1776">
            <v>63172101</v>
          </cell>
          <cell r="D1776" t="str">
            <v>MADISON 2101</v>
          </cell>
          <cell r="E1776">
            <v>745850</v>
          </cell>
          <cell r="F1776" t="b">
            <v>1</v>
          </cell>
          <cell r="G1776">
            <v>1558.6922895507</v>
          </cell>
          <cell r="H1776">
            <v>771.47013727106105</v>
          </cell>
          <cell r="I1776">
            <v>7</v>
          </cell>
          <cell r="J1776">
            <v>5.3175663197180202E-5</v>
          </cell>
          <cell r="K1776">
            <v>2960</v>
          </cell>
          <cell r="L1776">
            <v>3897.9707667737898</v>
          </cell>
          <cell r="M1776">
            <v>158</v>
          </cell>
          <cell r="N1776">
            <v>0.193691167518077</v>
          </cell>
          <cell r="O1776">
            <v>356</v>
          </cell>
          <cell r="Q1776">
            <v>3539</v>
          </cell>
        </row>
        <row r="1777">
          <cell r="B1777" t="str">
            <v>MADISON 2101760730</v>
          </cell>
          <cell r="C1777">
            <v>63172101</v>
          </cell>
          <cell r="D1777" t="str">
            <v>MADISON 2101</v>
          </cell>
          <cell r="E1777">
            <v>760730</v>
          </cell>
          <cell r="F1777" t="b">
            <v>1</v>
          </cell>
          <cell r="G1777">
            <v>4317.2274677728401</v>
          </cell>
          <cell r="H1777">
            <v>964.21002100415899</v>
          </cell>
          <cell r="I1777">
            <v>17</v>
          </cell>
          <cell r="J1777">
            <v>7.5659913016031202E-5</v>
          </cell>
          <cell r="K1777">
            <v>2318</v>
          </cell>
          <cell r="L1777">
            <v>407.70925563037798</v>
          </cell>
          <cell r="M1777">
            <v>1289</v>
          </cell>
          <cell r="N1777">
            <v>3.20955559713317E-2</v>
          </cell>
          <cell r="O1777">
            <v>1427</v>
          </cell>
          <cell r="Q1777">
            <v>3530</v>
          </cell>
        </row>
        <row r="1778">
          <cell r="B1778" t="str">
            <v>MADISON 21017702</v>
          </cell>
          <cell r="C1778">
            <v>63172101</v>
          </cell>
          <cell r="D1778" t="str">
            <v>MADISON 2101</v>
          </cell>
          <cell r="E1778">
            <v>7702</v>
          </cell>
          <cell r="F1778" t="b">
            <v>1</v>
          </cell>
          <cell r="G1778">
            <v>30606.570833648198</v>
          </cell>
          <cell r="H1778">
            <v>0</v>
          </cell>
          <cell r="I1778">
            <v>168</v>
          </cell>
          <cell r="J1778">
            <v>8.5205772815111596E-5</v>
          </cell>
          <cell r="K1778">
            <v>2051</v>
          </cell>
          <cell r="L1778">
            <v>328.439662204461</v>
          </cell>
          <cell r="M1778">
            <v>1400</v>
          </cell>
          <cell r="N1778">
            <v>1.88927812934877E-2</v>
          </cell>
          <cell r="O1778">
            <v>1690</v>
          </cell>
          <cell r="P1778">
            <v>0.04</v>
          </cell>
          <cell r="Q1778">
            <v>2103</v>
          </cell>
        </row>
        <row r="1779">
          <cell r="B1779" t="str">
            <v>MAPLE CREEK 1101555034</v>
          </cell>
          <cell r="C1779">
            <v>192101101</v>
          </cell>
          <cell r="D1779" t="str">
            <v>MAPLE CREEK 1101</v>
          </cell>
          <cell r="E1779">
            <v>555034</v>
          </cell>
          <cell r="F1779" t="b">
            <v>0</v>
          </cell>
          <cell r="G1779">
            <v>4077.2208037965802</v>
          </cell>
          <cell r="H1779">
            <v>2404.9179453823199</v>
          </cell>
          <cell r="I1779">
            <v>8</v>
          </cell>
          <cell r="J1779">
            <v>3.1076312838454798E-4</v>
          </cell>
          <cell r="K1779">
            <v>117</v>
          </cell>
          <cell r="L1779">
            <v>13.913021603055901</v>
          </cell>
          <cell r="M1779">
            <v>2553</v>
          </cell>
          <cell r="N1779">
            <v>3.0460528623549601E-3</v>
          </cell>
          <cell r="O1779">
            <v>2344</v>
          </cell>
          <cell r="Q1779">
            <v>3508</v>
          </cell>
        </row>
        <row r="1780">
          <cell r="B1780" t="str">
            <v>MAPLE CREEK 1101CB</v>
          </cell>
          <cell r="C1780">
            <v>192101101</v>
          </cell>
          <cell r="D1780" t="str">
            <v>MAPLE CREEK 1101</v>
          </cell>
          <cell r="E1780" t="str">
            <v>CB</v>
          </cell>
          <cell r="F1780" t="b">
            <v>0</v>
          </cell>
          <cell r="G1780">
            <v>19709.104576338599</v>
          </cell>
          <cell r="H1780">
            <v>14267.671525326199</v>
          </cell>
          <cell r="I1780">
            <v>60</v>
          </cell>
          <cell r="J1780">
            <v>2.1269839765279401E-4</v>
          </cell>
          <cell r="K1780">
            <v>346</v>
          </cell>
          <cell r="L1780">
            <v>1.2563290502598401</v>
          </cell>
          <cell r="M1780">
            <v>2877</v>
          </cell>
          <cell r="N1780">
            <v>2.3783712174643801E-4</v>
          </cell>
          <cell r="O1780">
            <v>2816</v>
          </cell>
          <cell r="P1780">
            <v>0.11</v>
          </cell>
          <cell r="Q1780">
            <v>1433</v>
          </cell>
        </row>
        <row r="1781">
          <cell r="B1781" t="str">
            <v>MARIPOSA 210110070</v>
          </cell>
          <cell r="C1781">
            <v>254452101</v>
          </cell>
          <cell r="D1781" t="str">
            <v>MARIPOSA 2101</v>
          </cell>
          <cell r="E1781">
            <v>10070</v>
          </cell>
          <cell r="F1781" t="b">
            <v>0</v>
          </cell>
          <cell r="G1781">
            <v>42054.456997578702</v>
          </cell>
          <cell r="H1781">
            <v>42054.456997578702</v>
          </cell>
          <cell r="I1781">
            <v>249</v>
          </cell>
          <cell r="J1781">
            <v>5.9269486325408002E-5</v>
          </cell>
          <cell r="K1781">
            <v>2796</v>
          </cell>
          <cell r="L1781">
            <v>3802.6517607257301</v>
          </cell>
          <cell r="M1781">
            <v>169</v>
          </cell>
          <cell r="N1781">
            <v>0.26439772600245098</v>
          </cell>
          <cell r="O1781">
            <v>187</v>
          </cell>
          <cell r="P1781">
            <v>0.16</v>
          </cell>
          <cell r="Q1781">
            <v>1265</v>
          </cell>
        </row>
        <row r="1782">
          <cell r="B1782" t="str">
            <v>MARIPOSA 210110170</v>
          </cell>
          <cell r="C1782">
            <v>254452101</v>
          </cell>
          <cell r="D1782" t="str">
            <v>MARIPOSA 2101</v>
          </cell>
          <cell r="E1782">
            <v>10170</v>
          </cell>
          <cell r="F1782" t="b">
            <v>0</v>
          </cell>
          <cell r="G1782">
            <v>26253.322100518999</v>
          </cell>
          <cell r="H1782">
            <v>26253.322100518999</v>
          </cell>
          <cell r="I1782">
            <v>149</v>
          </cell>
          <cell r="J1782">
            <v>4.82158595880482E-5</v>
          </cell>
          <cell r="K1782">
            <v>3089</v>
          </cell>
          <cell r="L1782">
            <v>256.17731011113801</v>
          </cell>
          <cell r="M1782">
            <v>1532</v>
          </cell>
          <cell r="N1782">
            <v>1.4293486108445001E-2</v>
          </cell>
          <cell r="O1782">
            <v>1809</v>
          </cell>
          <cell r="P1782">
            <v>83.16</v>
          </cell>
          <cell r="Q1782">
            <v>40</v>
          </cell>
        </row>
        <row r="1783">
          <cell r="B1783" t="str">
            <v>MARIPOSA 210110240</v>
          </cell>
          <cell r="C1783">
            <v>254452101</v>
          </cell>
          <cell r="D1783" t="str">
            <v>MARIPOSA 2101</v>
          </cell>
          <cell r="E1783">
            <v>10240</v>
          </cell>
          <cell r="F1783" t="b">
            <v>0</v>
          </cell>
          <cell r="G1783">
            <v>34689.0589646917</v>
          </cell>
          <cell r="H1783">
            <v>34689.0589646917</v>
          </cell>
          <cell r="I1783">
            <v>189</v>
          </cell>
          <cell r="J1783">
            <v>7.4292132921982502E-5</v>
          </cell>
          <cell r="K1783">
            <v>2350</v>
          </cell>
          <cell r="L1783">
            <v>1439.76118329269</v>
          </cell>
          <cell r="M1783">
            <v>619</v>
          </cell>
          <cell r="N1783">
            <v>0.114309329556358</v>
          </cell>
          <cell r="O1783">
            <v>679</v>
          </cell>
          <cell r="P1783">
            <v>0.31</v>
          </cell>
          <cell r="Q1783">
            <v>1009</v>
          </cell>
        </row>
        <row r="1784">
          <cell r="B1784" t="str">
            <v>MARIPOSA 210110990</v>
          </cell>
          <cell r="C1784">
            <v>254452101</v>
          </cell>
          <cell r="D1784" t="str">
            <v>MARIPOSA 2101</v>
          </cell>
          <cell r="E1784">
            <v>10990</v>
          </cell>
          <cell r="F1784" t="b">
            <v>0</v>
          </cell>
          <cell r="G1784">
            <v>64432.509200624503</v>
          </cell>
          <cell r="H1784">
            <v>64432.509200624503</v>
          </cell>
          <cell r="I1784">
            <v>390</v>
          </cell>
          <cell r="J1784">
            <v>6.2843079864326206E-5</v>
          </cell>
          <cell r="K1784">
            <v>2688</v>
          </cell>
          <cell r="L1784">
            <v>4452.3041256287897</v>
          </cell>
          <cell r="M1784">
            <v>112</v>
          </cell>
          <cell r="N1784">
            <v>0.25970899050190999</v>
          </cell>
          <cell r="O1784">
            <v>199</v>
          </cell>
          <cell r="P1784">
            <v>0.23</v>
          </cell>
          <cell r="Q1784">
            <v>1118</v>
          </cell>
        </row>
        <row r="1785">
          <cell r="B1785" t="str">
            <v>MARIPOSA 2101309438</v>
          </cell>
          <cell r="C1785">
            <v>254452101</v>
          </cell>
          <cell r="D1785" t="str">
            <v>MARIPOSA 2101</v>
          </cell>
          <cell r="E1785">
            <v>309438</v>
          </cell>
          <cell r="F1785" t="b">
            <v>0</v>
          </cell>
          <cell r="G1785">
            <v>13011.730913834101</v>
          </cell>
          <cell r="H1785">
            <v>5938.63218264428</v>
          </cell>
          <cell r="I1785">
            <v>93</v>
          </cell>
          <cell r="J1785">
            <v>1.0698096054012701E-4</v>
          </cell>
          <cell r="K1785">
            <v>1474</v>
          </cell>
          <cell r="L1785">
            <v>1153.72997125334</v>
          </cell>
          <cell r="M1785">
            <v>754</v>
          </cell>
          <cell r="N1785">
            <v>0.12966059211707601</v>
          </cell>
          <cell r="O1785">
            <v>605</v>
          </cell>
          <cell r="Q1785">
            <v>3000</v>
          </cell>
        </row>
        <row r="1786">
          <cell r="B1786" t="str">
            <v>MARIPOSA 210135244</v>
          </cell>
          <cell r="C1786">
            <v>254452101</v>
          </cell>
          <cell r="D1786" t="str">
            <v>MARIPOSA 2101</v>
          </cell>
          <cell r="E1786">
            <v>35244</v>
          </cell>
          <cell r="F1786" t="b">
            <v>0</v>
          </cell>
          <cell r="G1786">
            <v>28098.7686255841</v>
          </cell>
          <cell r="H1786">
            <v>28098.7686255841</v>
          </cell>
          <cell r="I1786">
            <v>146</v>
          </cell>
          <cell r="J1786">
            <v>7.6076399699527905E-5</v>
          </cell>
          <cell r="K1786">
            <v>2306</v>
          </cell>
          <cell r="L1786">
            <v>1918.8042857416201</v>
          </cell>
          <cell r="M1786">
            <v>468</v>
          </cell>
          <cell r="N1786">
            <v>0.172855942744846</v>
          </cell>
          <cell r="O1786">
            <v>428</v>
          </cell>
          <cell r="P1786">
            <v>0.1</v>
          </cell>
          <cell r="Q1786">
            <v>1464</v>
          </cell>
        </row>
        <row r="1787">
          <cell r="B1787" t="str">
            <v>MARIPOSA 2101439030</v>
          </cell>
          <cell r="C1787">
            <v>254452101</v>
          </cell>
          <cell r="D1787" t="str">
            <v>MARIPOSA 2101</v>
          </cell>
          <cell r="E1787">
            <v>439030</v>
          </cell>
          <cell r="F1787" t="b">
            <v>0</v>
          </cell>
          <cell r="G1787">
            <v>31570.111522435702</v>
          </cell>
          <cell r="H1787">
            <v>31570.111522435702</v>
          </cell>
          <cell r="I1787">
            <v>200</v>
          </cell>
          <cell r="J1787">
            <v>4.68128871098731E-5</v>
          </cell>
          <cell r="K1787">
            <v>3117</v>
          </cell>
          <cell r="L1787">
            <v>247.390812432697</v>
          </cell>
          <cell r="M1787">
            <v>1548</v>
          </cell>
          <cell r="N1787">
            <v>1.6434049288657E-2</v>
          </cell>
          <cell r="O1787">
            <v>1756</v>
          </cell>
          <cell r="P1787">
            <v>0.34</v>
          </cell>
          <cell r="Q1787">
            <v>978</v>
          </cell>
        </row>
        <row r="1788">
          <cell r="B1788" t="str">
            <v>MARIPOSA 21014410</v>
          </cell>
          <cell r="C1788">
            <v>254452101</v>
          </cell>
          <cell r="D1788" t="str">
            <v>MARIPOSA 2101</v>
          </cell>
          <cell r="E1788">
            <v>4410</v>
          </cell>
          <cell r="F1788" t="b">
            <v>0</v>
          </cell>
          <cell r="G1788">
            <v>36702.380981011498</v>
          </cell>
          <cell r="H1788">
            <v>36702.380981011498</v>
          </cell>
          <cell r="I1788">
            <v>232</v>
          </cell>
          <cell r="J1788">
            <v>6.2010546132334002E-5</v>
          </cell>
          <cell r="K1788">
            <v>2720</v>
          </cell>
          <cell r="L1788">
            <v>1654.2524744776999</v>
          </cell>
          <cell r="M1788">
            <v>541</v>
          </cell>
          <cell r="N1788">
            <v>0.105478617080009</v>
          </cell>
          <cell r="O1788">
            <v>731</v>
          </cell>
          <cell r="P1788">
            <v>0.16</v>
          </cell>
          <cell r="Q1788">
            <v>1272</v>
          </cell>
        </row>
        <row r="1789">
          <cell r="B1789" t="str">
            <v>MARIPOSA 2101752630</v>
          </cell>
          <cell r="C1789">
            <v>254452101</v>
          </cell>
          <cell r="D1789" t="str">
            <v>MARIPOSA 2101</v>
          </cell>
          <cell r="E1789">
            <v>752630</v>
          </cell>
          <cell r="F1789" t="b">
            <v>0</v>
          </cell>
          <cell r="G1789">
            <v>30558.966252976799</v>
          </cell>
          <cell r="H1789">
            <v>30558.966252976799</v>
          </cell>
          <cell r="I1789">
            <v>154</v>
          </cell>
          <cell r="J1789">
            <v>6.4839883870936504E-5</v>
          </cell>
          <cell r="K1789">
            <v>2614</v>
          </cell>
          <cell r="L1789">
            <v>1699.6448706878</v>
          </cell>
          <cell r="M1789">
            <v>523</v>
          </cell>
          <cell r="N1789">
            <v>0.112047403519575</v>
          </cell>
          <cell r="O1789">
            <v>700</v>
          </cell>
          <cell r="Q1789">
            <v>2886</v>
          </cell>
        </row>
        <row r="1790">
          <cell r="B1790" t="str">
            <v>MARIPOSA 210190130</v>
          </cell>
          <cell r="C1790">
            <v>254452101</v>
          </cell>
          <cell r="D1790" t="str">
            <v>MARIPOSA 2101</v>
          </cell>
          <cell r="E1790">
            <v>90130</v>
          </cell>
          <cell r="F1790" t="b">
            <v>1</v>
          </cell>
          <cell r="G1790">
            <v>151.149940910369</v>
          </cell>
          <cell r="H1790">
            <v>151.149940910369</v>
          </cell>
          <cell r="I1790">
            <v>1</v>
          </cell>
          <cell r="J1790">
            <v>1.6254720685537899E-4</v>
          </cell>
          <cell r="K1790">
            <v>619</v>
          </cell>
          <cell r="L1790">
            <v>10411.546875</v>
          </cell>
          <cell r="M1790">
            <v>1</v>
          </cell>
          <cell r="N1790">
            <v>1.6923678635751001</v>
          </cell>
          <cell r="O1790">
            <v>3</v>
          </cell>
          <cell r="P1790">
            <v>2.44</v>
          </cell>
          <cell r="Q1790">
            <v>603</v>
          </cell>
        </row>
        <row r="1791">
          <cell r="B1791" t="str">
            <v>MARIPOSA 210190180</v>
          </cell>
          <cell r="C1791">
            <v>254452101</v>
          </cell>
          <cell r="D1791" t="str">
            <v>MARIPOSA 2101</v>
          </cell>
          <cell r="E1791">
            <v>90180</v>
          </cell>
          <cell r="F1791" t="b">
            <v>0</v>
          </cell>
          <cell r="G1791">
            <v>7976.0065993520502</v>
          </cell>
          <cell r="H1791">
            <v>7976.0065993520502</v>
          </cell>
          <cell r="I1791">
            <v>49</v>
          </cell>
          <cell r="J1791">
            <v>5.4502182268021999E-5</v>
          </cell>
          <cell r="K1791">
            <v>2932</v>
          </cell>
          <cell r="L1791">
            <v>3678.4222387720101</v>
          </cell>
          <cell r="M1791">
            <v>183</v>
          </cell>
          <cell r="N1791">
            <v>0.20688439618450999</v>
          </cell>
          <cell r="O1791">
            <v>313</v>
          </cell>
          <cell r="P1791">
            <v>0.02</v>
          </cell>
          <cell r="Q1791">
            <v>2514</v>
          </cell>
        </row>
        <row r="1792">
          <cell r="B1792" t="str">
            <v>MARIPOSA 21019400</v>
          </cell>
          <cell r="C1792">
            <v>254452101</v>
          </cell>
          <cell r="D1792" t="str">
            <v>MARIPOSA 2101</v>
          </cell>
          <cell r="E1792">
            <v>9400</v>
          </cell>
          <cell r="F1792" t="b">
            <v>0</v>
          </cell>
          <cell r="G1792">
            <v>101537.780001033</v>
          </cell>
          <cell r="H1792">
            <v>101537.780001033</v>
          </cell>
          <cell r="I1792">
            <v>667</v>
          </cell>
          <cell r="J1792">
            <v>6.68593965397746E-5</v>
          </cell>
          <cell r="K1792">
            <v>2561</v>
          </cell>
          <cell r="L1792">
            <v>1882.7941874822</v>
          </cell>
          <cell r="M1792">
            <v>479</v>
          </cell>
          <cell r="N1792">
            <v>0.11848633114691901</v>
          </cell>
          <cell r="O1792">
            <v>655</v>
          </cell>
          <cell r="P1792">
            <v>1.17</v>
          </cell>
          <cell r="Q1792">
            <v>705</v>
          </cell>
        </row>
        <row r="1793">
          <cell r="B1793" t="str">
            <v>MARIPOSA 210197142</v>
          </cell>
          <cell r="C1793">
            <v>254452101</v>
          </cell>
          <cell r="D1793" t="str">
            <v>MARIPOSA 2101</v>
          </cell>
          <cell r="E1793">
            <v>97142</v>
          </cell>
          <cell r="F1793" t="b">
            <v>0</v>
          </cell>
          <cell r="G1793">
            <v>7406.0615494739404</v>
          </cell>
          <cell r="H1793">
            <v>7406.0615494739404</v>
          </cell>
          <cell r="I1793">
            <v>40</v>
          </cell>
          <cell r="J1793">
            <v>1.0427841607452099E-4</v>
          </cell>
          <cell r="K1793">
            <v>1545</v>
          </cell>
          <cell r="L1793">
            <v>5130.9585015334096</v>
          </cell>
          <cell r="M1793">
            <v>66</v>
          </cell>
          <cell r="N1793">
            <v>0.47121698573295401</v>
          </cell>
          <cell r="O1793">
            <v>36</v>
          </cell>
          <cell r="P1793">
            <v>0.05</v>
          </cell>
          <cell r="Q1793">
            <v>1966</v>
          </cell>
        </row>
        <row r="1794">
          <cell r="B1794" t="str">
            <v>MARIPOSA 2101CB</v>
          </cell>
          <cell r="C1794">
            <v>254452101</v>
          </cell>
          <cell r="D1794" t="str">
            <v>MARIPOSA 2101</v>
          </cell>
          <cell r="E1794" t="str">
            <v>CB</v>
          </cell>
          <cell r="F1794" t="b">
            <v>0</v>
          </cell>
          <cell r="G1794">
            <v>4029.4321376099201</v>
          </cell>
          <cell r="H1794">
            <v>4029.4321376099201</v>
          </cell>
          <cell r="I1794">
            <v>34</v>
          </cell>
          <cell r="J1794">
            <v>1.7445735851223901E-4</v>
          </cell>
          <cell r="K1794">
            <v>532</v>
          </cell>
          <cell r="L1794">
            <v>2332.9064623812101</v>
          </cell>
          <cell r="M1794">
            <v>378</v>
          </cell>
          <cell r="N1794">
            <v>0.398365815289975</v>
          </cell>
          <cell r="O1794">
            <v>57</v>
          </cell>
          <cell r="P1794">
            <v>0.04</v>
          </cell>
          <cell r="Q1794">
            <v>2081</v>
          </cell>
        </row>
        <row r="1795">
          <cell r="B1795" t="str">
            <v>MARIPOSA 210210880</v>
          </cell>
          <cell r="C1795">
            <v>254452102</v>
          </cell>
          <cell r="D1795" t="str">
            <v>MARIPOSA 2102</v>
          </cell>
          <cell r="E1795">
            <v>10880</v>
          </cell>
          <cell r="F1795" t="b">
            <v>0</v>
          </cell>
          <cell r="G1795">
            <v>64212.575658864997</v>
          </cell>
          <cell r="H1795">
            <v>63861.646698372802</v>
          </cell>
          <cell r="I1795">
            <v>362</v>
          </cell>
          <cell r="J1795">
            <v>5.4718815373336002E-5</v>
          </cell>
          <cell r="K1795">
            <v>2925</v>
          </cell>
          <cell r="L1795">
            <v>5019.3026062991603</v>
          </cell>
          <cell r="M1795">
            <v>74</v>
          </cell>
          <cell r="N1795">
            <v>0.26369620733842197</v>
          </cell>
          <cell r="O1795">
            <v>188</v>
          </cell>
          <cell r="P1795">
            <v>0.25</v>
          </cell>
          <cell r="Q1795">
            <v>1077</v>
          </cell>
        </row>
        <row r="1796">
          <cell r="B1796" t="str">
            <v>MARIPOSA 21021960</v>
          </cell>
          <cell r="C1796">
            <v>254452102</v>
          </cell>
          <cell r="D1796" t="str">
            <v>MARIPOSA 2102</v>
          </cell>
          <cell r="E1796">
            <v>1960</v>
          </cell>
          <cell r="F1796" t="b">
            <v>0</v>
          </cell>
          <cell r="G1796">
            <v>39696.7204434546</v>
          </cell>
          <cell r="H1796">
            <v>39696.7204434546</v>
          </cell>
          <cell r="I1796">
            <v>223</v>
          </cell>
          <cell r="J1796">
            <v>4.4649897464697799E-5</v>
          </cell>
          <cell r="K1796">
            <v>3171</v>
          </cell>
          <cell r="L1796">
            <v>4411.9470510771398</v>
          </cell>
          <cell r="M1796">
            <v>113</v>
          </cell>
          <cell r="N1796">
            <v>0.17241628189791</v>
          </cell>
          <cell r="O1796">
            <v>429</v>
          </cell>
          <cell r="P1796">
            <v>0.42</v>
          </cell>
          <cell r="Q1796">
            <v>933</v>
          </cell>
        </row>
        <row r="1797">
          <cell r="B1797" t="str">
            <v>MARIPOSA 2102241564</v>
          </cell>
          <cell r="C1797">
            <v>254452102</v>
          </cell>
          <cell r="D1797" t="str">
            <v>MARIPOSA 2102</v>
          </cell>
          <cell r="E1797">
            <v>241564</v>
          </cell>
          <cell r="F1797" t="b">
            <v>0</v>
          </cell>
          <cell r="G1797">
            <v>1774.1525703070999</v>
          </cell>
          <cell r="H1797">
            <v>1146.9071915915099</v>
          </cell>
          <cell r="I1797">
            <v>14</v>
          </cell>
          <cell r="J1797">
            <v>1.2650006465264501E-4</v>
          </cell>
          <cell r="K1797">
            <v>1073</v>
          </cell>
          <cell r="L1797">
            <v>6191.5313160791902</v>
          </cell>
          <cell r="M1797">
            <v>26</v>
          </cell>
          <cell r="N1797">
            <v>0.77248403992745995</v>
          </cell>
          <cell r="O1797">
            <v>10</v>
          </cell>
          <cell r="Q1797">
            <v>2961</v>
          </cell>
        </row>
        <row r="1798">
          <cell r="B1798" t="str">
            <v>MARIPOSA 210237282</v>
          </cell>
          <cell r="C1798">
            <v>254452102</v>
          </cell>
          <cell r="D1798" t="str">
            <v>MARIPOSA 2102</v>
          </cell>
          <cell r="E1798">
            <v>37282</v>
          </cell>
          <cell r="F1798" t="b">
            <v>0</v>
          </cell>
          <cell r="G1798">
            <v>96262.893053710402</v>
          </cell>
          <cell r="H1798">
            <v>86430.768713738798</v>
          </cell>
          <cell r="I1798">
            <v>498</v>
          </cell>
          <cell r="J1798">
            <v>6.5438513591270498E-5</v>
          </cell>
          <cell r="K1798">
            <v>2602</v>
          </cell>
          <cell r="L1798">
            <v>4244.8756433646904</v>
          </cell>
          <cell r="M1798">
            <v>134</v>
          </cell>
          <cell r="N1798">
            <v>0.24522188653556801</v>
          </cell>
          <cell r="O1798">
            <v>223</v>
          </cell>
          <cell r="P1798">
            <v>0.36</v>
          </cell>
          <cell r="Q1798">
            <v>969</v>
          </cell>
        </row>
        <row r="1799">
          <cell r="B1799" t="str">
            <v>MARIPOSA 210237288</v>
          </cell>
          <cell r="C1799">
            <v>254452102</v>
          </cell>
          <cell r="D1799" t="str">
            <v>MARIPOSA 2102</v>
          </cell>
          <cell r="E1799">
            <v>37288</v>
          </cell>
          <cell r="F1799" t="b">
            <v>0</v>
          </cell>
          <cell r="G1799">
            <v>137232.35064563999</v>
          </cell>
          <cell r="H1799">
            <v>137232.35064563999</v>
          </cell>
          <cell r="I1799">
            <v>678</v>
          </cell>
          <cell r="J1799">
            <v>4.4383477283342099E-5</v>
          </cell>
          <cell r="K1799">
            <v>3179</v>
          </cell>
          <cell r="L1799">
            <v>4408.5685290029396</v>
          </cell>
          <cell r="M1799">
            <v>114</v>
          </cell>
          <cell r="N1799">
            <v>0.18717561424960399</v>
          </cell>
          <cell r="O1799">
            <v>379</v>
          </cell>
          <cell r="P1799">
            <v>0.6</v>
          </cell>
          <cell r="Q1799">
            <v>850</v>
          </cell>
        </row>
        <row r="1800">
          <cell r="B1800" t="str">
            <v>MARIPOSA 2102440236</v>
          </cell>
          <cell r="C1800">
            <v>254452102</v>
          </cell>
          <cell r="D1800" t="str">
            <v>MARIPOSA 2102</v>
          </cell>
          <cell r="E1800">
            <v>440236</v>
          </cell>
          <cell r="F1800" t="b">
            <v>0</v>
          </cell>
          <cell r="G1800">
            <v>6874.8042689189697</v>
          </cell>
          <cell r="H1800">
            <v>6874.8042689189697</v>
          </cell>
          <cell r="I1800">
            <v>38</v>
          </cell>
          <cell r="J1800">
            <v>1.6814403132134101E-4</v>
          </cell>
          <cell r="K1800">
            <v>575</v>
          </cell>
          <cell r="L1800">
            <v>3899.3651112059201</v>
          </cell>
          <cell r="M1800">
            <v>157</v>
          </cell>
          <cell r="N1800">
            <v>0.42049921099677401</v>
          </cell>
          <cell r="O1800">
            <v>50</v>
          </cell>
          <cell r="Q1800">
            <v>3110</v>
          </cell>
        </row>
        <row r="1801">
          <cell r="B1801" t="str">
            <v>MARIPOSA 2102527766</v>
          </cell>
          <cell r="C1801">
            <v>254452102</v>
          </cell>
          <cell r="D1801" t="str">
            <v>MARIPOSA 2102</v>
          </cell>
          <cell r="E1801">
            <v>527766</v>
          </cell>
          <cell r="F1801" t="b">
            <v>1</v>
          </cell>
          <cell r="G1801">
            <v>66.964897012276893</v>
          </cell>
          <cell r="H1801">
            <v>66.964897012276893</v>
          </cell>
          <cell r="I1801">
            <v>1</v>
          </cell>
          <cell r="J1801">
            <v>7.5879215728491504E-5</v>
          </cell>
          <cell r="K1801">
            <v>2310</v>
          </cell>
          <cell r="L1801">
            <v>6.6431909799575806E-2</v>
          </cell>
          <cell r="M1801">
            <v>2954</v>
          </cell>
          <cell r="N1801">
            <v>5.0408012149376998E-6</v>
          </cell>
          <cell r="O1801">
            <v>3264</v>
          </cell>
          <cell r="Q1801">
            <v>3285</v>
          </cell>
        </row>
        <row r="1802">
          <cell r="B1802" t="str">
            <v>MARIPOSA 2102594143</v>
          </cell>
          <cell r="C1802">
            <v>254452102</v>
          </cell>
          <cell r="D1802" t="str">
            <v>MARIPOSA 2102</v>
          </cell>
          <cell r="E1802">
            <v>594143</v>
          </cell>
          <cell r="F1802" t="b">
            <v>1</v>
          </cell>
          <cell r="G1802">
            <v>6633.0439546859598</v>
          </cell>
          <cell r="H1802">
            <v>814.56407010613498</v>
          </cell>
          <cell r="I1802">
            <v>60</v>
          </cell>
          <cell r="J1802">
            <v>9.5762423522197993E-5</v>
          </cell>
          <cell r="K1802">
            <v>1734</v>
          </cell>
          <cell r="L1802">
            <v>729.573677645251</v>
          </cell>
          <cell r="M1802">
            <v>990</v>
          </cell>
          <cell r="N1802">
            <v>0.13461450107460399</v>
          </cell>
          <cell r="O1802">
            <v>587</v>
          </cell>
          <cell r="Q1802">
            <v>3123</v>
          </cell>
        </row>
        <row r="1803">
          <cell r="B1803" t="str">
            <v>MARIPOSA 21029590</v>
          </cell>
          <cell r="C1803">
            <v>254452102</v>
          </cell>
          <cell r="D1803" t="str">
            <v>MARIPOSA 2102</v>
          </cell>
          <cell r="E1803">
            <v>9590</v>
          </cell>
          <cell r="F1803" t="b">
            <v>0</v>
          </cell>
          <cell r="G1803">
            <v>58387.070701442302</v>
          </cell>
          <cell r="H1803">
            <v>58387.070701442302</v>
          </cell>
          <cell r="I1803">
            <v>387</v>
          </cell>
          <cell r="J1803">
            <v>6.1764541425750601E-5</v>
          </cell>
          <cell r="K1803">
            <v>2727</v>
          </cell>
          <cell r="L1803">
            <v>2433.9635803138099</v>
          </cell>
          <cell r="M1803">
            <v>353</v>
          </cell>
          <cell r="N1803">
            <v>0.14399922228020801</v>
          </cell>
          <cell r="O1803">
            <v>551</v>
          </cell>
          <cell r="P1803">
            <v>0.28000000000000003</v>
          </cell>
          <cell r="Q1803">
            <v>1045</v>
          </cell>
        </row>
        <row r="1804">
          <cell r="B1804" t="str">
            <v>MARIPOSA 2102CB</v>
          </cell>
          <cell r="C1804">
            <v>254452102</v>
          </cell>
          <cell r="D1804" t="str">
            <v>MARIPOSA 2102</v>
          </cell>
          <cell r="E1804" t="str">
            <v>CB</v>
          </cell>
          <cell r="F1804" t="b">
            <v>0</v>
          </cell>
          <cell r="G1804">
            <v>8571.1083964416302</v>
          </cell>
          <cell r="H1804">
            <v>8453.5073706584808</v>
          </cell>
          <cell r="I1804">
            <v>31</v>
          </cell>
          <cell r="J1804">
            <v>1.1156167965964401E-4</v>
          </cell>
          <cell r="K1804">
            <v>1382</v>
          </cell>
          <cell r="L1804">
            <v>3466.6155038802799</v>
          </cell>
          <cell r="M1804">
            <v>205</v>
          </cell>
          <cell r="N1804">
            <v>0.47165130693121798</v>
          </cell>
          <cell r="O1804">
            <v>35</v>
          </cell>
          <cell r="P1804">
            <v>0.06</v>
          </cell>
          <cell r="Q1804">
            <v>1807</v>
          </cell>
        </row>
        <row r="1805">
          <cell r="B1805" t="str">
            <v>MARTELL 110111244</v>
          </cell>
          <cell r="C1805">
            <v>163011101</v>
          </cell>
          <cell r="D1805" t="str">
            <v>MARTELL 1101</v>
          </cell>
          <cell r="E1805">
            <v>11244</v>
          </cell>
          <cell r="F1805" t="b">
            <v>0</v>
          </cell>
          <cell r="G1805">
            <v>34513.287772076103</v>
          </cell>
          <cell r="H1805">
            <v>33294.145655909699</v>
          </cell>
          <cell r="I1805">
            <v>202</v>
          </cell>
          <cell r="J1805">
            <v>1.44163409999291E-4</v>
          </cell>
          <cell r="K1805">
            <v>812</v>
          </cell>
          <cell r="L1805">
            <v>70.275515396863895</v>
          </cell>
          <cell r="M1805">
            <v>2093</v>
          </cell>
          <cell r="N1805">
            <v>1.39901545264676E-2</v>
          </cell>
          <cell r="O1805">
            <v>1822</v>
          </cell>
          <cell r="P1805">
            <v>0.12</v>
          </cell>
          <cell r="Q1805">
            <v>1385</v>
          </cell>
        </row>
        <row r="1806">
          <cell r="B1806" t="str">
            <v>MARTELL 11016074</v>
          </cell>
          <cell r="C1806">
            <v>163011101</v>
          </cell>
          <cell r="D1806" t="str">
            <v>MARTELL 1101</v>
          </cell>
          <cell r="E1806">
            <v>6074</v>
          </cell>
          <cell r="F1806" t="b">
            <v>0</v>
          </cell>
          <cell r="G1806">
            <v>5923.6574163270097</v>
          </cell>
          <cell r="H1806">
            <v>5923.6574163270097</v>
          </cell>
          <cell r="I1806">
            <v>34</v>
          </cell>
          <cell r="J1806">
            <v>1.3034245089596901E-4</v>
          </cell>
          <cell r="K1806">
            <v>1003</v>
          </cell>
          <cell r="L1806">
            <v>156.78669678395099</v>
          </cell>
          <cell r="M1806">
            <v>1759</v>
          </cell>
          <cell r="N1806">
            <v>2.7131863298084601E-2</v>
          </cell>
          <cell r="O1806">
            <v>1511</v>
          </cell>
          <cell r="P1806">
            <v>1.63</v>
          </cell>
          <cell r="Q1806">
            <v>660</v>
          </cell>
        </row>
        <row r="1807">
          <cell r="B1807" t="str">
            <v>MARTELL 110191216</v>
          </cell>
          <cell r="C1807">
            <v>163011101</v>
          </cell>
          <cell r="D1807" t="str">
            <v>MARTELL 1101</v>
          </cell>
          <cell r="E1807">
            <v>91216</v>
          </cell>
          <cell r="F1807" t="b">
            <v>0</v>
          </cell>
          <cell r="G1807">
            <v>65291.636116355301</v>
          </cell>
          <cell r="H1807">
            <v>65291.636116355301</v>
          </cell>
          <cell r="I1807">
            <v>380</v>
          </cell>
          <cell r="J1807">
            <v>8.9695444137063499E-5</v>
          </cell>
          <cell r="K1807">
            <v>1922</v>
          </cell>
          <cell r="L1807">
            <v>143.74188258418201</v>
          </cell>
          <cell r="M1807">
            <v>1795</v>
          </cell>
          <cell r="N1807">
            <v>1.0587202639560001E-2</v>
          </cell>
          <cell r="O1807">
            <v>1936</v>
          </cell>
          <cell r="P1807">
            <v>0.25</v>
          </cell>
          <cell r="Q1807">
            <v>1085</v>
          </cell>
        </row>
        <row r="1808">
          <cell r="B1808" t="str">
            <v>MARTELL 110198374</v>
          </cell>
          <cell r="C1808">
            <v>163011101</v>
          </cell>
          <cell r="D1808" t="str">
            <v>MARTELL 1101</v>
          </cell>
          <cell r="E1808">
            <v>98374</v>
          </cell>
          <cell r="F1808" t="b">
            <v>0</v>
          </cell>
          <cell r="G1808">
            <v>6103.4021431505598</v>
          </cell>
          <cell r="H1808">
            <v>1330.8093277482701</v>
          </cell>
          <cell r="I1808">
            <v>46</v>
          </cell>
          <cell r="J1808">
            <v>1.19858280453152E-4</v>
          </cell>
          <cell r="K1808">
            <v>1189</v>
          </cell>
          <cell r="L1808">
            <v>56.1693803092218</v>
          </cell>
          <cell r="M1808">
            <v>2175</v>
          </cell>
          <cell r="N1808">
            <v>1.16164556834151E-2</v>
          </cell>
          <cell r="O1808">
            <v>1898</v>
          </cell>
          <cell r="P1808">
            <v>0.02</v>
          </cell>
          <cell r="Q1808">
            <v>2442</v>
          </cell>
        </row>
        <row r="1809">
          <cell r="B1809" t="str">
            <v>MARTELL 1101CB</v>
          </cell>
          <cell r="C1809">
            <v>163011101</v>
          </cell>
          <cell r="D1809" t="str">
            <v>MARTELL 1101</v>
          </cell>
          <cell r="E1809" t="str">
            <v>CB</v>
          </cell>
          <cell r="F1809" t="b">
            <v>0</v>
          </cell>
          <cell r="G1809">
            <v>21488.114635204001</v>
          </cell>
          <cell r="H1809">
            <v>9459.2641923901792</v>
          </cell>
          <cell r="I1809">
            <v>171</v>
          </cell>
          <cell r="J1809">
            <v>1.4623182960881199E-4</v>
          </cell>
          <cell r="K1809">
            <v>785</v>
          </cell>
          <cell r="L1809">
            <v>382.80276925420202</v>
          </cell>
          <cell r="M1809">
            <v>1314</v>
          </cell>
          <cell r="N1809">
            <v>6.7405287952027507E-2</v>
          </cell>
          <cell r="O1809">
            <v>999</v>
          </cell>
          <cell r="P1809">
            <v>0.05</v>
          </cell>
          <cell r="Q1809">
            <v>1971</v>
          </cell>
        </row>
        <row r="1810">
          <cell r="B1810" t="str">
            <v>MARTELL 110292172</v>
          </cell>
          <cell r="C1810">
            <v>163011102</v>
          </cell>
          <cell r="D1810" t="str">
            <v>MARTELL 1102</v>
          </cell>
          <cell r="E1810">
            <v>92172</v>
          </cell>
          <cell r="F1810" t="b">
            <v>1</v>
          </cell>
          <cell r="G1810">
            <v>5246.1470620881901</v>
          </cell>
          <cell r="H1810">
            <v>190.79470789901799</v>
          </cell>
          <cell r="I1810">
            <v>45</v>
          </cell>
          <cell r="J1810">
            <v>1.25969097603552E-4</v>
          </cell>
          <cell r="K1810">
            <v>1079</v>
          </cell>
          <cell r="L1810">
            <v>55.645808233462603</v>
          </cell>
          <cell r="M1810">
            <v>2177</v>
          </cell>
          <cell r="N1810">
            <v>7.8638180680931698E-3</v>
          </cell>
          <cell r="O1810">
            <v>2054</v>
          </cell>
          <cell r="P1810">
            <v>0.61</v>
          </cell>
          <cell r="Q1810">
            <v>846</v>
          </cell>
        </row>
        <row r="1811">
          <cell r="B1811" t="str">
            <v>MARTELL 110299214</v>
          </cell>
          <cell r="C1811">
            <v>163011102</v>
          </cell>
          <cell r="D1811" t="str">
            <v>MARTELL 1102</v>
          </cell>
          <cell r="E1811">
            <v>99214</v>
          </cell>
          <cell r="F1811" t="b">
            <v>0</v>
          </cell>
          <cell r="G1811">
            <v>3296.9506383551702</v>
          </cell>
          <cell r="H1811">
            <v>2953.53904855273</v>
          </cell>
          <cell r="I1811">
            <v>21</v>
          </cell>
          <cell r="J1811">
            <v>1.4798126903769999E-4</v>
          </cell>
          <cell r="K1811">
            <v>764</v>
          </cell>
          <cell r="L1811">
            <v>541.67697068085204</v>
          </cell>
          <cell r="M1811">
            <v>1157</v>
          </cell>
          <cell r="N1811">
            <v>4.0837502490189699E-2</v>
          </cell>
          <cell r="O1811">
            <v>1289</v>
          </cell>
          <cell r="P1811">
            <v>0.04</v>
          </cell>
          <cell r="Q1811">
            <v>2193</v>
          </cell>
        </row>
        <row r="1812">
          <cell r="B1812" t="str">
            <v>MARTELL 1102CB</v>
          </cell>
          <cell r="C1812">
            <v>163011102</v>
          </cell>
          <cell r="D1812" t="str">
            <v>MARTELL 1102</v>
          </cell>
          <cell r="E1812" t="str">
            <v>CB</v>
          </cell>
          <cell r="F1812" t="b">
            <v>0</v>
          </cell>
          <cell r="G1812">
            <v>10972.056063398901</v>
          </cell>
          <cell r="H1812">
            <v>9142.0743736405802</v>
          </cell>
          <cell r="I1812">
            <v>69</v>
          </cell>
          <cell r="J1812">
            <v>1.4428667054744399E-4</v>
          </cell>
          <cell r="K1812">
            <v>809</v>
          </cell>
          <cell r="L1812">
            <v>861.73389541142501</v>
          </cell>
          <cell r="M1812">
            <v>908</v>
          </cell>
          <cell r="N1812">
            <v>8.5670421131647106E-2</v>
          </cell>
          <cell r="O1812">
            <v>855</v>
          </cell>
          <cell r="P1812">
            <v>0.08</v>
          </cell>
          <cell r="Q1812">
            <v>1609</v>
          </cell>
        </row>
        <row r="1813">
          <cell r="B1813" t="str">
            <v>MARTELL 11033152</v>
          </cell>
          <cell r="C1813">
            <v>163011103</v>
          </cell>
          <cell r="D1813" t="str">
            <v>MARTELL 1103</v>
          </cell>
          <cell r="E1813">
            <v>3152</v>
          </cell>
          <cell r="F1813" t="b">
            <v>0</v>
          </cell>
          <cell r="G1813">
            <v>27364.603615806001</v>
          </cell>
          <cell r="H1813">
            <v>26923.325535269301</v>
          </cell>
          <cell r="I1813">
            <v>134</v>
          </cell>
          <cell r="J1813">
            <v>8.4437801744666294E-5</v>
          </cell>
          <cell r="K1813">
            <v>2079</v>
          </cell>
          <cell r="L1813">
            <v>1552.0849231203399</v>
          </cell>
          <cell r="M1813">
            <v>578</v>
          </cell>
          <cell r="N1813">
            <v>0.11955820649082199</v>
          </cell>
          <cell r="O1813">
            <v>648</v>
          </cell>
          <cell r="P1813">
            <v>0.08</v>
          </cell>
          <cell r="Q1813">
            <v>1624</v>
          </cell>
        </row>
        <row r="1814">
          <cell r="B1814" t="str">
            <v>MARTELL 110368192</v>
          </cell>
          <cell r="C1814">
            <v>163011103</v>
          </cell>
          <cell r="D1814" t="str">
            <v>MARTELL 1103</v>
          </cell>
          <cell r="E1814">
            <v>68192</v>
          </cell>
          <cell r="F1814" t="b">
            <v>0</v>
          </cell>
          <cell r="G1814">
            <v>10168.995794516501</v>
          </cell>
          <cell r="H1814">
            <v>4402.6894382823102</v>
          </cell>
          <cell r="I1814">
            <v>72</v>
          </cell>
          <cell r="J1814">
            <v>1.2081417483184599E-4</v>
          </cell>
          <cell r="K1814">
            <v>1168</v>
          </cell>
          <cell r="L1814">
            <v>238.56355308633201</v>
          </cell>
          <cell r="M1814">
            <v>1570</v>
          </cell>
          <cell r="N1814">
            <v>3.79724015817978E-2</v>
          </cell>
          <cell r="O1814">
            <v>1330</v>
          </cell>
          <cell r="P1814">
            <v>0.05</v>
          </cell>
          <cell r="Q1814">
            <v>1932</v>
          </cell>
        </row>
        <row r="1815">
          <cell r="B1815" t="str">
            <v>MARTELL 1103CB</v>
          </cell>
          <cell r="C1815">
            <v>163011103</v>
          </cell>
          <cell r="D1815" t="str">
            <v>MARTELL 1103</v>
          </cell>
          <cell r="E1815" t="str">
            <v>CB</v>
          </cell>
          <cell r="F1815" t="b">
            <v>0</v>
          </cell>
          <cell r="G1815">
            <v>10088.664938024</v>
          </cell>
          <cell r="H1815">
            <v>2844.86606138056</v>
          </cell>
          <cell r="I1815">
            <v>76</v>
          </cell>
          <cell r="J1815">
            <v>1.18616325284835E-4</v>
          </cell>
          <cell r="K1815">
            <v>1213</v>
          </cell>
          <cell r="L1815">
            <v>152.453672765768</v>
          </cell>
          <cell r="M1815">
            <v>1770</v>
          </cell>
          <cell r="N1815">
            <v>2.5924338069851401E-2</v>
          </cell>
          <cell r="O1815">
            <v>1536</v>
          </cell>
          <cell r="P1815">
            <v>0.01</v>
          </cell>
          <cell r="Q1815">
            <v>2606</v>
          </cell>
        </row>
        <row r="1816">
          <cell r="B1816" t="str">
            <v>MAXWELL 11053008</v>
          </cell>
          <cell r="C1816">
            <v>62881105</v>
          </cell>
          <cell r="D1816" t="str">
            <v>MAXWELL 1105</v>
          </cell>
          <cell r="E1816">
            <v>3008</v>
          </cell>
          <cell r="F1816" t="b">
            <v>0</v>
          </cell>
          <cell r="G1816">
            <v>24475.224988071099</v>
          </cell>
          <cell r="H1816">
            <v>13636.9493035909</v>
          </cell>
          <cell r="I1816">
            <v>55</v>
          </cell>
          <cell r="J1816">
            <v>6.8765698219352706E-5</v>
          </cell>
          <cell r="K1816">
            <v>2515</v>
          </cell>
          <cell r="L1816">
            <v>2119.50291921283</v>
          </cell>
          <cell r="M1816">
            <v>421</v>
          </cell>
          <cell r="N1816">
            <v>0.120203763695831</v>
          </cell>
          <cell r="O1816">
            <v>643</v>
          </cell>
          <cell r="P1816">
            <v>0.01</v>
          </cell>
          <cell r="Q1816">
            <v>2614</v>
          </cell>
        </row>
        <row r="1817">
          <cell r="B1817" t="str">
            <v>MC ARTHUR 11011488</v>
          </cell>
          <cell r="C1817">
            <v>103491101</v>
          </cell>
          <cell r="D1817" t="str">
            <v>MC ARTHUR 1101</v>
          </cell>
          <cell r="E1817">
            <v>1488</v>
          </cell>
          <cell r="F1817" t="b">
            <v>0</v>
          </cell>
          <cell r="G1817">
            <v>53867.327990170903</v>
          </cell>
          <cell r="H1817">
            <v>3970.6556881143702</v>
          </cell>
          <cell r="I1817">
            <v>217</v>
          </cell>
          <cell r="J1817">
            <v>3.78967193964421E-5</v>
          </cell>
          <cell r="K1817">
            <v>3301</v>
          </cell>
          <cell r="L1817">
            <v>226.84466454545199</v>
          </cell>
          <cell r="M1817">
            <v>1594</v>
          </cell>
          <cell r="N1817">
            <v>1.7140347243068801E-2</v>
          </cell>
          <cell r="O1817">
            <v>1736</v>
          </cell>
          <cell r="P1817">
            <v>0.01</v>
          </cell>
          <cell r="Q1817">
            <v>2597</v>
          </cell>
        </row>
        <row r="1818">
          <cell r="B1818" t="str">
            <v>MC ARTHUR 11011490</v>
          </cell>
          <cell r="C1818">
            <v>103491101</v>
          </cell>
          <cell r="D1818" t="str">
            <v>MC ARTHUR 1101</v>
          </cell>
          <cell r="E1818">
            <v>1490</v>
          </cell>
          <cell r="F1818" t="b">
            <v>0</v>
          </cell>
          <cell r="G1818">
            <v>24262.143012490302</v>
          </cell>
          <cell r="H1818">
            <v>16986.950312579</v>
          </cell>
          <cell r="I1818">
            <v>122</v>
          </cell>
          <cell r="J1818">
            <v>4.6732499860568599E-5</v>
          </cell>
          <cell r="K1818">
            <v>3120</v>
          </cell>
          <cell r="L1818">
            <v>1014.44441064132</v>
          </cell>
          <cell r="M1818">
            <v>820</v>
          </cell>
          <cell r="N1818">
            <v>4.9699644700244697E-2</v>
          </cell>
          <cell r="O1818">
            <v>1181</v>
          </cell>
          <cell r="P1818">
            <v>0.01</v>
          </cell>
          <cell r="Q1818">
            <v>2607</v>
          </cell>
        </row>
        <row r="1819">
          <cell r="B1819" t="str">
            <v>MC ARTHUR 11011544</v>
          </cell>
          <cell r="C1819">
            <v>103491101</v>
          </cell>
          <cell r="D1819" t="str">
            <v>MC ARTHUR 1101</v>
          </cell>
          <cell r="E1819">
            <v>1544</v>
          </cell>
          <cell r="F1819" t="b">
            <v>0</v>
          </cell>
          <cell r="G1819">
            <v>44972.286642991203</v>
          </cell>
          <cell r="H1819">
            <v>27291.008490904202</v>
          </cell>
          <cell r="I1819">
            <v>135</v>
          </cell>
          <cell r="J1819">
            <v>2.48638056333039E-5</v>
          </cell>
          <cell r="K1819">
            <v>3497</v>
          </cell>
          <cell r="L1819">
            <v>2130.6473731323599</v>
          </cell>
          <cell r="M1819">
            <v>417</v>
          </cell>
          <cell r="N1819">
            <v>4.4056109160606198E-2</v>
          </cell>
          <cell r="O1819">
            <v>1241</v>
          </cell>
          <cell r="P1819">
            <v>0</v>
          </cell>
          <cell r="Q1819">
            <v>2640</v>
          </cell>
        </row>
        <row r="1820">
          <cell r="B1820" t="str">
            <v>MC ARTHUR 11011546</v>
          </cell>
          <cell r="C1820">
            <v>103491101</v>
          </cell>
          <cell r="D1820" t="str">
            <v>MC ARTHUR 1101</v>
          </cell>
          <cell r="E1820">
            <v>1546</v>
          </cell>
          <cell r="F1820" t="b">
            <v>0</v>
          </cell>
          <cell r="G1820">
            <v>37312.908730346702</v>
          </cell>
          <cell r="H1820">
            <v>22193.9329072209</v>
          </cell>
          <cell r="I1820">
            <v>102</v>
          </cell>
          <cell r="J1820">
            <v>2.0489175925348999E-5</v>
          </cell>
          <cell r="K1820">
            <v>3539</v>
          </cell>
          <cell r="L1820">
            <v>794.38749503001497</v>
          </cell>
          <cell r="M1820">
            <v>945</v>
          </cell>
          <cell r="N1820">
            <v>1.9257918358040201E-2</v>
          </cell>
          <cell r="O1820">
            <v>1685</v>
          </cell>
          <cell r="P1820">
            <v>0.02</v>
          </cell>
          <cell r="Q1820">
            <v>2496</v>
          </cell>
        </row>
        <row r="1821">
          <cell r="B1821" t="str">
            <v>MC ARTHUR 110137344</v>
          </cell>
          <cell r="C1821">
            <v>103491101</v>
          </cell>
          <cell r="D1821" t="str">
            <v>MC ARTHUR 1101</v>
          </cell>
          <cell r="E1821">
            <v>37344</v>
          </cell>
          <cell r="F1821" t="b">
            <v>1</v>
          </cell>
          <cell r="G1821">
            <v>14261.5059134897</v>
          </cell>
          <cell r="H1821">
            <v>181.34057466707699</v>
          </cell>
          <cell r="I1821">
            <v>75</v>
          </cell>
          <cell r="J1821">
            <v>2.2098377949327099E-5</v>
          </cell>
          <cell r="K1821">
            <v>3519</v>
          </cell>
          <cell r="L1821">
            <v>310.27375517573199</v>
          </cell>
          <cell r="M1821">
            <v>1432</v>
          </cell>
          <cell r="N1821">
            <v>1.47677367282496E-2</v>
          </cell>
          <cell r="O1821">
            <v>1790</v>
          </cell>
          <cell r="P1821">
            <v>0.01</v>
          </cell>
          <cell r="Q1821">
            <v>2575</v>
          </cell>
        </row>
        <row r="1822">
          <cell r="B1822" t="str">
            <v>MC ARTHUR 110137388</v>
          </cell>
          <cell r="C1822">
            <v>103491101</v>
          </cell>
          <cell r="D1822" t="str">
            <v>MC ARTHUR 1101</v>
          </cell>
          <cell r="E1822">
            <v>37388</v>
          </cell>
          <cell r="F1822" t="b">
            <v>0</v>
          </cell>
          <cell r="G1822">
            <v>20103.568219648601</v>
          </cell>
          <cell r="H1822">
            <v>13050.406685116201</v>
          </cell>
          <cell r="I1822">
            <v>56</v>
          </cell>
          <cell r="J1822">
            <v>2.1125510270562802E-5</v>
          </cell>
          <cell r="K1822">
            <v>3533</v>
          </cell>
          <cell r="L1822">
            <v>2437.48804208815</v>
          </cell>
          <cell r="M1822">
            <v>352</v>
          </cell>
          <cell r="N1822">
            <v>4.6193409241595998E-2</v>
          </cell>
          <cell r="O1822">
            <v>1220</v>
          </cell>
          <cell r="P1822">
            <v>0</v>
          </cell>
          <cell r="Q1822">
            <v>2639</v>
          </cell>
        </row>
        <row r="1823">
          <cell r="B1823" t="str">
            <v>MC ARTHUR 110138998</v>
          </cell>
          <cell r="C1823">
            <v>103491101</v>
          </cell>
          <cell r="D1823" t="str">
            <v>MC ARTHUR 1101</v>
          </cell>
          <cell r="E1823">
            <v>38998</v>
          </cell>
          <cell r="F1823" t="b">
            <v>1</v>
          </cell>
          <cell r="G1823">
            <v>9317.0359011738492</v>
          </cell>
          <cell r="H1823">
            <v>189.497607627695</v>
          </cell>
          <cell r="I1823">
            <v>61</v>
          </cell>
          <cell r="J1823">
            <v>3.4999901538971902E-5</v>
          </cell>
          <cell r="K1823">
            <v>3353</v>
          </cell>
          <cell r="L1823">
            <v>912.91326529199398</v>
          </cell>
          <cell r="M1823">
            <v>879</v>
          </cell>
          <cell r="N1823">
            <v>4.6064241416095997E-2</v>
          </cell>
          <cell r="O1823">
            <v>1225</v>
          </cell>
          <cell r="P1823">
            <v>0.01</v>
          </cell>
          <cell r="Q1823">
            <v>2570</v>
          </cell>
        </row>
        <row r="1824">
          <cell r="B1824" t="str">
            <v>MC ARTHUR 1101501106</v>
          </cell>
          <cell r="C1824">
            <v>103491101</v>
          </cell>
          <cell r="D1824" t="str">
            <v>MC ARTHUR 1101</v>
          </cell>
          <cell r="E1824">
            <v>501106</v>
          </cell>
          <cell r="F1824" t="b">
            <v>0</v>
          </cell>
          <cell r="G1824">
            <v>16962.6838656246</v>
          </cell>
          <cell r="H1824">
            <v>16083.896007170701</v>
          </cell>
          <cell r="I1824">
            <v>86</v>
          </cell>
          <cell r="J1824">
            <v>2.2873662108698498E-5</v>
          </cell>
          <cell r="K1824">
            <v>3513</v>
          </cell>
          <cell r="L1824">
            <v>4753.3760402662801</v>
          </cell>
          <cell r="M1824">
            <v>97</v>
          </cell>
          <cell r="N1824">
            <v>0.11248148844270001</v>
          </cell>
          <cell r="O1824">
            <v>694</v>
          </cell>
          <cell r="Q1824">
            <v>2889</v>
          </cell>
        </row>
        <row r="1825">
          <cell r="B1825" t="str">
            <v>MC ARTHUR 110153120</v>
          </cell>
          <cell r="C1825">
            <v>103491101</v>
          </cell>
          <cell r="D1825" t="str">
            <v>MC ARTHUR 1101</v>
          </cell>
          <cell r="E1825">
            <v>53120</v>
          </cell>
          <cell r="F1825" t="b">
            <v>1</v>
          </cell>
          <cell r="G1825">
            <v>12732.0319853163</v>
          </cell>
          <cell r="H1825">
            <v>173.17659504625499</v>
          </cell>
          <cell r="I1825">
            <v>92</v>
          </cell>
          <cell r="J1825">
            <v>2.9816255801551399E-5</v>
          </cell>
          <cell r="K1825">
            <v>3429</v>
          </cell>
          <cell r="L1825">
            <v>159.009349528775</v>
          </cell>
          <cell r="M1825">
            <v>1750</v>
          </cell>
          <cell r="N1825">
            <v>4.18298305132678E-3</v>
          </cell>
          <cell r="O1825">
            <v>2248</v>
          </cell>
          <cell r="Q1825">
            <v>2793</v>
          </cell>
        </row>
        <row r="1826">
          <cell r="B1826" t="str">
            <v>MC ARTHUR 1101648698</v>
          </cell>
          <cell r="C1826">
            <v>103491101</v>
          </cell>
          <cell r="D1826" t="str">
            <v>MC ARTHUR 1101</v>
          </cell>
          <cell r="E1826">
            <v>648698</v>
          </cell>
          <cell r="F1826" t="b">
            <v>0</v>
          </cell>
          <cell r="G1826">
            <v>30462.369938331802</v>
          </cell>
          <cell r="H1826">
            <v>17135.045425837201</v>
          </cell>
          <cell r="I1826">
            <v>173</v>
          </cell>
          <cell r="J1826">
            <v>2.2209327874859001E-5</v>
          </cell>
          <cell r="K1826">
            <v>3516</v>
          </cell>
          <cell r="L1826">
            <v>1031.0161263944301</v>
          </cell>
          <cell r="M1826">
            <v>807</v>
          </cell>
          <cell r="N1826">
            <v>2.2254612004273502E-2</v>
          </cell>
          <cell r="O1826">
            <v>1626</v>
          </cell>
          <cell r="Q1826">
            <v>2707</v>
          </cell>
        </row>
        <row r="1827">
          <cell r="B1827" t="str">
            <v>MC ARTHUR 11021324</v>
          </cell>
          <cell r="C1827">
            <v>103491102</v>
          </cell>
          <cell r="D1827" t="str">
            <v>MC ARTHUR 1102</v>
          </cell>
          <cell r="E1827">
            <v>1324</v>
          </cell>
          <cell r="F1827" t="b">
            <v>0</v>
          </cell>
          <cell r="G1827">
            <v>38651.454890707697</v>
          </cell>
          <cell r="H1827">
            <v>1638.5898399479699</v>
          </cell>
          <cell r="I1827">
            <v>169</v>
          </cell>
          <cell r="J1827">
            <v>2.2049922609953501E-5</v>
          </cell>
          <cell r="K1827">
            <v>3520</v>
          </cell>
          <cell r="L1827">
            <v>325.23705851713601</v>
          </cell>
          <cell r="M1827">
            <v>1405</v>
          </cell>
          <cell r="N1827">
            <v>9.1756169958904805E-3</v>
          </cell>
          <cell r="O1827">
            <v>1996</v>
          </cell>
          <cell r="P1827">
            <v>0.02</v>
          </cell>
          <cell r="Q1827">
            <v>2488</v>
          </cell>
        </row>
        <row r="1828">
          <cell r="B1828" t="str">
            <v>MC ARTHUR 1102542920</v>
          </cell>
          <cell r="C1828">
            <v>103491102</v>
          </cell>
          <cell r="D1828" t="str">
            <v>MC ARTHUR 1102</v>
          </cell>
          <cell r="E1828">
            <v>542920</v>
          </cell>
          <cell r="F1828" t="b">
            <v>0</v>
          </cell>
          <cell r="G1828">
            <v>2484.2159961176799</v>
          </cell>
          <cell r="H1828">
            <v>2034.83193930722</v>
          </cell>
          <cell r="I1828">
            <v>10</v>
          </cell>
          <cell r="J1828">
            <v>2.94304999442829E-5</v>
          </cell>
          <cell r="K1828">
            <v>3433</v>
          </cell>
          <cell r="L1828">
            <v>2350.3357295901001</v>
          </cell>
          <cell r="M1828">
            <v>372</v>
          </cell>
          <cell r="N1828">
            <v>6.4427464443782306E-2</v>
          </cell>
          <cell r="O1828">
            <v>1024</v>
          </cell>
          <cell r="Q1828">
            <v>3478</v>
          </cell>
        </row>
        <row r="1829">
          <cell r="B1829" t="str">
            <v>MC KEE 1103XR028</v>
          </cell>
          <cell r="C1829">
            <v>83531103</v>
          </cell>
          <cell r="D1829" t="str">
            <v>MC KEE 1103</v>
          </cell>
          <cell r="E1829" t="str">
            <v>XR028</v>
          </cell>
          <cell r="F1829" t="b">
            <v>0</v>
          </cell>
          <cell r="G1829">
            <v>16732.966353388802</v>
          </cell>
          <cell r="H1829">
            <v>1226.57960902795</v>
          </cell>
          <cell r="I1829">
            <v>134</v>
          </cell>
          <cell r="J1829">
            <v>6.2050465299092202E-5</v>
          </cell>
          <cell r="K1829">
            <v>2717</v>
          </cell>
          <cell r="L1829">
            <v>31.864992527247999</v>
          </cell>
          <cell r="M1829">
            <v>2330</v>
          </cell>
          <cell r="N1829">
            <v>2.4946160693084499E-3</v>
          </cell>
          <cell r="O1829">
            <v>2415</v>
          </cell>
          <cell r="P1829">
            <v>0.03</v>
          </cell>
          <cell r="Q1829">
            <v>2231</v>
          </cell>
        </row>
        <row r="1830">
          <cell r="B1830" t="str">
            <v>MC KEE 1107XR010</v>
          </cell>
          <cell r="C1830">
            <v>83531107</v>
          </cell>
          <cell r="D1830" t="str">
            <v>MC KEE 1107</v>
          </cell>
          <cell r="E1830" t="str">
            <v>XR010</v>
          </cell>
          <cell r="F1830" t="b">
            <v>0</v>
          </cell>
          <cell r="G1830">
            <v>22011.392448809798</v>
          </cell>
          <cell r="H1830">
            <v>4483.0278297479699</v>
          </cell>
          <cell r="I1830">
            <v>160</v>
          </cell>
          <cell r="J1830">
            <v>7.8728864312474397E-5</v>
          </cell>
          <cell r="K1830">
            <v>2242</v>
          </cell>
          <cell r="L1830">
            <v>168.06526505937899</v>
          </cell>
          <cell r="M1830">
            <v>1726</v>
          </cell>
          <cell r="N1830">
            <v>1.44074295049721E-2</v>
          </cell>
          <cell r="O1830">
            <v>1804</v>
          </cell>
          <cell r="P1830">
            <v>0.05</v>
          </cell>
          <cell r="Q1830">
            <v>1996</v>
          </cell>
        </row>
        <row r="1831">
          <cell r="B1831" t="str">
            <v>MC KEE 1108976553</v>
          </cell>
          <cell r="C1831">
            <v>83531108</v>
          </cell>
          <cell r="D1831" t="str">
            <v>MC KEE 1108</v>
          </cell>
          <cell r="E1831">
            <v>976553</v>
          </cell>
          <cell r="F1831" t="b">
            <v>0</v>
          </cell>
          <cell r="G1831">
            <v>3112.5675516033698</v>
          </cell>
          <cell r="H1831">
            <v>1744.6034635218</v>
          </cell>
          <cell r="I1831">
            <v>20</v>
          </cell>
          <cell r="J1831">
            <v>6.6998643483707804E-5</v>
          </cell>
          <cell r="K1831">
            <v>2557</v>
          </cell>
          <cell r="L1831">
            <v>174.51734462415899</v>
          </cell>
          <cell r="M1831">
            <v>1699</v>
          </cell>
          <cell r="N1831">
            <v>1.2197037846897499E-2</v>
          </cell>
          <cell r="O1831">
            <v>1875</v>
          </cell>
          <cell r="Q1831">
            <v>3407</v>
          </cell>
        </row>
        <row r="1832">
          <cell r="B1832" t="str">
            <v>MC KEE 1111711900</v>
          </cell>
          <cell r="C1832">
            <v>83531111</v>
          </cell>
          <cell r="D1832" t="str">
            <v>MC KEE 1111</v>
          </cell>
          <cell r="E1832">
            <v>711900</v>
          </cell>
          <cell r="F1832" t="b">
            <v>0</v>
          </cell>
          <cell r="G1832">
            <v>20250.2666518312</v>
          </cell>
          <cell r="H1832">
            <v>14456.159394127901</v>
          </cell>
          <cell r="I1832">
            <v>116</v>
          </cell>
          <cell r="J1832">
            <v>7.6946009927383898E-5</v>
          </cell>
          <cell r="K1832">
            <v>2288</v>
          </cell>
          <cell r="L1832">
            <v>301.110956156295</v>
          </cell>
          <cell r="M1832">
            <v>1446</v>
          </cell>
          <cell r="N1832">
            <v>2.8347418011652602E-2</v>
          </cell>
          <cell r="O1832">
            <v>1492</v>
          </cell>
          <cell r="P1832">
            <v>0.24</v>
          </cell>
          <cell r="Q1832">
            <v>1097</v>
          </cell>
        </row>
        <row r="1833">
          <cell r="B1833" t="str">
            <v>MEADOW LANE 2106C558R</v>
          </cell>
          <cell r="C1833">
            <v>14302106</v>
          </cell>
          <cell r="D1833" t="str">
            <v>MEADOW LANE 2106</v>
          </cell>
          <cell r="E1833" t="str">
            <v>C558R</v>
          </cell>
          <cell r="F1833" t="b">
            <v>0</v>
          </cell>
          <cell r="G1833">
            <v>23093.6755266398</v>
          </cell>
          <cell r="H1833">
            <v>1942.50320720024</v>
          </cell>
          <cell r="I1833">
            <v>180</v>
          </cell>
          <cell r="J1833">
            <v>4.74162755221967E-5</v>
          </cell>
          <cell r="K1833">
            <v>3106</v>
          </cell>
          <cell r="L1833">
            <v>10.0864415354622</v>
          </cell>
          <cell r="M1833">
            <v>2623</v>
          </cell>
          <cell r="N1833">
            <v>5.9157700186305803E-4</v>
          </cell>
          <cell r="O1833">
            <v>2711</v>
          </cell>
          <cell r="P1833">
            <v>12.02</v>
          </cell>
          <cell r="Q1833">
            <v>377</v>
          </cell>
        </row>
        <row r="1834">
          <cell r="B1834" t="str">
            <v>MENDOCINO 110131322</v>
          </cell>
          <cell r="C1834">
            <v>42951101</v>
          </cell>
          <cell r="D1834" t="str">
            <v>MENDOCINO 1101</v>
          </cell>
          <cell r="E1834">
            <v>31322</v>
          </cell>
          <cell r="F1834" t="b">
            <v>0</v>
          </cell>
          <cell r="G1834">
            <v>46269.6304952141</v>
          </cell>
          <cell r="H1834">
            <v>9420.0140019199298</v>
          </cell>
          <cell r="I1834">
            <v>310</v>
          </cell>
          <cell r="J1834">
            <v>1.1583489262369299E-4</v>
          </cell>
          <cell r="K1834">
            <v>1276</v>
          </cell>
          <cell r="L1834">
            <v>412.25829474327401</v>
          </cell>
          <cell r="M1834">
            <v>1282</v>
          </cell>
          <cell r="N1834">
            <v>4.2370185245198498E-2</v>
          </cell>
          <cell r="O1834">
            <v>1265</v>
          </cell>
          <cell r="P1834">
            <v>0.05</v>
          </cell>
          <cell r="Q1834">
            <v>1992</v>
          </cell>
        </row>
        <row r="1835">
          <cell r="B1835" t="str">
            <v>MENDOCINO 110137462</v>
          </cell>
          <cell r="C1835">
            <v>42951101</v>
          </cell>
          <cell r="D1835" t="str">
            <v>MENDOCINO 1101</v>
          </cell>
          <cell r="E1835">
            <v>37462</v>
          </cell>
          <cell r="F1835" t="b">
            <v>0</v>
          </cell>
          <cell r="G1835">
            <v>7845.6326248414398</v>
          </cell>
          <cell r="H1835">
            <v>3795.8029514321602</v>
          </cell>
          <cell r="I1835">
            <v>63</v>
          </cell>
          <cell r="J1835">
            <v>1.4082727965802701E-4</v>
          </cell>
          <cell r="K1835">
            <v>857</v>
          </cell>
          <cell r="L1835">
            <v>230.025162647001</v>
          </cell>
          <cell r="M1835">
            <v>1586</v>
          </cell>
          <cell r="N1835">
            <v>3.2457066295873603E-2</v>
          </cell>
          <cell r="O1835">
            <v>1416</v>
          </cell>
          <cell r="P1835">
            <v>0.04</v>
          </cell>
          <cell r="Q1835">
            <v>2166</v>
          </cell>
        </row>
        <row r="1836">
          <cell r="B1836" t="str">
            <v>MENDOCINO 1101450</v>
          </cell>
          <cell r="C1836">
            <v>42951101</v>
          </cell>
          <cell r="D1836" t="str">
            <v>MENDOCINO 1101</v>
          </cell>
          <cell r="E1836">
            <v>450</v>
          </cell>
          <cell r="F1836" t="b">
            <v>0</v>
          </cell>
          <cell r="G1836">
            <v>30451.68052066</v>
          </cell>
          <cell r="H1836">
            <v>9311.1997301342908</v>
          </cell>
          <cell r="I1836">
            <v>208</v>
          </cell>
          <cell r="J1836">
            <v>1.2824845909493001E-4</v>
          </cell>
          <cell r="K1836">
            <v>1043</v>
          </cell>
          <cell r="L1836">
            <v>484.352039658867</v>
          </cell>
          <cell r="M1836">
            <v>1210</v>
          </cell>
          <cell r="N1836">
            <v>5.5437683471410502E-2</v>
          </cell>
          <cell r="O1836">
            <v>1115</v>
          </cell>
          <cell r="P1836">
            <v>0.04</v>
          </cell>
          <cell r="Q1836">
            <v>2211</v>
          </cell>
        </row>
        <row r="1837">
          <cell r="B1837" t="str">
            <v>MENDOCINO 110148750</v>
          </cell>
          <cell r="C1837">
            <v>42951101</v>
          </cell>
          <cell r="D1837" t="str">
            <v>MENDOCINO 1101</v>
          </cell>
          <cell r="E1837">
            <v>48750</v>
          </cell>
          <cell r="F1837" t="b">
            <v>0</v>
          </cell>
          <cell r="G1837">
            <v>28839.2375030326</v>
          </cell>
          <cell r="H1837">
            <v>28839.2375030326</v>
          </cell>
          <cell r="I1837">
            <v>165</v>
          </cell>
          <cell r="J1837">
            <v>9.9309864030642898E-5</v>
          </cell>
          <cell r="K1837">
            <v>1660</v>
          </cell>
          <cell r="L1837">
            <v>705.069672595474</v>
          </cell>
          <cell r="M1837">
            <v>1020</v>
          </cell>
          <cell r="N1837">
            <v>5.8620588583593002E-2</v>
          </cell>
          <cell r="O1837">
            <v>1073</v>
          </cell>
          <cell r="P1837">
            <v>19.059999999999999</v>
          </cell>
          <cell r="Q1837">
            <v>315</v>
          </cell>
        </row>
        <row r="1838">
          <cell r="B1838" t="str">
            <v>MENDOCINO 1101CB</v>
          </cell>
          <cell r="C1838">
            <v>42951101</v>
          </cell>
          <cell r="D1838" t="str">
            <v>MENDOCINO 1101</v>
          </cell>
          <cell r="E1838" t="str">
            <v>CB</v>
          </cell>
          <cell r="F1838" t="b">
            <v>0</v>
          </cell>
          <cell r="G1838">
            <v>6642.1904315137299</v>
          </cell>
          <cell r="H1838">
            <v>4240.0547690289304</v>
          </cell>
          <cell r="I1838">
            <v>54</v>
          </cell>
          <cell r="J1838">
            <v>1.2015920016822799E-4</v>
          </cell>
          <cell r="K1838">
            <v>1183</v>
          </cell>
          <cell r="L1838">
            <v>144.23080367426601</v>
          </cell>
          <cell r="M1838">
            <v>1793</v>
          </cell>
          <cell r="N1838">
            <v>1.8326996441568901E-2</v>
          </cell>
          <cell r="O1838">
            <v>1695</v>
          </cell>
          <cell r="P1838">
            <v>0.11</v>
          </cell>
          <cell r="Q1838">
            <v>1449</v>
          </cell>
        </row>
        <row r="1839">
          <cell r="B1839" t="str">
            <v>MENLO 110212249</v>
          </cell>
          <cell r="C1839">
            <v>24131102</v>
          </cell>
          <cell r="D1839" t="str">
            <v>MENLO 1102</v>
          </cell>
          <cell r="E1839">
            <v>12249</v>
          </cell>
          <cell r="F1839" t="b">
            <v>0</v>
          </cell>
          <cell r="G1839">
            <v>3869.51749825057</v>
          </cell>
          <cell r="H1839">
            <v>3869.51749825057</v>
          </cell>
          <cell r="I1839">
            <v>25</v>
          </cell>
          <cell r="J1839">
            <v>1.3960385724203601E-4</v>
          </cell>
          <cell r="K1839">
            <v>877</v>
          </cell>
          <cell r="L1839">
            <v>1383.6802598044701</v>
          </cell>
          <cell r="M1839">
            <v>645</v>
          </cell>
          <cell r="N1839">
            <v>0.14826041110497301</v>
          </cell>
          <cell r="O1839">
            <v>530</v>
          </cell>
          <cell r="P1839">
            <v>0.06</v>
          </cell>
          <cell r="Q1839">
            <v>1811</v>
          </cell>
        </row>
        <row r="1840">
          <cell r="B1840" t="str">
            <v>MENLO 11028896</v>
          </cell>
          <cell r="C1840">
            <v>24131102</v>
          </cell>
          <cell r="D1840" t="str">
            <v>MENLO 1102</v>
          </cell>
          <cell r="E1840">
            <v>8896</v>
          </cell>
          <cell r="F1840" t="b">
            <v>0</v>
          </cell>
          <cell r="G1840">
            <v>2488.0112479986301</v>
          </cell>
          <cell r="H1840">
            <v>1537.985713581</v>
          </cell>
          <cell r="I1840">
            <v>14</v>
          </cell>
          <cell r="J1840">
            <v>2.2996777676910599E-4</v>
          </cell>
          <cell r="K1840">
            <v>285</v>
          </cell>
          <cell r="L1840">
            <v>52.130209988149304</v>
          </cell>
          <cell r="M1840">
            <v>2200</v>
          </cell>
          <cell r="N1840">
            <v>1.10651221489777E-2</v>
          </cell>
          <cell r="O1840">
            <v>1917</v>
          </cell>
          <cell r="P1840">
            <v>2.98</v>
          </cell>
          <cell r="Q1840">
            <v>570</v>
          </cell>
        </row>
        <row r="1841">
          <cell r="B1841" t="str">
            <v>MENLO 11028952</v>
          </cell>
          <cell r="C1841">
            <v>24131102</v>
          </cell>
          <cell r="D1841" t="str">
            <v>MENLO 1102</v>
          </cell>
          <cell r="E1841">
            <v>8952</v>
          </cell>
          <cell r="F1841" t="b">
            <v>0</v>
          </cell>
          <cell r="G1841">
            <v>10739.4055746825</v>
          </cell>
          <cell r="H1841">
            <v>10739.4055746825</v>
          </cell>
          <cell r="I1841">
            <v>82</v>
          </cell>
          <cell r="J1841">
            <v>1.07202738768026E-4</v>
          </cell>
          <cell r="K1841">
            <v>1467</v>
          </cell>
          <cell r="L1841">
            <v>39.497270410778597</v>
          </cell>
          <cell r="M1841">
            <v>2277</v>
          </cell>
          <cell r="N1841">
            <v>3.0385844894575201E-3</v>
          </cell>
          <cell r="O1841">
            <v>2345</v>
          </cell>
          <cell r="P1841">
            <v>9.23</v>
          </cell>
          <cell r="Q1841">
            <v>411</v>
          </cell>
        </row>
        <row r="1842">
          <cell r="B1842" t="str">
            <v>MENLO 11029110</v>
          </cell>
          <cell r="C1842">
            <v>24131102</v>
          </cell>
          <cell r="D1842" t="str">
            <v>MENLO 1102</v>
          </cell>
          <cell r="E1842">
            <v>9110</v>
          </cell>
          <cell r="F1842" t="b">
            <v>0</v>
          </cell>
          <cell r="G1842">
            <v>15217.754449873501</v>
          </cell>
          <cell r="H1842">
            <v>1491.43733496546</v>
          </cell>
          <cell r="I1842">
            <v>138</v>
          </cell>
          <cell r="J1842">
            <v>1.45459976336191E-4</v>
          </cell>
          <cell r="K1842">
            <v>798</v>
          </cell>
          <cell r="L1842">
            <v>26.616689392096099</v>
          </cell>
          <cell r="M1842">
            <v>2370</v>
          </cell>
          <cell r="N1842">
            <v>4.0502444888018399E-3</v>
          </cell>
          <cell r="O1842">
            <v>2253</v>
          </cell>
          <cell r="P1842">
            <v>0.04</v>
          </cell>
          <cell r="Q1842">
            <v>2097</v>
          </cell>
        </row>
        <row r="1843">
          <cell r="B1843" t="str">
            <v>MENLO 1102W80</v>
          </cell>
          <cell r="C1843">
            <v>24131102</v>
          </cell>
          <cell r="D1843" t="str">
            <v>MENLO 1102</v>
          </cell>
          <cell r="E1843" t="str">
            <v>W80</v>
          </cell>
          <cell r="F1843" t="b">
            <v>0</v>
          </cell>
          <cell r="G1843">
            <v>30507.2398943761</v>
          </cell>
          <cell r="H1843">
            <v>30491.234478664901</v>
          </cell>
          <cell r="I1843">
            <v>129</v>
          </cell>
          <cell r="J1843">
            <v>1.2461151826365801E-4</v>
          </cell>
          <cell r="K1843">
            <v>1105</v>
          </cell>
          <cell r="L1843">
            <v>990.58787163863497</v>
          </cell>
          <cell r="M1843">
            <v>840</v>
          </cell>
          <cell r="N1843">
            <v>0.12598382887684101</v>
          </cell>
          <cell r="O1843">
            <v>620</v>
          </cell>
          <cell r="P1843">
            <v>0.26</v>
          </cell>
          <cell r="Q1843">
            <v>1062</v>
          </cell>
        </row>
        <row r="1844">
          <cell r="B1844" t="str">
            <v>MENLO 11031721</v>
          </cell>
          <cell r="C1844">
            <v>24131103</v>
          </cell>
          <cell r="D1844" t="str">
            <v>MENLO 1103</v>
          </cell>
          <cell r="E1844">
            <v>1721</v>
          </cell>
          <cell r="F1844" t="b">
            <v>0</v>
          </cell>
          <cell r="G1844">
            <v>10927.297294342899</v>
          </cell>
          <cell r="H1844">
            <v>10927.297294342899</v>
          </cell>
          <cell r="I1844">
            <v>52</v>
          </cell>
          <cell r="J1844">
            <v>1.63395238487282E-4</v>
          </cell>
          <cell r="K1844">
            <v>607</v>
          </cell>
          <cell r="L1844">
            <v>107.97688518465201</v>
          </cell>
          <cell r="M1844">
            <v>1918</v>
          </cell>
          <cell r="N1844">
            <v>1.7259855546543901E-2</v>
          </cell>
          <cell r="O1844">
            <v>1731</v>
          </cell>
          <cell r="P1844">
            <v>0.12</v>
          </cell>
          <cell r="Q1844">
            <v>1367</v>
          </cell>
        </row>
        <row r="1845">
          <cell r="B1845" t="str">
            <v>MENLO 11037902</v>
          </cell>
          <cell r="C1845">
            <v>24131103</v>
          </cell>
          <cell r="D1845" t="str">
            <v>MENLO 1103</v>
          </cell>
          <cell r="E1845">
            <v>7902</v>
          </cell>
          <cell r="F1845" t="b">
            <v>0</v>
          </cell>
          <cell r="G1845">
            <v>26218.9532384257</v>
          </cell>
          <cell r="H1845">
            <v>18823.955423847001</v>
          </cell>
          <cell r="I1845">
            <v>143</v>
          </cell>
          <cell r="J1845">
            <v>1.87040276341576E-4</v>
          </cell>
          <cell r="K1845">
            <v>461</v>
          </cell>
          <cell r="L1845">
            <v>146.56823344895301</v>
          </cell>
          <cell r="M1845">
            <v>1787</v>
          </cell>
          <cell r="N1845">
            <v>4.3162326448417401E-2</v>
          </cell>
          <cell r="O1845">
            <v>1253</v>
          </cell>
          <cell r="P1845">
            <v>0.06</v>
          </cell>
          <cell r="Q1845">
            <v>1892</v>
          </cell>
        </row>
        <row r="1846">
          <cell r="B1846" t="str">
            <v>MENLO 11038512</v>
          </cell>
          <cell r="C1846">
            <v>24131103</v>
          </cell>
          <cell r="D1846" t="str">
            <v>MENLO 1103</v>
          </cell>
          <cell r="E1846">
            <v>8512</v>
          </cell>
          <cell r="F1846" t="b">
            <v>0</v>
          </cell>
          <cell r="G1846">
            <v>39804.531270616499</v>
          </cell>
          <cell r="H1846">
            <v>39804.531270616499</v>
          </cell>
          <cell r="I1846">
            <v>228</v>
          </cell>
          <cell r="J1846">
            <v>1.5984642901197899E-4</v>
          </cell>
          <cell r="K1846">
            <v>643</v>
          </cell>
          <cell r="L1846">
            <v>38.959772318410401</v>
          </cell>
          <cell r="M1846">
            <v>2284</v>
          </cell>
          <cell r="N1846">
            <v>6.6372045028970702E-3</v>
          </cell>
          <cell r="O1846">
            <v>2112</v>
          </cell>
          <cell r="P1846">
            <v>8.94</v>
          </cell>
          <cell r="Q1846">
            <v>418</v>
          </cell>
        </row>
        <row r="1847">
          <cell r="B1847" t="str">
            <v>MENLO 11038982</v>
          </cell>
          <cell r="C1847">
            <v>24131103</v>
          </cell>
          <cell r="D1847" t="str">
            <v>MENLO 1103</v>
          </cell>
          <cell r="E1847">
            <v>8982</v>
          </cell>
          <cell r="F1847" t="b">
            <v>0</v>
          </cell>
          <cell r="G1847">
            <v>7434.3823081276396</v>
          </cell>
          <cell r="H1847">
            <v>7434.3823081276396</v>
          </cell>
          <cell r="I1847">
            <v>50</v>
          </cell>
          <cell r="J1847">
            <v>1.4907235417922399E-4</v>
          </cell>
          <cell r="K1847">
            <v>751</v>
          </cell>
          <cell r="L1847">
            <v>11.9524998984391</v>
          </cell>
          <cell r="M1847">
            <v>2587</v>
          </cell>
          <cell r="N1847">
            <v>1.39280162535643E-3</v>
          </cell>
          <cell r="O1847">
            <v>2574</v>
          </cell>
          <cell r="P1847">
            <v>0.08</v>
          </cell>
          <cell r="Q1847">
            <v>1625</v>
          </cell>
        </row>
        <row r="1848">
          <cell r="B1848" t="str">
            <v>MERCED FALLS 110222774</v>
          </cell>
          <cell r="C1848">
            <v>252811102</v>
          </cell>
          <cell r="D1848" t="str">
            <v>MERCED FALLS 1102</v>
          </cell>
          <cell r="E1848">
            <v>22774</v>
          </cell>
          <cell r="F1848" t="b">
            <v>0</v>
          </cell>
          <cell r="G1848">
            <v>5970.2452773824298</v>
          </cell>
          <cell r="H1848">
            <v>1624.12467869741</v>
          </cell>
          <cell r="I1848">
            <v>27</v>
          </cell>
          <cell r="J1848">
            <v>3.90017174949106E-5</v>
          </cell>
          <cell r="K1848">
            <v>3287</v>
          </cell>
          <cell r="L1848">
            <v>127.21201497095601</v>
          </cell>
          <cell r="M1848">
            <v>1851</v>
          </cell>
          <cell r="N1848">
            <v>4.0150509797416299E-3</v>
          </cell>
          <cell r="O1848">
            <v>2255</v>
          </cell>
          <cell r="P1848">
            <v>0.01</v>
          </cell>
          <cell r="Q1848">
            <v>2610</v>
          </cell>
        </row>
        <row r="1849">
          <cell r="B1849" t="str">
            <v>MERCED FALLS 110238748</v>
          </cell>
          <cell r="C1849">
            <v>252811102</v>
          </cell>
          <cell r="D1849" t="str">
            <v>MERCED FALLS 1102</v>
          </cell>
          <cell r="E1849">
            <v>38748</v>
          </cell>
          <cell r="F1849" t="b">
            <v>0</v>
          </cell>
          <cell r="G1849">
            <v>24704.618630213001</v>
          </cell>
          <cell r="H1849">
            <v>24704.618630213001</v>
          </cell>
          <cell r="I1849">
            <v>178</v>
          </cell>
          <cell r="J1849">
            <v>7.1783500898985904E-5</v>
          </cell>
          <cell r="K1849">
            <v>2426</v>
          </cell>
          <cell r="L1849">
            <v>1618.53710261929</v>
          </cell>
          <cell r="M1849">
            <v>554</v>
          </cell>
          <cell r="N1849">
            <v>0.11191855201784601</v>
          </cell>
          <cell r="O1849">
            <v>702</v>
          </cell>
          <cell r="P1849">
            <v>0.01</v>
          </cell>
          <cell r="Q1849">
            <v>2604</v>
          </cell>
        </row>
        <row r="1850">
          <cell r="B1850" t="str">
            <v>MERCED FALLS 1102482838</v>
          </cell>
          <cell r="C1850">
            <v>252811102</v>
          </cell>
          <cell r="D1850" t="str">
            <v>MERCED FALLS 1102</v>
          </cell>
          <cell r="E1850">
            <v>482838</v>
          </cell>
          <cell r="F1850" t="b">
            <v>0</v>
          </cell>
          <cell r="G1850">
            <v>17714.344979880199</v>
          </cell>
          <cell r="H1850">
            <v>14284.2610402924</v>
          </cell>
          <cell r="I1850">
            <v>52</v>
          </cell>
          <cell r="J1850">
            <v>6.1568716300826004E-5</v>
          </cell>
          <cell r="K1850">
            <v>2730</v>
          </cell>
          <cell r="L1850">
            <v>318.00886443945001</v>
          </cell>
          <cell r="M1850">
            <v>1421</v>
          </cell>
          <cell r="N1850">
            <v>1.8057359721460501E-2</v>
          </cell>
          <cell r="O1850">
            <v>1705</v>
          </cell>
          <cell r="Q1850">
            <v>3180</v>
          </cell>
        </row>
        <row r="1851">
          <cell r="B1851" t="str">
            <v>MERCED FALLS 110285002</v>
          </cell>
          <cell r="C1851">
            <v>252811102</v>
          </cell>
          <cell r="D1851" t="str">
            <v>MERCED FALLS 1102</v>
          </cell>
          <cell r="E1851">
            <v>85002</v>
          </cell>
          <cell r="F1851" t="b">
            <v>0</v>
          </cell>
          <cell r="G1851">
            <v>57093.510418943901</v>
          </cell>
          <cell r="H1851">
            <v>57093.510418943901</v>
          </cell>
          <cell r="I1851">
            <v>394</v>
          </cell>
          <cell r="J1851">
            <v>7.62645740005748E-5</v>
          </cell>
          <cell r="K1851">
            <v>2302</v>
          </cell>
          <cell r="L1851">
            <v>729.16389222105897</v>
          </cell>
          <cell r="M1851">
            <v>992</v>
          </cell>
          <cell r="N1851">
            <v>5.50258675390553E-2</v>
          </cell>
          <cell r="O1851">
            <v>1122</v>
          </cell>
          <cell r="P1851">
            <v>0.87</v>
          </cell>
          <cell r="Q1851">
            <v>759</v>
          </cell>
        </row>
        <row r="1852">
          <cell r="B1852" t="str">
            <v>MERCED FALLS 110287352</v>
          </cell>
          <cell r="C1852">
            <v>252811102</v>
          </cell>
          <cell r="D1852" t="str">
            <v>MERCED FALLS 1102</v>
          </cell>
          <cell r="E1852">
            <v>87352</v>
          </cell>
          <cell r="F1852" t="b">
            <v>0</v>
          </cell>
          <cell r="G1852">
            <v>42830.740397123802</v>
          </cell>
          <cell r="H1852">
            <v>42830.740397123802</v>
          </cell>
          <cell r="I1852">
            <v>215</v>
          </cell>
          <cell r="J1852">
            <v>7.6528911270376605E-5</v>
          </cell>
          <cell r="K1852">
            <v>2294</v>
          </cell>
          <cell r="L1852">
            <v>2120.5794943310202</v>
          </cell>
          <cell r="M1852">
            <v>420</v>
          </cell>
          <cell r="N1852">
            <v>0.14861554315366299</v>
          </cell>
          <cell r="O1852">
            <v>527</v>
          </cell>
          <cell r="P1852">
            <v>0.03</v>
          </cell>
          <cell r="Q1852">
            <v>2333</v>
          </cell>
        </row>
        <row r="1853">
          <cell r="B1853" t="str">
            <v>MERCED FALLS 11029460</v>
          </cell>
          <cell r="C1853">
            <v>252811102</v>
          </cell>
          <cell r="D1853" t="str">
            <v>MERCED FALLS 1102</v>
          </cell>
          <cell r="E1853">
            <v>9460</v>
          </cell>
          <cell r="F1853" t="b">
            <v>0</v>
          </cell>
          <cell r="G1853">
            <v>18052.532151661799</v>
          </cell>
          <cell r="H1853">
            <v>17926.1920259943</v>
          </cell>
          <cell r="I1853">
            <v>91</v>
          </cell>
          <cell r="J1853">
            <v>8.3561249564891005E-5</v>
          </cell>
          <cell r="K1853">
            <v>2112</v>
          </cell>
          <cell r="L1853">
            <v>856.97098232732003</v>
          </cell>
          <cell r="M1853">
            <v>910</v>
          </cell>
          <cell r="N1853">
            <v>7.3013873167520907E-2</v>
          </cell>
          <cell r="O1853">
            <v>957</v>
          </cell>
          <cell r="P1853">
            <v>0.01</v>
          </cell>
          <cell r="Q1853">
            <v>2611</v>
          </cell>
        </row>
        <row r="1854">
          <cell r="B1854" t="str">
            <v>MERCED FALLS 11029470</v>
          </cell>
          <cell r="C1854">
            <v>252811102</v>
          </cell>
          <cell r="D1854" t="str">
            <v>MERCED FALLS 1102</v>
          </cell>
          <cell r="E1854">
            <v>9470</v>
          </cell>
          <cell r="F1854" t="b">
            <v>0</v>
          </cell>
          <cell r="G1854">
            <v>36749.597562294497</v>
          </cell>
          <cell r="H1854">
            <v>36749.597562294497</v>
          </cell>
          <cell r="I1854">
            <v>277</v>
          </cell>
          <cell r="J1854">
            <v>8.8658418692564306E-5</v>
          </cell>
          <cell r="K1854">
            <v>1964</v>
          </cell>
          <cell r="L1854">
            <v>1395.49920909973</v>
          </cell>
          <cell r="M1854">
            <v>639</v>
          </cell>
          <cell r="N1854">
            <v>0.114741031185387</v>
          </cell>
          <cell r="O1854">
            <v>676</v>
          </cell>
          <cell r="P1854">
            <v>0.01</v>
          </cell>
          <cell r="Q1854">
            <v>2586</v>
          </cell>
        </row>
        <row r="1855">
          <cell r="B1855" t="str">
            <v>MESA 11016111</v>
          </cell>
          <cell r="C1855">
            <v>182821101</v>
          </cell>
          <cell r="D1855" t="str">
            <v>MESA 1101</v>
          </cell>
          <cell r="E1855">
            <v>6111</v>
          </cell>
          <cell r="F1855" t="b">
            <v>0</v>
          </cell>
          <cell r="G1855">
            <v>41513.548580394599</v>
          </cell>
          <cell r="H1855">
            <v>39023.901511778196</v>
          </cell>
          <cell r="I1855">
            <v>202</v>
          </cell>
          <cell r="J1855">
            <v>4.9757475881051502E-5</v>
          </cell>
          <cell r="K1855">
            <v>3042</v>
          </cell>
          <cell r="L1855">
            <v>1337.45604119789</v>
          </cell>
          <cell r="M1855">
            <v>665</v>
          </cell>
          <cell r="N1855">
            <v>7.1153038042539099E-2</v>
          </cell>
          <cell r="O1855">
            <v>971</v>
          </cell>
          <cell r="P1855">
            <v>9.09</v>
          </cell>
          <cell r="Q1855">
            <v>413</v>
          </cell>
        </row>
        <row r="1856">
          <cell r="B1856" t="str">
            <v>MESA 11016113</v>
          </cell>
          <cell r="C1856">
            <v>182821101</v>
          </cell>
          <cell r="D1856" t="str">
            <v>MESA 1101</v>
          </cell>
          <cell r="E1856">
            <v>6113</v>
          </cell>
          <cell r="F1856" t="b">
            <v>0</v>
          </cell>
          <cell r="G1856">
            <v>15649.5972152348</v>
          </cell>
          <cell r="H1856">
            <v>2800.3205330838</v>
          </cell>
          <cell r="I1856">
            <v>100</v>
          </cell>
          <cell r="J1856">
            <v>5.0937450923811403E-5</v>
          </cell>
          <cell r="K1856">
            <v>3015</v>
          </cell>
          <cell r="L1856">
            <v>1017.98760115116</v>
          </cell>
          <cell r="M1856">
            <v>816</v>
          </cell>
          <cell r="N1856">
            <v>4.2268020005053801E-2</v>
          </cell>
          <cell r="O1856">
            <v>1270</v>
          </cell>
          <cell r="P1856">
            <v>0.86</v>
          </cell>
          <cell r="Q1856">
            <v>762</v>
          </cell>
        </row>
        <row r="1857">
          <cell r="B1857" t="str">
            <v>MESA 1101CB</v>
          </cell>
          <cell r="C1857">
            <v>182821101</v>
          </cell>
          <cell r="D1857" t="str">
            <v>MESA 1101</v>
          </cell>
          <cell r="E1857" t="str">
            <v>CB</v>
          </cell>
          <cell r="F1857" t="b">
            <v>0</v>
          </cell>
          <cell r="G1857">
            <v>40952.416764574897</v>
          </cell>
          <cell r="H1857">
            <v>22299.683070791601</v>
          </cell>
          <cell r="I1857">
            <v>230</v>
          </cell>
          <cell r="J1857">
            <v>5.1221377316621703E-5</v>
          </cell>
          <cell r="K1857">
            <v>3009</v>
          </cell>
          <cell r="L1857">
            <v>603.25324546798402</v>
          </cell>
          <cell r="M1857">
            <v>1096</v>
          </cell>
          <cell r="N1857">
            <v>4.2366987238682499E-2</v>
          </cell>
          <cell r="O1857">
            <v>1266</v>
          </cell>
          <cell r="P1857">
            <v>0.03</v>
          </cell>
          <cell r="Q1857">
            <v>2242</v>
          </cell>
        </row>
        <row r="1858">
          <cell r="B1858" t="str">
            <v>MESA 1101M86</v>
          </cell>
          <cell r="C1858">
            <v>182821101</v>
          </cell>
          <cell r="D1858" t="str">
            <v>MESA 1101</v>
          </cell>
          <cell r="E1858" t="str">
            <v>M86</v>
          </cell>
          <cell r="F1858" t="b">
            <v>0</v>
          </cell>
          <cell r="G1858">
            <v>33517.8053813558</v>
          </cell>
          <cell r="H1858">
            <v>20500.871644145402</v>
          </cell>
          <cell r="I1858">
            <v>217</v>
          </cell>
          <cell r="J1858">
            <v>4.9333443198688798E-5</v>
          </cell>
          <cell r="K1858">
            <v>3053</v>
          </cell>
          <cell r="L1858">
            <v>762.68690934478502</v>
          </cell>
          <cell r="M1858">
            <v>961</v>
          </cell>
          <cell r="N1858">
            <v>4.1843639992123302E-2</v>
          </cell>
          <cell r="O1858">
            <v>1277</v>
          </cell>
          <cell r="P1858">
            <v>0.04</v>
          </cell>
          <cell r="Q1858">
            <v>2086</v>
          </cell>
        </row>
        <row r="1859">
          <cell r="B1859" t="str">
            <v>MESA 1103126697</v>
          </cell>
          <cell r="C1859">
            <v>182821103</v>
          </cell>
          <cell r="D1859" t="str">
            <v>MESA 1103</v>
          </cell>
          <cell r="E1859">
            <v>126697</v>
          </cell>
          <cell r="F1859" t="b">
            <v>0</v>
          </cell>
          <cell r="G1859">
            <v>1766.12229538629</v>
          </cell>
          <cell r="H1859">
            <v>1641.86304126557</v>
          </cell>
          <cell r="I1859">
            <v>10</v>
          </cell>
          <cell r="J1859">
            <v>6.1082118372723904E-5</v>
          </cell>
          <cell r="K1859">
            <v>2745</v>
          </cell>
          <cell r="L1859">
            <v>1011.37612988054</v>
          </cell>
          <cell r="M1859">
            <v>827</v>
          </cell>
          <cell r="N1859">
            <v>6.5061985941556905E-2</v>
          </cell>
          <cell r="O1859">
            <v>1020</v>
          </cell>
          <cell r="Q1859">
            <v>3433</v>
          </cell>
        </row>
        <row r="1860">
          <cell r="B1860" t="str">
            <v>MESA 1103737698</v>
          </cell>
          <cell r="C1860">
            <v>182821103</v>
          </cell>
          <cell r="D1860" t="str">
            <v>MESA 1103</v>
          </cell>
          <cell r="E1860">
            <v>737698</v>
          </cell>
          <cell r="F1860" t="b">
            <v>1</v>
          </cell>
          <cell r="G1860">
            <v>340.82510946684602</v>
          </cell>
          <cell r="H1860">
            <v>324.86188908057602</v>
          </cell>
          <cell r="I1860">
            <v>3</v>
          </cell>
          <cell r="J1860">
            <v>4.54588177187057E-5</v>
          </cell>
          <cell r="K1860">
            <v>3153</v>
          </cell>
          <cell r="L1860">
            <v>1051.0501098632801</v>
          </cell>
          <cell r="M1860">
            <v>795</v>
          </cell>
          <cell r="N1860">
            <v>5.07485284560696E-2</v>
          </cell>
          <cell r="O1860">
            <v>1169</v>
          </cell>
          <cell r="Q1860">
            <v>3626</v>
          </cell>
        </row>
        <row r="1861">
          <cell r="B1861" t="str">
            <v>MESA 1103854149</v>
          </cell>
          <cell r="C1861">
            <v>182821103</v>
          </cell>
          <cell r="D1861" t="str">
            <v>MESA 1103</v>
          </cell>
          <cell r="E1861">
            <v>854149</v>
          </cell>
          <cell r="F1861" t="b">
            <v>0</v>
          </cell>
          <cell r="G1861">
            <v>1703.8848181250801</v>
          </cell>
          <cell r="H1861">
            <v>1563.4442839604901</v>
          </cell>
          <cell r="I1861">
            <v>12</v>
          </cell>
          <cell r="J1861">
            <v>3.9219469954332399E-5</v>
          </cell>
          <cell r="K1861">
            <v>3281</v>
          </cell>
          <cell r="L1861">
            <v>2116.0058763672901</v>
          </cell>
          <cell r="M1861">
            <v>424</v>
          </cell>
          <cell r="N1861">
            <v>9.4332911827908497E-2</v>
          </cell>
          <cell r="O1861">
            <v>799</v>
          </cell>
          <cell r="Q1861">
            <v>3095</v>
          </cell>
        </row>
        <row r="1862">
          <cell r="B1862" t="str">
            <v>MESA 1103M72</v>
          </cell>
          <cell r="C1862">
            <v>182821103</v>
          </cell>
          <cell r="D1862" t="str">
            <v>MESA 1103</v>
          </cell>
          <cell r="E1862" t="str">
            <v>M72</v>
          </cell>
          <cell r="F1862" t="b">
            <v>0</v>
          </cell>
          <cell r="G1862">
            <v>24045.3967650745</v>
          </cell>
          <cell r="H1862">
            <v>13551.8370891455</v>
          </cell>
          <cell r="I1862">
            <v>180</v>
          </cell>
          <cell r="J1862">
            <v>5.9995680198231301E-5</v>
          </cell>
          <cell r="K1862">
            <v>2776</v>
          </cell>
          <cell r="L1862">
            <v>772.20650469966995</v>
          </cell>
          <cell r="M1862">
            <v>958</v>
          </cell>
          <cell r="N1862">
            <v>5.02237174323312E-2</v>
          </cell>
          <cell r="O1862">
            <v>1175</v>
          </cell>
          <cell r="P1862">
            <v>0.09</v>
          </cell>
          <cell r="Q1862">
            <v>1574</v>
          </cell>
        </row>
        <row r="1863">
          <cell r="B1863" t="str">
            <v>MIDDLETOWN 1101118494</v>
          </cell>
          <cell r="C1863">
            <v>43141101</v>
          </cell>
          <cell r="D1863" t="str">
            <v>MIDDLETOWN 1101</v>
          </cell>
          <cell r="E1863">
            <v>118494</v>
          </cell>
          <cell r="F1863" t="b">
            <v>0</v>
          </cell>
          <cell r="G1863">
            <v>1737.5090414026199</v>
          </cell>
          <cell r="H1863">
            <v>1714.9565259677099</v>
          </cell>
          <cell r="I1863">
            <v>12</v>
          </cell>
          <cell r="J1863">
            <v>1.2541819736118899E-4</v>
          </cell>
          <cell r="K1863">
            <v>1091</v>
          </cell>
          <cell r="L1863">
            <v>4982.7835276141795</v>
          </cell>
          <cell r="M1863">
            <v>79</v>
          </cell>
          <cell r="N1863">
            <v>0.58091932138282898</v>
          </cell>
          <cell r="O1863">
            <v>23</v>
          </cell>
          <cell r="Q1863">
            <v>3276</v>
          </cell>
        </row>
        <row r="1864">
          <cell r="B1864" t="str">
            <v>MIDDLETOWN 11011314</v>
          </cell>
          <cell r="C1864">
            <v>43141101</v>
          </cell>
          <cell r="D1864" t="str">
            <v>MIDDLETOWN 1101</v>
          </cell>
          <cell r="E1864">
            <v>1314</v>
          </cell>
          <cell r="F1864" t="b">
            <v>0</v>
          </cell>
          <cell r="G1864">
            <v>1489.21900800771</v>
          </cell>
          <cell r="H1864">
            <v>1489.21900800771</v>
          </cell>
          <cell r="I1864">
            <v>13</v>
          </cell>
          <cell r="J1864">
            <v>1.44082552511603E-4</v>
          </cell>
          <cell r="K1864">
            <v>813</v>
          </cell>
          <cell r="L1864">
            <v>554.637982897553</v>
          </cell>
          <cell r="M1864">
            <v>1141</v>
          </cell>
          <cell r="N1864">
            <v>7.8235399108929599E-2</v>
          </cell>
          <cell r="O1864">
            <v>915</v>
          </cell>
          <cell r="P1864">
            <v>7.88</v>
          </cell>
          <cell r="Q1864">
            <v>439</v>
          </cell>
        </row>
        <row r="1865">
          <cell r="B1865" t="str">
            <v>MIDDLETOWN 11011325</v>
          </cell>
          <cell r="C1865">
            <v>43141101</v>
          </cell>
          <cell r="D1865" t="str">
            <v>MIDDLETOWN 1101</v>
          </cell>
          <cell r="E1865">
            <v>1325</v>
          </cell>
          <cell r="F1865" t="b">
            <v>0</v>
          </cell>
          <cell r="G1865">
            <v>13829.549861083</v>
          </cell>
          <cell r="H1865">
            <v>13829.549861083</v>
          </cell>
          <cell r="I1865">
            <v>80</v>
          </cell>
          <cell r="J1865">
            <v>1.27925093102021E-4</v>
          </cell>
          <cell r="K1865">
            <v>1047</v>
          </cell>
          <cell r="L1865">
            <v>449.22316876142702</v>
          </cell>
          <cell r="M1865">
            <v>1249</v>
          </cell>
          <cell r="N1865">
            <v>6.3613444063641306E-2</v>
          </cell>
          <cell r="O1865">
            <v>1029</v>
          </cell>
          <cell r="P1865">
            <v>12.01</v>
          </cell>
          <cell r="Q1865">
            <v>378</v>
          </cell>
        </row>
        <row r="1866">
          <cell r="B1866" t="str">
            <v>MIDDLETOWN 1101439572</v>
          </cell>
          <cell r="C1866">
            <v>43141101</v>
          </cell>
          <cell r="D1866" t="str">
            <v>MIDDLETOWN 1101</v>
          </cell>
          <cell r="E1866">
            <v>439572</v>
          </cell>
          <cell r="F1866" t="b">
            <v>0</v>
          </cell>
          <cell r="G1866">
            <v>2069.8544956740202</v>
          </cell>
          <cell r="H1866">
            <v>1977.39781319434</v>
          </cell>
          <cell r="I1866">
            <v>18</v>
          </cell>
          <cell r="J1866">
            <v>1.2276923027659101E-4</v>
          </cell>
          <cell r="K1866">
            <v>1136</v>
          </cell>
          <cell r="L1866">
            <v>1750.9685701723399</v>
          </cell>
          <cell r="M1866">
            <v>514</v>
          </cell>
          <cell r="N1866">
            <v>0.16479437287752399</v>
          </cell>
          <cell r="O1866">
            <v>450</v>
          </cell>
          <cell r="Q1866">
            <v>3004</v>
          </cell>
        </row>
        <row r="1867">
          <cell r="B1867" t="str">
            <v>MIDDLETOWN 11014646</v>
          </cell>
          <cell r="C1867">
            <v>43141101</v>
          </cell>
          <cell r="D1867" t="str">
            <v>MIDDLETOWN 1101</v>
          </cell>
          <cell r="E1867">
            <v>4646</v>
          </cell>
          <cell r="F1867" t="b">
            <v>0</v>
          </cell>
          <cell r="G1867">
            <v>29868.2950802622</v>
          </cell>
          <cell r="H1867">
            <v>29868.2950802622</v>
          </cell>
          <cell r="I1867">
            <v>165</v>
          </cell>
          <cell r="J1867">
            <v>1.04868146525227E-4</v>
          </cell>
          <cell r="K1867">
            <v>1531</v>
          </cell>
          <cell r="L1867">
            <v>2139.2524133739198</v>
          </cell>
          <cell r="M1867">
            <v>415</v>
          </cell>
          <cell r="N1867">
            <v>0.19982547991757299</v>
          </cell>
          <cell r="O1867">
            <v>328</v>
          </cell>
          <cell r="P1867">
            <v>36.869999999999997</v>
          </cell>
          <cell r="Q1867">
            <v>205</v>
          </cell>
        </row>
        <row r="1868">
          <cell r="B1868" t="str">
            <v>MIDDLETOWN 1101481876</v>
          </cell>
          <cell r="C1868">
            <v>43141101</v>
          </cell>
          <cell r="D1868" t="str">
            <v>MIDDLETOWN 1101</v>
          </cell>
          <cell r="E1868">
            <v>481876</v>
          </cell>
          <cell r="F1868" t="b">
            <v>0</v>
          </cell>
          <cell r="G1868">
            <v>2559.03748206303</v>
          </cell>
          <cell r="H1868">
            <v>1373.1161931793099</v>
          </cell>
          <cell r="I1868">
            <v>14</v>
          </cell>
          <cell r="J1868">
            <v>8.3174858705855703E-5</v>
          </cell>
          <cell r="K1868">
            <v>2127</v>
          </cell>
          <cell r="L1868">
            <v>5568.7809237118099</v>
          </cell>
          <cell r="M1868">
            <v>46</v>
          </cell>
          <cell r="N1868">
            <v>0.46768709582264301</v>
          </cell>
          <cell r="O1868">
            <v>38</v>
          </cell>
          <cell r="Q1868">
            <v>2766</v>
          </cell>
        </row>
        <row r="1869">
          <cell r="B1869" t="str">
            <v>MIDDLETOWN 110148212</v>
          </cell>
          <cell r="C1869">
            <v>43141101</v>
          </cell>
          <cell r="D1869" t="str">
            <v>MIDDLETOWN 1101</v>
          </cell>
          <cell r="E1869">
            <v>48212</v>
          </cell>
          <cell r="F1869" t="b">
            <v>0</v>
          </cell>
          <cell r="G1869">
            <v>17385.813734695301</v>
          </cell>
          <cell r="H1869">
            <v>17215.2669466521</v>
          </cell>
          <cell r="I1869">
            <v>110</v>
          </cell>
          <cell r="J1869">
            <v>1.44821436690647E-4</v>
          </cell>
          <cell r="K1869">
            <v>804</v>
          </cell>
          <cell r="L1869">
            <v>1204.0223885937801</v>
          </cell>
          <cell r="M1869">
            <v>729</v>
          </cell>
          <cell r="N1869">
            <v>0.16029749815409</v>
          </cell>
          <cell r="O1869">
            <v>468</v>
          </cell>
          <cell r="P1869">
            <v>18.57</v>
          </cell>
          <cell r="Q1869">
            <v>319</v>
          </cell>
        </row>
        <row r="1870">
          <cell r="B1870" t="str">
            <v>MIDDLETOWN 1101548</v>
          </cell>
          <cell r="C1870">
            <v>43141101</v>
          </cell>
          <cell r="D1870" t="str">
            <v>MIDDLETOWN 1101</v>
          </cell>
          <cell r="E1870">
            <v>548</v>
          </cell>
          <cell r="F1870" t="b">
            <v>0</v>
          </cell>
          <cell r="G1870">
            <v>45554.629029877397</v>
          </cell>
          <cell r="H1870">
            <v>44099.778858480902</v>
          </cell>
          <cell r="I1870">
            <v>298</v>
          </cell>
          <cell r="J1870">
            <v>2.20526986429996E-4</v>
          </cell>
          <cell r="K1870">
            <v>318</v>
          </cell>
          <cell r="L1870">
            <v>593.83519012622696</v>
          </cell>
          <cell r="M1870">
            <v>1108</v>
          </cell>
          <cell r="N1870">
            <v>0.15935492646737101</v>
          </cell>
          <cell r="O1870">
            <v>474</v>
          </cell>
          <cell r="P1870">
            <v>94.8</v>
          </cell>
          <cell r="Q1870">
            <v>26</v>
          </cell>
        </row>
        <row r="1871">
          <cell r="B1871" t="str">
            <v>MIDDLETOWN 1101612</v>
          </cell>
          <cell r="C1871">
            <v>43141101</v>
          </cell>
          <cell r="D1871" t="str">
            <v>MIDDLETOWN 1101</v>
          </cell>
          <cell r="E1871">
            <v>612</v>
          </cell>
          <cell r="F1871" t="b">
            <v>0</v>
          </cell>
          <cell r="G1871">
            <v>6362.70018506824</v>
          </cell>
          <cell r="H1871">
            <v>6362.70018506824</v>
          </cell>
          <cell r="I1871">
            <v>25</v>
          </cell>
          <cell r="J1871">
            <v>8.4863320735166701E-5</v>
          </cell>
          <cell r="K1871">
            <v>2067</v>
          </cell>
          <cell r="L1871">
            <v>719.60483444546503</v>
          </cell>
          <cell r="M1871">
            <v>1000</v>
          </cell>
          <cell r="N1871">
            <v>5.2130116316081297E-2</v>
          </cell>
          <cell r="O1871">
            <v>1156</v>
          </cell>
          <cell r="P1871">
            <v>0.42</v>
          </cell>
          <cell r="Q1871">
            <v>931</v>
          </cell>
        </row>
        <row r="1872">
          <cell r="B1872" t="str">
            <v>MIDDLETOWN 1101614</v>
          </cell>
          <cell r="C1872">
            <v>43141101</v>
          </cell>
          <cell r="D1872" t="str">
            <v>MIDDLETOWN 1101</v>
          </cell>
          <cell r="E1872">
            <v>614</v>
          </cell>
          <cell r="F1872" t="b">
            <v>0</v>
          </cell>
          <cell r="G1872">
            <v>2222.7418943770399</v>
          </cell>
          <cell r="H1872">
            <v>2222.7418943770399</v>
          </cell>
          <cell r="I1872">
            <v>18</v>
          </cell>
          <cell r="J1872">
            <v>1.3750791590104599E-4</v>
          </cell>
          <cell r="K1872">
            <v>902</v>
          </cell>
          <cell r="L1872">
            <v>52.910651172442797</v>
          </cell>
          <cell r="M1872">
            <v>2196</v>
          </cell>
          <cell r="N1872">
            <v>7.6984259841238701E-3</v>
          </cell>
          <cell r="O1872">
            <v>2060</v>
          </cell>
          <cell r="P1872">
            <v>47.35</v>
          </cell>
          <cell r="Q1872">
            <v>134</v>
          </cell>
        </row>
        <row r="1873">
          <cell r="B1873" t="str">
            <v>MIDDLETOWN 1101644756</v>
          </cell>
          <cell r="C1873">
            <v>43141101</v>
          </cell>
          <cell r="D1873" t="str">
            <v>MIDDLETOWN 1101</v>
          </cell>
          <cell r="E1873">
            <v>644756</v>
          </cell>
          <cell r="F1873" t="b">
            <v>0</v>
          </cell>
          <cell r="G1873">
            <v>31848.175271153701</v>
          </cell>
          <cell r="H1873">
            <v>27875.893239098899</v>
          </cell>
          <cell r="I1873">
            <v>163</v>
          </cell>
          <cell r="J1873">
            <v>1.15771826568999E-4</v>
          </cell>
          <cell r="K1873">
            <v>1279</v>
          </cell>
          <cell r="L1873">
            <v>1915.48248323391</v>
          </cell>
          <cell r="M1873">
            <v>470</v>
          </cell>
          <cell r="N1873">
            <v>0.206363231037412</v>
          </cell>
          <cell r="O1873">
            <v>314</v>
          </cell>
          <cell r="Q1873">
            <v>3049</v>
          </cell>
        </row>
        <row r="1874">
          <cell r="B1874" t="str">
            <v>MIDDLETOWN 1101932140</v>
          </cell>
          <cell r="C1874">
            <v>43141101</v>
          </cell>
          <cell r="D1874" t="str">
            <v>MIDDLETOWN 1101</v>
          </cell>
          <cell r="E1874">
            <v>932140</v>
          </cell>
          <cell r="F1874" t="b">
            <v>1</v>
          </cell>
          <cell r="G1874">
            <v>1542.2381781328299</v>
          </cell>
          <cell r="H1874">
            <v>861.70567040211199</v>
          </cell>
          <cell r="I1874">
            <v>15</v>
          </cell>
          <cell r="J1874">
            <v>1.4684923759584001E-4</v>
          </cell>
          <cell r="K1874">
            <v>774</v>
          </cell>
          <cell r="L1874">
            <v>6.5835635182836805E-2</v>
          </cell>
          <cell r="M1874">
            <v>3258</v>
          </cell>
          <cell r="N1874">
            <v>9.6689775180469994E-6</v>
          </cell>
          <cell r="O1874">
            <v>3073</v>
          </cell>
          <cell r="Q1874">
            <v>2908</v>
          </cell>
        </row>
        <row r="1875">
          <cell r="B1875" t="str">
            <v>MIDDLETOWN 1101CB</v>
          </cell>
          <cell r="C1875">
            <v>43141101</v>
          </cell>
          <cell r="D1875" t="str">
            <v>MIDDLETOWN 1101</v>
          </cell>
          <cell r="E1875" t="str">
            <v>CB</v>
          </cell>
          <cell r="F1875" t="b">
            <v>0</v>
          </cell>
          <cell r="G1875">
            <v>22365.461526082101</v>
          </cell>
          <cell r="H1875">
            <v>7612.1603822294801</v>
          </cell>
          <cell r="I1875">
            <v>146</v>
          </cell>
          <cell r="J1875">
            <v>1.4565321025781399E-4</v>
          </cell>
          <cell r="K1875">
            <v>795</v>
          </cell>
          <cell r="L1875">
            <v>2568.61584939985</v>
          </cell>
          <cell r="M1875">
            <v>335</v>
          </cell>
          <cell r="N1875">
            <v>0.36174231478345797</v>
          </cell>
          <cell r="O1875">
            <v>86</v>
          </cell>
          <cell r="P1875">
            <v>14.97</v>
          </cell>
          <cell r="Q1875">
            <v>351</v>
          </cell>
        </row>
        <row r="1876">
          <cell r="B1876" t="str">
            <v>MIDDLETOWN 11021312</v>
          </cell>
          <cell r="C1876">
            <v>43141102</v>
          </cell>
          <cell r="D1876" t="str">
            <v>MIDDLETOWN 1102</v>
          </cell>
          <cell r="E1876">
            <v>1312</v>
          </cell>
          <cell r="F1876" t="b">
            <v>0</v>
          </cell>
          <cell r="G1876">
            <v>15822.879483861299</v>
          </cell>
          <cell r="H1876">
            <v>15822.879483861299</v>
          </cell>
          <cell r="I1876">
            <v>120</v>
          </cell>
          <cell r="J1876">
            <v>1.35256142810157E-4</v>
          </cell>
          <cell r="K1876">
            <v>925</v>
          </cell>
          <cell r="L1876">
            <v>772.61533676165698</v>
          </cell>
          <cell r="M1876">
            <v>957</v>
          </cell>
          <cell r="N1876">
            <v>7.7576921326412696E-2</v>
          </cell>
          <cell r="O1876">
            <v>920</v>
          </cell>
          <cell r="P1876">
            <v>0.15</v>
          </cell>
          <cell r="Q1876">
            <v>1291</v>
          </cell>
        </row>
        <row r="1877">
          <cell r="B1877" t="str">
            <v>MIDDLETOWN 1102302610</v>
          </cell>
          <cell r="C1877">
            <v>43141102</v>
          </cell>
          <cell r="D1877" t="str">
            <v>MIDDLETOWN 1102</v>
          </cell>
          <cell r="E1877">
            <v>302610</v>
          </cell>
          <cell r="F1877" t="b">
            <v>0</v>
          </cell>
          <cell r="G1877">
            <v>9188.9356736224199</v>
          </cell>
          <cell r="H1877">
            <v>7571.5921334295999</v>
          </cell>
          <cell r="I1877">
            <v>53</v>
          </cell>
          <cell r="J1877">
            <v>2.10107672291297E-4</v>
          </cell>
          <cell r="K1877">
            <v>357</v>
          </cell>
          <cell r="L1877">
            <v>4327.9370945657902</v>
          </cell>
          <cell r="M1877">
            <v>121</v>
          </cell>
          <cell r="N1877">
            <v>0.91632033534261803</v>
          </cell>
          <cell r="O1877">
            <v>8</v>
          </cell>
          <cell r="Q1877">
            <v>3061</v>
          </cell>
        </row>
        <row r="1878">
          <cell r="B1878" t="str">
            <v>MIDDLETOWN 1102414</v>
          </cell>
          <cell r="C1878">
            <v>43141102</v>
          </cell>
          <cell r="D1878" t="str">
            <v>MIDDLETOWN 1102</v>
          </cell>
          <cell r="E1878">
            <v>414</v>
          </cell>
          <cell r="F1878" t="b">
            <v>0</v>
          </cell>
          <cell r="G1878">
            <v>18899.455027186301</v>
          </cell>
          <cell r="H1878">
            <v>9544.4246613972191</v>
          </cell>
          <cell r="I1878">
            <v>114</v>
          </cell>
          <cell r="J1878">
            <v>1.4585672950520899E-4</v>
          </cell>
          <cell r="K1878">
            <v>791</v>
          </cell>
          <cell r="L1878">
            <v>3081.1570258802299</v>
          </cell>
          <cell r="M1878">
            <v>259</v>
          </cell>
          <cell r="N1878">
            <v>0.36434456002430698</v>
          </cell>
          <cell r="O1878">
            <v>82</v>
          </cell>
          <cell r="P1878">
            <v>1.22</v>
          </cell>
          <cell r="Q1878">
            <v>699</v>
          </cell>
        </row>
        <row r="1879">
          <cell r="B1879" t="str">
            <v>MIDDLETOWN 1102514</v>
          </cell>
          <cell r="C1879">
            <v>43141102</v>
          </cell>
          <cell r="D1879" t="str">
            <v>MIDDLETOWN 1102</v>
          </cell>
          <cell r="E1879">
            <v>514</v>
          </cell>
          <cell r="F1879" t="b">
            <v>0</v>
          </cell>
          <cell r="G1879">
            <v>8494.8760420642102</v>
          </cell>
          <cell r="H1879">
            <v>5391.2208031310602</v>
          </cell>
          <cell r="I1879">
            <v>71</v>
          </cell>
          <cell r="J1879">
            <v>1.4872990807265801E-4</v>
          </cell>
          <cell r="K1879">
            <v>755</v>
          </cell>
          <cell r="L1879">
            <v>482.28088243554203</v>
          </cell>
          <cell r="M1879">
            <v>1214</v>
          </cell>
          <cell r="N1879">
            <v>7.7301531158449593E-2</v>
          </cell>
          <cell r="O1879">
            <v>924</v>
          </cell>
          <cell r="P1879">
            <v>0.09</v>
          </cell>
          <cell r="Q1879">
            <v>1537</v>
          </cell>
        </row>
        <row r="1880">
          <cell r="B1880" t="str">
            <v>MIDDLETOWN 1102878</v>
          </cell>
          <cell r="C1880">
            <v>43141102</v>
          </cell>
          <cell r="D1880" t="str">
            <v>MIDDLETOWN 1102</v>
          </cell>
          <cell r="E1880">
            <v>878</v>
          </cell>
          <cell r="F1880" t="b">
            <v>0</v>
          </cell>
          <cell r="G1880">
            <v>9206.6572132508409</v>
          </cell>
          <cell r="H1880">
            <v>5430.6653970136304</v>
          </cell>
          <cell r="I1880">
            <v>49</v>
          </cell>
          <cell r="J1880">
            <v>1.7681129952507E-4</v>
          </cell>
          <cell r="K1880">
            <v>519</v>
          </cell>
          <cell r="L1880">
            <v>2682.7456306783101</v>
          </cell>
          <cell r="M1880">
            <v>315</v>
          </cell>
          <cell r="N1880">
            <v>0.31109269861470601</v>
          </cell>
          <cell r="O1880">
            <v>125</v>
          </cell>
          <cell r="P1880">
            <v>0.63</v>
          </cell>
          <cell r="Q1880">
            <v>834</v>
          </cell>
        </row>
        <row r="1881">
          <cell r="B1881" t="str">
            <v>MIDDLETOWN 1102998</v>
          </cell>
          <cell r="C1881">
            <v>43141102</v>
          </cell>
          <cell r="D1881" t="str">
            <v>MIDDLETOWN 1102</v>
          </cell>
          <cell r="E1881">
            <v>998</v>
          </cell>
          <cell r="F1881" t="b">
            <v>0</v>
          </cell>
          <cell r="G1881">
            <v>27408.003054353801</v>
          </cell>
          <cell r="H1881">
            <v>23900.855024518001</v>
          </cell>
          <cell r="I1881">
            <v>205</v>
          </cell>
          <cell r="J1881">
            <v>1.16191051924166E-4</v>
          </cell>
          <cell r="K1881">
            <v>1266</v>
          </cell>
          <cell r="L1881">
            <v>2601.6522358721199</v>
          </cell>
          <cell r="M1881">
            <v>329</v>
          </cell>
          <cell r="N1881">
            <v>0.27124103222414497</v>
          </cell>
          <cell r="O1881">
            <v>176</v>
          </cell>
          <cell r="P1881">
            <v>9.39</v>
          </cell>
          <cell r="Q1881">
            <v>410</v>
          </cell>
        </row>
        <row r="1882">
          <cell r="B1882" t="str">
            <v>MIDDLETOWN 1102CB</v>
          </cell>
          <cell r="C1882">
            <v>43141102</v>
          </cell>
          <cell r="D1882" t="str">
            <v>MIDDLETOWN 1102</v>
          </cell>
          <cell r="E1882" t="str">
            <v>CB</v>
          </cell>
          <cell r="F1882" t="b">
            <v>1</v>
          </cell>
          <cell r="G1882">
            <v>1420.4117020767201</v>
          </cell>
          <cell r="H1882">
            <v>752.03362013646301</v>
          </cell>
          <cell r="I1882">
            <v>12</v>
          </cell>
          <cell r="J1882">
            <v>3.2055758735320201E-4</v>
          </cell>
          <cell r="K1882">
            <v>109</v>
          </cell>
          <cell r="L1882">
            <v>1676.5244166063701</v>
          </cell>
          <cell r="M1882">
            <v>530</v>
          </cell>
          <cell r="N1882">
            <v>0.72480622708457398</v>
          </cell>
          <cell r="O1882">
            <v>13</v>
          </cell>
          <cell r="P1882">
            <v>0.71</v>
          </cell>
          <cell r="Q1882">
            <v>802</v>
          </cell>
        </row>
        <row r="1883">
          <cell r="B1883" t="str">
            <v>MIDDLETOWN 1103830</v>
          </cell>
          <cell r="C1883">
            <v>43141103</v>
          </cell>
          <cell r="D1883" t="str">
            <v>MIDDLETOWN 1103</v>
          </cell>
          <cell r="E1883">
            <v>830</v>
          </cell>
          <cell r="F1883" t="b">
            <v>0</v>
          </cell>
          <cell r="G1883">
            <v>62803.217485777801</v>
          </cell>
          <cell r="H1883">
            <v>44622.1036350863</v>
          </cell>
          <cell r="I1883">
            <v>212</v>
          </cell>
          <cell r="J1883">
            <v>1.5678942388140299E-4</v>
          </cell>
          <cell r="K1883">
            <v>675</v>
          </cell>
          <cell r="L1883">
            <v>4619.52280920463</v>
          </cell>
          <cell r="M1883">
            <v>102</v>
          </cell>
          <cell r="N1883">
            <v>0.71617523524972704</v>
          </cell>
          <cell r="O1883">
            <v>14</v>
          </cell>
          <cell r="P1883">
            <v>0.14000000000000001</v>
          </cell>
          <cell r="Q1883">
            <v>1322</v>
          </cell>
        </row>
        <row r="1884">
          <cell r="B1884" t="str">
            <v>MIDDLETOWN 1103CB</v>
          </cell>
          <cell r="C1884">
            <v>43141103</v>
          </cell>
          <cell r="D1884" t="str">
            <v>MIDDLETOWN 1103</v>
          </cell>
          <cell r="E1884" t="str">
            <v>CB</v>
          </cell>
          <cell r="F1884" t="b">
            <v>1</v>
          </cell>
          <cell r="G1884">
            <v>289.83985422131599</v>
          </cell>
          <cell r="H1884">
            <v>85.2366132613882</v>
          </cell>
          <cell r="I1884">
            <v>4</v>
          </cell>
          <cell r="J1884">
            <v>3.5400819979258802E-4</v>
          </cell>
          <cell r="K1884">
            <v>88</v>
          </cell>
          <cell r="L1884">
            <v>3206.0203590440201</v>
          </cell>
          <cell r="M1884">
            <v>240</v>
          </cell>
          <cell r="N1884">
            <v>1.30064582640474</v>
          </cell>
          <cell r="O1884">
            <v>5</v>
          </cell>
          <cell r="P1884">
            <v>0.28999999999999998</v>
          </cell>
          <cell r="Q1884">
            <v>1032</v>
          </cell>
        </row>
        <row r="1885">
          <cell r="B1885" t="str">
            <v>MILPITAS 110598568</v>
          </cell>
          <cell r="C1885">
            <v>82831105</v>
          </cell>
          <cell r="D1885" t="str">
            <v>MILPITAS 1105</v>
          </cell>
          <cell r="E1885">
            <v>98568</v>
          </cell>
          <cell r="F1885" t="b">
            <v>1</v>
          </cell>
          <cell r="G1885">
            <v>2444.49260617561</v>
          </cell>
          <cell r="H1885">
            <v>168.14213218924201</v>
          </cell>
          <cell r="I1885">
            <v>7</v>
          </cell>
          <cell r="J1885">
            <v>7.0182498997642794E-5</v>
          </cell>
          <cell r="K1885">
            <v>2465</v>
          </cell>
          <cell r="L1885">
            <v>834.76151797187595</v>
          </cell>
          <cell r="M1885">
            <v>919</v>
          </cell>
          <cell r="N1885">
            <v>8.3995395476482604E-2</v>
          </cell>
          <cell r="O1885">
            <v>872</v>
          </cell>
          <cell r="Q1885">
            <v>3457</v>
          </cell>
        </row>
        <row r="1886">
          <cell r="B1886" t="str">
            <v>MILPITAS 1108342498</v>
          </cell>
          <cell r="C1886">
            <v>82831108</v>
          </cell>
          <cell r="D1886" t="str">
            <v>MILPITAS 1108</v>
          </cell>
          <cell r="E1886">
            <v>342498</v>
          </cell>
          <cell r="F1886" t="b">
            <v>1</v>
          </cell>
          <cell r="G1886">
            <v>1151.7335859049499</v>
          </cell>
          <cell r="H1886">
            <v>49.007247501488997</v>
          </cell>
          <cell r="I1886">
            <v>9</v>
          </cell>
          <cell r="J1886">
            <v>7.9908285745962802E-5</v>
          </cell>
          <cell r="K1886">
            <v>2207</v>
          </cell>
          <cell r="L1886">
            <v>500.27619541172601</v>
          </cell>
          <cell r="M1886">
            <v>1198</v>
          </cell>
          <cell r="N1886">
            <v>3.3721797911251197E-2</v>
          </cell>
          <cell r="O1886">
            <v>1396</v>
          </cell>
          <cell r="Q1886">
            <v>3521</v>
          </cell>
        </row>
        <row r="1887">
          <cell r="B1887" t="str">
            <v>MILPITAS 110962157</v>
          </cell>
          <cell r="C1887">
            <v>82831109</v>
          </cell>
          <cell r="D1887" t="str">
            <v>MILPITAS 1109</v>
          </cell>
          <cell r="E1887">
            <v>62157</v>
          </cell>
          <cell r="F1887" t="b">
            <v>1</v>
          </cell>
          <cell r="G1887">
            <v>72.101477183319105</v>
          </cell>
          <cell r="H1887">
            <v>72.101477183319105</v>
          </cell>
          <cell r="I1887">
            <v>3</v>
          </cell>
          <cell r="J1887">
            <v>1.3140605005901299E-4</v>
          </cell>
          <cell r="K1887">
            <v>991</v>
          </cell>
          <cell r="L1887">
            <v>794.50949270623596</v>
          </cell>
          <cell r="M1887">
            <v>944</v>
          </cell>
          <cell r="N1887">
            <v>0.102570019797133</v>
          </cell>
          <cell r="O1887">
            <v>747</v>
          </cell>
          <cell r="P1887">
            <v>0.04</v>
          </cell>
          <cell r="Q1887">
            <v>2185</v>
          </cell>
        </row>
        <row r="1888">
          <cell r="B1888" t="str">
            <v>MILPITAS 1109XR044</v>
          </cell>
          <cell r="C1888">
            <v>82831109</v>
          </cell>
          <cell r="D1888" t="str">
            <v>MILPITAS 1109</v>
          </cell>
          <cell r="E1888" t="str">
            <v>XR044</v>
          </cell>
          <cell r="F1888" t="b">
            <v>1</v>
          </cell>
          <cell r="G1888">
            <v>3013.9348593270001</v>
          </cell>
          <cell r="H1888">
            <v>677.80181323905299</v>
          </cell>
          <cell r="I1888">
            <v>18</v>
          </cell>
          <cell r="J1888">
            <v>1.08545051957395E-4</v>
          </cell>
          <cell r="K1888">
            <v>1434</v>
          </cell>
          <cell r="L1888">
            <v>79.582873031964795</v>
          </cell>
          <cell r="M1888">
            <v>2050</v>
          </cell>
          <cell r="N1888">
            <v>1.14363474614574E-2</v>
          </cell>
          <cell r="O1888">
            <v>1905</v>
          </cell>
          <cell r="P1888">
            <v>0.02</v>
          </cell>
          <cell r="Q1888">
            <v>2555</v>
          </cell>
        </row>
        <row r="1889">
          <cell r="B1889" t="str">
            <v>MILPITAS 1109XR082</v>
          </cell>
          <cell r="C1889">
            <v>82831109</v>
          </cell>
          <cell r="D1889" t="str">
            <v>MILPITAS 1109</v>
          </cell>
          <cell r="E1889" t="str">
            <v>XR082</v>
          </cell>
          <cell r="F1889" t="b">
            <v>0</v>
          </cell>
          <cell r="G1889">
            <v>32889.548416135403</v>
          </cell>
          <cell r="H1889">
            <v>31674.502543236398</v>
          </cell>
          <cell r="I1889">
            <v>186</v>
          </cell>
          <cell r="J1889">
            <v>6.2382694640320701E-5</v>
          </cell>
          <cell r="K1889">
            <v>2710</v>
          </cell>
          <cell r="L1889">
            <v>716.13952969594095</v>
          </cell>
          <cell r="M1889">
            <v>1007</v>
          </cell>
          <cell r="N1889">
            <v>4.6132811713181197E-2</v>
          </cell>
          <cell r="O1889">
            <v>1222</v>
          </cell>
          <cell r="P1889">
            <v>0.21</v>
          </cell>
          <cell r="Q1889">
            <v>1151</v>
          </cell>
        </row>
        <row r="1890">
          <cell r="B1890" t="str">
            <v>MILPITAS 1109XR374</v>
          </cell>
          <cell r="C1890">
            <v>82831109</v>
          </cell>
          <cell r="D1890" t="str">
            <v>MILPITAS 1109</v>
          </cell>
          <cell r="E1890" t="str">
            <v>XR374</v>
          </cell>
          <cell r="F1890" t="b">
            <v>1</v>
          </cell>
          <cell r="G1890">
            <v>4853.8507704979902</v>
          </cell>
          <cell r="H1890">
            <v>763.90316321032799</v>
          </cell>
          <cell r="I1890">
            <v>29</v>
          </cell>
          <cell r="J1890">
            <v>5.5867567035810198E-5</v>
          </cell>
          <cell r="K1890">
            <v>2893</v>
          </cell>
          <cell r="L1890">
            <v>52.1031859437281</v>
          </cell>
          <cell r="M1890">
            <v>2201</v>
          </cell>
          <cell r="N1890">
            <v>2.53095769513133E-3</v>
          </cell>
          <cell r="O1890">
            <v>2406</v>
          </cell>
          <cell r="P1890">
            <v>0.04</v>
          </cell>
          <cell r="Q1890">
            <v>2155</v>
          </cell>
        </row>
        <row r="1891">
          <cell r="B1891" t="str">
            <v>MILPITAS 1109XR524</v>
          </cell>
          <cell r="C1891">
            <v>82831109</v>
          </cell>
          <cell r="D1891" t="str">
            <v>MILPITAS 1109</v>
          </cell>
          <cell r="E1891" t="str">
            <v>XR524</v>
          </cell>
          <cell r="F1891" t="b">
            <v>0</v>
          </cell>
          <cell r="G1891">
            <v>17990.1420251743</v>
          </cell>
          <cell r="H1891">
            <v>17523.666573685099</v>
          </cell>
          <cell r="I1891">
            <v>59</v>
          </cell>
          <cell r="J1891">
            <v>7.3649513931166801E-5</v>
          </cell>
          <cell r="K1891">
            <v>2373</v>
          </cell>
          <cell r="L1891">
            <v>1425.91424410642</v>
          </cell>
          <cell r="M1891">
            <v>629</v>
          </cell>
          <cell r="N1891">
            <v>9.4429931079707E-2</v>
          </cell>
          <cell r="O1891">
            <v>797</v>
          </cell>
          <cell r="P1891">
            <v>0.13</v>
          </cell>
          <cell r="Q1891">
            <v>1349</v>
          </cell>
        </row>
        <row r="1892">
          <cell r="B1892" t="str">
            <v>MIRABEL 1101116</v>
          </cell>
          <cell r="C1892">
            <v>42091101</v>
          </cell>
          <cell r="D1892" t="str">
            <v>MIRABEL 1101</v>
          </cell>
          <cell r="E1892">
            <v>116</v>
          </cell>
          <cell r="F1892" t="b">
            <v>0</v>
          </cell>
          <cell r="G1892">
            <v>17433.647693868199</v>
          </cell>
          <cell r="H1892">
            <v>16625.880847870099</v>
          </cell>
          <cell r="I1892">
            <v>112</v>
          </cell>
          <cell r="J1892">
            <v>1.78610825264718E-4</v>
          </cell>
          <cell r="K1892">
            <v>515</v>
          </cell>
          <cell r="L1892">
            <v>262.50158526772401</v>
          </cell>
          <cell r="M1892">
            <v>1515</v>
          </cell>
          <cell r="N1892">
            <v>3.9363220824275701E-2</v>
          </cell>
          <cell r="O1892">
            <v>1313</v>
          </cell>
          <cell r="P1892">
            <v>33.71</v>
          </cell>
          <cell r="Q1892">
            <v>220</v>
          </cell>
        </row>
        <row r="1893">
          <cell r="B1893" t="str">
            <v>MIRABEL 1101201156</v>
          </cell>
          <cell r="C1893">
            <v>42091101</v>
          </cell>
          <cell r="D1893" t="str">
            <v>MIRABEL 1101</v>
          </cell>
          <cell r="E1893">
            <v>201156</v>
          </cell>
          <cell r="F1893" t="b">
            <v>0</v>
          </cell>
          <cell r="G1893">
            <v>2780.2157730130898</v>
          </cell>
          <cell r="H1893">
            <v>2335.0863379866</v>
          </cell>
          <cell r="I1893">
            <v>26</v>
          </cell>
          <cell r="J1893">
            <v>1.3200262009587001E-4</v>
          </cell>
          <cell r="K1893">
            <v>983</v>
          </cell>
          <cell r="L1893">
            <v>11.0364092834934</v>
          </cell>
          <cell r="M1893">
            <v>2609</v>
          </cell>
          <cell r="N1893">
            <v>1.4632475617685401E-3</v>
          </cell>
          <cell r="O1893">
            <v>2565</v>
          </cell>
          <cell r="Q1893">
            <v>2996</v>
          </cell>
        </row>
        <row r="1894">
          <cell r="B1894" t="str">
            <v>MIRABEL 1101228</v>
          </cell>
          <cell r="C1894">
            <v>42091101</v>
          </cell>
          <cell r="D1894" t="str">
            <v>MIRABEL 1101</v>
          </cell>
          <cell r="E1894">
            <v>228</v>
          </cell>
          <cell r="F1894" t="b">
            <v>0</v>
          </cell>
          <cell r="G1894">
            <v>15665.253401882101</v>
          </cell>
          <cell r="H1894">
            <v>3403.0120207104301</v>
          </cell>
          <cell r="I1894">
            <v>123</v>
          </cell>
          <cell r="J1894">
            <v>1.41131872511353E-4</v>
          </cell>
          <cell r="K1894">
            <v>851</v>
          </cell>
          <cell r="L1894">
            <v>47.119686946993703</v>
          </cell>
          <cell r="M1894">
            <v>2230</v>
          </cell>
          <cell r="N1894">
            <v>6.8367022417450797E-3</v>
          </cell>
          <cell r="O1894">
            <v>2100</v>
          </cell>
          <cell r="P1894">
            <v>1.03</v>
          </cell>
          <cell r="Q1894">
            <v>725</v>
          </cell>
        </row>
        <row r="1895">
          <cell r="B1895" t="str">
            <v>MIRABEL 1101253331</v>
          </cell>
          <cell r="C1895">
            <v>42091101</v>
          </cell>
          <cell r="D1895" t="str">
            <v>MIRABEL 1101</v>
          </cell>
          <cell r="E1895">
            <v>253331</v>
          </cell>
          <cell r="F1895" t="b">
            <v>1</v>
          </cell>
          <cell r="G1895">
            <v>639.83942675141395</v>
          </cell>
          <cell r="H1895">
            <v>107.658448522215</v>
          </cell>
          <cell r="I1895">
            <v>5</v>
          </cell>
          <cell r="J1895">
            <v>1.5549631643807499E-4</v>
          </cell>
          <cell r="K1895">
            <v>688</v>
          </cell>
          <cell r="L1895">
            <v>63.345330362923903</v>
          </cell>
          <cell r="M1895">
            <v>2134</v>
          </cell>
          <cell r="N1895">
            <v>9.0170616434178293E-3</v>
          </cell>
          <cell r="O1895">
            <v>2001</v>
          </cell>
          <cell r="Q1895">
            <v>3284</v>
          </cell>
        </row>
        <row r="1896">
          <cell r="B1896" t="str">
            <v>MIRABEL 1101298</v>
          </cell>
          <cell r="C1896">
            <v>42091101</v>
          </cell>
          <cell r="D1896" t="str">
            <v>MIRABEL 1101</v>
          </cell>
          <cell r="E1896">
            <v>298</v>
          </cell>
          <cell r="F1896" t="b">
            <v>0</v>
          </cell>
          <cell r="G1896">
            <v>20337.804110658799</v>
          </cell>
          <cell r="H1896">
            <v>20253.832314351799</v>
          </cell>
          <cell r="I1896">
            <v>123</v>
          </cell>
          <cell r="J1896">
            <v>1.6851549800066501E-4</v>
          </cell>
          <cell r="K1896">
            <v>572</v>
          </cell>
          <cell r="L1896">
            <v>115.627972910591</v>
          </cell>
          <cell r="M1896">
            <v>1892</v>
          </cell>
          <cell r="N1896">
            <v>1.7237566063932199E-2</v>
          </cell>
          <cell r="O1896">
            <v>1732</v>
          </cell>
          <cell r="P1896">
            <v>85.76</v>
          </cell>
          <cell r="Q1896">
            <v>39</v>
          </cell>
        </row>
        <row r="1897">
          <cell r="B1897" t="str">
            <v>MIRABEL 11014859</v>
          </cell>
          <cell r="C1897">
            <v>42091101</v>
          </cell>
          <cell r="D1897" t="str">
            <v>MIRABEL 1101</v>
          </cell>
          <cell r="E1897">
            <v>4859</v>
          </cell>
          <cell r="F1897" t="b">
            <v>0</v>
          </cell>
          <cell r="G1897">
            <v>3008.5895105193299</v>
          </cell>
          <cell r="H1897">
            <v>3008.5895105193299</v>
          </cell>
          <cell r="I1897">
            <v>22</v>
          </cell>
          <cell r="J1897">
            <v>1.5733066902612301E-4</v>
          </cell>
          <cell r="K1897">
            <v>670</v>
          </cell>
          <cell r="L1897">
            <v>65.971475951547902</v>
          </cell>
          <cell r="M1897">
            <v>2116</v>
          </cell>
          <cell r="N1897">
            <v>8.5571992191763608E-3</v>
          </cell>
          <cell r="O1897">
            <v>2026</v>
          </cell>
          <cell r="P1897">
            <v>30.63</v>
          </cell>
          <cell r="Q1897">
            <v>236</v>
          </cell>
        </row>
        <row r="1898">
          <cell r="B1898" t="str">
            <v>MIRABEL 1101688780</v>
          </cell>
          <cell r="C1898">
            <v>42091101</v>
          </cell>
          <cell r="D1898" t="str">
            <v>MIRABEL 1101</v>
          </cell>
          <cell r="E1898">
            <v>688780</v>
          </cell>
          <cell r="F1898" t="b">
            <v>1</v>
          </cell>
          <cell r="G1898">
            <v>2079.7156381126802</v>
          </cell>
          <cell r="H1898">
            <v>922.89584729636897</v>
          </cell>
          <cell r="I1898">
            <v>14</v>
          </cell>
          <cell r="J1898">
            <v>1.92745610028006E-4</v>
          </cell>
          <cell r="K1898">
            <v>430</v>
          </cell>
          <cell r="L1898">
            <v>228.66648564928499</v>
          </cell>
          <cell r="M1898">
            <v>1589</v>
          </cell>
          <cell r="N1898">
            <v>2.9456238058714598E-2</v>
          </cell>
          <cell r="O1898">
            <v>1475</v>
          </cell>
          <cell r="Q1898">
            <v>2839</v>
          </cell>
        </row>
        <row r="1899">
          <cell r="B1899" t="str">
            <v>MIRABEL 1101781318</v>
          </cell>
          <cell r="C1899">
            <v>42091101</v>
          </cell>
          <cell r="D1899" t="str">
            <v>MIRABEL 1101</v>
          </cell>
          <cell r="E1899">
            <v>781318</v>
          </cell>
          <cell r="F1899" t="b">
            <v>1</v>
          </cell>
          <cell r="G1899">
            <v>172.13770954059501</v>
          </cell>
          <cell r="H1899">
            <v>172.13770954059501</v>
          </cell>
          <cell r="I1899">
            <v>3</v>
          </cell>
          <cell r="J1899">
            <v>3.8200846271744599E-4</v>
          </cell>
          <cell r="K1899">
            <v>74</v>
          </cell>
          <cell r="L1899">
            <v>6.6431380861030107E-2</v>
          </cell>
          <cell r="M1899">
            <v>3034</v>
          </cell>
          <cell r="N1899">
            <v>2.5377349678919299E-5</v>
          </cell>
          <cell r="O1899">
            <v>2949</v>
          </cell>
          <cell r="Q1899">
            <v>3210</v>
          </cell>
        </row>
        <row r="1900">
          <cell r="B1900" t="str">
            <v>MIRABEL 1101CB</v>
          </cell>
          <cell r="C1900">
            <v>42091101</v>
          </cell>
          <cell r="D1900" t="str">
            <v>MIRABEL 1101</v>
          </cell>
          <cell r="E1900" t="str">
            <v>CB</v>
          </cell>
          <cell r="F1900" t="b">
            <v>1</v>
          </cell>
          <cell r="G1900">
            <v>8192.7884906313902</v>
          </cell>
          <cell r="H1900">
            <v>792.34478947594005</v>
          </cell>
          <cell r="I1900">
            <v>70</v>
          </cell>
          <cell r="J1900">
            <v>1.6302978097435E-4</v>
          </cell>
          <cell r="K1900">
            <v>612</v>
          </cell>
          <cell r="L1900">
            <v>5.4891995280715298</v>
          </cell>
          <cell r="M1900">
            <v>2729</v>
          </cell>
          <cell r="N1900">
            <v>5.9471343536099104E-4</v>
          </cell>
          <cell r="O1900">
            <v>2709</v>
          </cell>
          <cell r="P1900">
            <v>0.06</v>
          </cell>
          <cell r="Q1900">
            <v>1815</v>
          </cell>
        </row>
        <row r="1901">
          <cell r="B1901" t="str">
            <v>MIRABEL 11021139</v>
          </cell>
          <cell r="C1901">
            <v>42091102</v>
          </cell>
          <cell r="D1901" t="str">
            <v>MIRABEL 1102</v>
          </cell>
          <cell r="E1901">
            <v>1139</v>
          </cell>
          <cell r="F1901" t="b">
            <v>0</v>
          </cell>
          <cell r="G1901">
            <v>3291.1127531327902</v>
          </cell>
          <cell r="H1901">
            <v>3291.1127531327902</v>
          </cell>
          <cell r="I1901">
            <v>25</v>
          </cell>
          <cell r="J1901">
            <v>2.1660736892954399E-4</v>
          </cell>
          <cell r="K1901">
            <v>335</v>
          </cell>
          <cell r="L1901">
            <v>5.7709992207543497</v>
          </cell>
          <cell r="M1901">
            <v>2718</v>
          </cell>
          <cell r="N1901">
            <v>1.1070900417595501E-3</v>
          </cell>
          <cell r="O1901">
            <v>2616</v>
          </cell>
          <cell r="P1901">
            <v>19.12</v>
          </cell>
          <cell r="Q1901">
            <v>313</v>
          </cell>
        </row>
        <row r="1902">
          <cell r="B1902" t="str">
            <v>MIRABEL 110213597</v>
          </cell>
          <cell r="C1902">
            <v>42091102</v>
          </cell>
          <cell r="D1902" t="str">
            <v>MIRABEL 1102</v>
          </cell>
          <cell r="E1902">
            <v>13597</v>
          </cell>
          <cell r="F1902" t="b">
            <v>1</v>
          </cell>
          <cell r="G1902">
            <v>751.81596492147105</v>
          </cell>
          <cell r="H1902">
            <v>751.81596492147105</v>
          </cell>
          <cell r="I1902">
            <v>6</v>
          </cell>
          <cell r="J1902">
            <v>1.4115634985500901E-4</v>
          </cell>
          <cell r="K1902">
            <v>850</v>
          </cell>
          <cell r="L1902">
            <v>23.8354620933899</v>
          </cell>
          <cell r="M1902">
            <v>2404</v>
          </cell>
          <cell r="N1902">
            <v>3.7121842334720198E-3</v>
          </cell>
          <cell r="O1902">
            <v>2275</v>
          </cell>
          <cell r="P1902">
            <v>8.42</v>
          </cell>
          <cell r="Q1902">
            <v>427</v>
          </cell>
        </row>
        <row r="1903">
          <cell r="B1903" t="str">
            <v>MIRABEL 11022043</v>
          </cell>
          <cell r="C1903">
            <v>42091102</v>
          </cell>
          <cell r="D1903" t="str">
            <v>MIRABEL 1102</v>
          </cell>
          <cell r="E1903">
            <v>2043</v>
          </cell>
          <cell r="F1903" t="b">
            <v>1</v>
          </cell>
          <cell r="G1903">
            <v>902.22380418133901</v>
          </cell>
          <cell r="H1903">
            <v>902.22380418133901</v>
          </cell>
          <cell r="I1903">
            <v>8</v>
          </cell>
          <cell r="J1903">
            <v>2.08370247491984E-4</v>
          </cell>
          <cell r="K1903">
            <v>369</v>
          </cell>
          <cell r="L1903">
            <v>6.6431380861030107E-2</v>
          </cell>
          <cell r="M1903">
            <v>3028</v>
          </cell>
          <cell r="N1903">
            <v>1.38423232712471E-5</v>
          </cell>
          <cell r="O1903">
            <v>3020</v>
          </cell>
          <cell r="P1903">
            <v>28.28</v>
          </cell>
          <cell r="Q1903">
            <v>251</v>
          </cell>
        </row>
        <row r="1904">
          <cell r="B1904" t="str">
            <v>MIRABEL 1102332</v>
          </cell>
          <cell r="C1904">
            <v>42091102</v>
          </cell>
          <cell r="D1904" t="str">
            <v>MIRABEL 1102</v>
          </cell>
          <cell r="E1904">
            <v>332</v>
          </cell>
          <cell r="F1904" t="b">
            <v>0</v>
          </cell>
          <cell r="G1904">
            <v>9174.8237783758195</v>
          </cell>
          <cell r="H1904">
            <v>9174.8237783758195</v>
          </cell>
          <cell r="I1904">
            <v>67</v>
          </cell>
          <cell r="J1904">
            <v>2.2781008032216499E-4</v>
          </cell>
          <cell r="K1904">
            <v>292</v>
          </cell>
          <cell r="L1904">
            <v>15.321184205878399</v>
          </cell>
          <cell r="M1904">
            <v>2526</v>
          </cell>
          <cell r="N1904">
            <v>4.35731257721982E-3</v>
          </cell>
          <cell r="O1904">
            <v>2238</v>
          </cell>
          <cell r="P1904">
            <v>30.76</v>
          </cell>
          <cell r="Q1904">
            <v>235</v>
          </cell>
        </row>
        <row r="1905">
          <cell r="B1905" t="str">
            <v>MIRABEL 1102334</v>
          </cell>
          <cell r="C1905">
            <v>42091102</v>
          </cell>
          <cell r="D1905" t="str">
            <v>MIRABEL 1102</v>
          </cell>
          <cell r="E1905">
            <v>334</v>
          </cell>
          <cell r="F1905" t="b">
            <v>0</v>
          </cell>
          <cell r="G1905">
            <v>14855.851360787299</v>
          </cell>
          <cell r="H1905">
            <v>9584.4637133830493</v>
          </cell>
          <cell r="I1905">
            <v>84</v>
          </cell>
          <cell r="J1905">
            <v>1.3014054583896799E-4</v>
          </cell>
          <cell r="K1905">
            <v>1009</v>
          </cell>
          <cell r="L1905">
            <v>232.814239331815</v>
          </cell>
          <cell r="M1905">
            <v>1581</v>
          </cell>
          <cell r="N1905">
            <v>3.7895862281297897E-2</v>
          </cell>
          <cell r="O1905">
            <v>1331</v>
          </cell>
          <cell r="P1905">
            <v>0.12</v>
          </cell>
          <cell r="Q1905">
            <v>1407</v>
          </cell>
        </row>
        <row r="1906">
          <cell r="B1906" t="str">
            <v>MIRABEL 110238514</v>
          </cell>
          <cell r="C1906">
            <v>42091102</v>
          </cell>
          <cell r="D1906" t="str">
            <v>MIRABEL 1102</v>
          </cell>
          <cell r="E1906">
            <v>38514</v>
          </cell>
          <cell r="F1906" t="b">
            <v>0</v>
          </cell>
          <cell r="G1906">
            <v>17257.247272192999</v>
          </cell>
          <cell r="H1906">
            <v>17257.247272192999</v>
          </cell>
          <cell r="I1906">
            <v>102</v>
          </cell>
          <cell r="J1906">
            <v>2.1556216205059899E-4</v>
          </cell>
          <cell r="K1906">
            <v>338</v>
          </cell>
          <cell r="L1906">
            <v>24.5362889943098</v>
          </cell>
          <cell r="M1906">
            <v>2394</v>
          </cell>
          <cell r="N1906">
            <v>4.6099139465195799E-3</v>
          </cell>
          <cell r="O1906">
            <v>2225</v>
          </cell>
          <cell r="P1906">
            <v>0.75</v>
          </cell>
          <cell r="Q1906">
            <v>788</v>
          </cell>
        </row>
        <row r="1907">
          <cell r="B1907" t="str">
            <v>MIRABEL 1102503000</v>
          </cell>
          <cell r="C1907">
            <v>42091102</v>
          </cell>
          <cell r="D1907" t="str">
            <v>MIRABEL 1102</v>
          </cell>
          <cell r="E1907">
            <v>503000</v>
          </cell>
          <cell r="F1907" t="b">
            <v>0</v>
          </cell>
          <cell r="G1907">
            <v>7554.2207743116496</v>
          </cell>
          <cell r="H1907">
            <v>7373.1309885546598</v>
          </cell>
          <cell r="I1907">
            <v>54</v>
          </cell>
          <cell r="J1907">
            <v>1.7003665231674799E-4</v>
          </cell>
          <cell r="K1907">
            <v>564</v>
          </cell>
          <cell r="L1907">
            <v>3.5877458715328499</v>
          </cell>
          <cell r="M1907">
            <v>2787</v>
          </cell>
          <cell r="N1907">
            <v>1.1185400511238501E-3</v>
          </cell>
          <cell r="O1907">
            <v>2613</v>
          </cell>
          <cell r="Q1907">
            <v>2789</v>
          </cell>
        </row>
        <row r="1908">
          <cell r="B1908" t="str">
            <v>MIRABEL 1102524356</v>
          </cell>
          <cell r="C1908">
            <v>42091102</v>
          </cell>
          <cell r="D1908" t="str">
            <v>MIRABEL 1102</v>
          </cell>
          <cell r="E1908">
            <v>524356</v>
          </cell>
          <cell r="F1908" t="b">
            <v>0</v>
          </cell>
          <cell r="G1908">
            <v>4107.6805226397501</v>
          </cell>
          <cell r="H1908">
            <v>2088.1165687395301</v>
          </cell>
          <cell r="I1908">
            <v>29</v>
          </cell>
          <cell r="J1908">
            <v>1.0420752927341799E-4</v>
          </cell>
          <cell r="K1908">
            <v>1547</v>
          </cell>
          <cell r="L1908">
            <v>511.08457907684101</v>
          </cell>
          <cell r="M1908">
            <v>1190</v>
          </cell>
          <cell r="N1908">
            <v>3.0871694906440698E-2</v>
          </cell>
          <cell r="O1908">
            <v>1445</v>
          </cell>
          <cell r="Q1908">
            <v>2991</v>
          </cell>
        </row>
        <row r="1909">
          <cell r="B1909" t="str">
            <v>MIRABEL 110257840</v>
          </cell>
          <cell r="C1909">
            <v>42091102</v>
          </cell>
          <cell r="D1909" t="str">
            <v>MIRABEL 1102</v>
          </cell>
          <cell r="E1909">
            <v>57840</v>
          </cell>
          <cell r="F1909" t="b">
            <v>0</v>
          </cell>
          <cell r="G1909">
            <v>4238.9330689785902</v>
          </cell>
          <cell r="H1909">
            <v>4238.9330689785902</v>
          </cell>
          <cell r="I1909">
            <v>29</v>
          </cell>
          <cell r="J1909">
            <v>2.9837344482075401E-4</v>
          </cell>
          <cell r="K1909">
            <v>131</v>
          </cell>
          <cell r="L1909">
            <v>7.4430277723976204</v>
          </cell>
          <cell r="M1909">
            <v>2678</v>
          </cell>
          <cell r="N1909">
            <v>1.8331246337015899E-3</v>
          </cell>
          <cell r="O1909">
            <v>2497</v>
          </cell>
          <cell r="P1909">
            <v>0.36</v>
          </cell>
          <cell r="Q1909">
            <v>971</v>
          </cell>
        </row>
        <row r="1910">
          <cell r="B1910" t="str">
            <v>MIRABEL 11027347</v>
          </cell>
          <cell r="C1910">
            <v>42091102</v>
          </cell>
          <cell r="D1910" t="str">
            <v>MIRABEL 1102</v>
          </cell>
          <cell r="E1910">
            <v>7347</v>
          </cell>
          <cell r="F1910" t="b">
            <v>0</v>
          </cell>
          <cell r="G1910">
            <v>1315.37576732873</v>
          </cell>
          <cell r="H1910">
            <v>1315.37576732873</v>
          </cell>
          <cell r="I1910">
            <v>10</v>
          </cell>
          <cell r="J1910">
            <v>1.3644124628626699E-4</v>
          </cell>
          <cell r="K1910">
            <v>913</v>
          </cell>
          <cell r="L1910">
            <v>4.8202379141054701</v>
          </cell>
          <cell r="M1910">
            <v>2760</v>
          </cell>
          <cell r="N1910">
            <v>6.5863587893986097E-4</v>
          </cell>
          <cell r="O1910">
            <v>2695</v>
          </cell>
          <cell r="P1910">
            <v>43.48</v>
          </cell>
          <cell r="Q1910">
            <v>167</v>
          </cell>
        </row>
        <row r="1911">
          <cell r="B1911" t="str">
            <v>MIRABEL 11027401</v>
          </cell>
          <cell r="C1911">
            <v>42091102</v>
          </cell>
          <cell r="D1911" t="str">
            <v>MIRABEL 1102</v>
          </cell>
          <cell r="E1911">
            <v>7401</v>
          </cell>
          <cell r="F1911" t="b">
            <v>0</v>
          </cell>
          <cell r="G1911">
            <v>1710.0335816248601</v>
          </cell>
          <cell r="H1911">
            <v>1710.0335816248601</v>
          </cell>
          <cell r="I1911">
            <v>12</v>
          </cell>
          <cell r="J1911">
            <v>2.3872671287487399E-4</v>
          </cell>
          <cell r="K1911">
            <v>251</v>
          </cell>
          <cell r="L1911">
            <v>6.6431380861030107E-2</v>
          </cell>
          <cell r="M1911">
            <v>3026</v>
          </cell>
          <cell r="N1911">
            <v>1.58589451846925E-5</v>
          </cell>
          <cell r="O1911">
            <v>2997</v>
          </cell>
          <cell r="P1911">
            <v>5.59</v>
          </cell>
          <cell r="Q1911">
            <v>483</v>
          </cell>
        </row>
        <row r="1912">
          <cell r="B1912" t="str">
            <v>MIRABEL 1102841</v>
          </cell>
          <cell r="C1912">
            <v>42091102</v>
          </cell>
          <cell r="D1912" t="str">
            <v>MIRABEL 1102</v>
          </cell>
          <cell r="E1912">
            <v>841</v>
          </cell>
          <cell r="F1912" t="b">
            <v>0</v>
          </cell>
          <cell r="G1912">
            <v>1307.0395766721399</v>
          </cell>
          <cell r="H1912">
            <v>1307.0395766721399</v>
          </cell>
          <cell r="I1912">
            <v>12</v>
          </cell>
          <cell r="J1912">
            <v>2.23521183822109E-4</v>
          </cell>
          <cell r="K1912">
            <v>305</v>
          </cell>
          <cell r="L1912">
            <v>6.6431380861030107E-2</v>
          </cell>
          <cell r="M1912">
            <v>3027</v>
          </cell>
          <cell r="N1912">
            <v>1.48488208929949E-5</v>
          </cell>
          <cell r="O1912">
            <v>3010</v>
          </cell>
          <cell r="P1912">
            <v>0.34</v>
          </cell>
          <cell r="Q1912">
            <v>982</v>
          </cell>
        </row>
        <row r="1913">
          <cell r="B1913" t="str">
            <v>MIRABEL 110286326</v>
          </cell>
          <cell r="C1913">
            <v>42091102</v>
          </cell>
          <cell r="D1913" t="str">
            <v>MIRABEL 1102</v>
          </cell>
          <cell r="E1913">
            <v>86326</v>
          </cell>
          <cell r="F1913" t="b">
            <v>0</v>
          </cell>
          <cell r="G1913">
            <v>1145.9959879656201</v>
          </cell>
          <cell r="H1913">
            <v>1133.0955485008301</v>
          </cell>
          <cell r="I1913">
            <v>5</v>
          </cell>
          <cell r="J1913">
            <v>8.4164222547163494E-5</v>
          </cell>
          <cell r="K1913">
            <v>2088</v>
          </cell>
          <cell r="L1913">
            <v>38.159563559067799</v>
          </cell>
          <cell r="M1913">
            <v>2289</v>
          </cell>
          <cell r="N1913">
            <v>6.5228062443256699E-3</v>
          </cell>
          <cell r="O1913">
            <v>2121</v>
          </cell>
          <cell r="Q1913">
            <v>3481</v>
          </cell>
        </row>
        <row r="1914">
          <cell r="B1914" t="str">
            <v>MIRABEL 1102CB</v>
          </cell>
          <cell r="C1914">
            <v>42091102</v>
          </cell>
          <cell r="D1914" t="str">
            <v>MIRABEL 1102</v>
          </cell>
          <cell r="E1914" t="str">
            <v>CB</v>
          </cell>
          <cell r="F1914" t="b">
            <v>1</v>
          </cell>
          <cell r="G1914">
            <v>10759.640985115801</v>
          </cell>
          <cell r="H1914">
            <v>358.85566272717199</v>
          </cell>
          <cell r="I1914">
            <v>85</v>
          </cell>
          <cell r="J1914">
            <v>1.4250615179532401E-4</v>
          </cell>
          <cell r="K1914">
            <v>833</v>
          </cell>
          <cell r="L1914">
            <v>6.5166327505962698E-2</v>
          </cell>
          <cell r="M1914">
            <v>3549</v>
          </cell>
          <cell r="N1914">
            <v>9.2860386491516202E-6</v>
          </cell>
          <cell r="O1914">
            <v>3086</v>
          </cell>
          <cell r="P1914">
            <v>0.26</v>
          </cell>
          <cell r="Q1914">
            <v>1071</v>
          </cell>
        </row>
        <row r="1915">
          <cell r="B1915" t="str">
            <v>MIWUK 170110600</v>
          </cell>
          <cell r="C1915">
            <v>163661701</v>
          </cell>
          <cell r="D1915" t="str">
            <v>MIWUK 1701</v>
          </cell>
          <cell r="E1915">
            <v>10600</v>
          </cell>
          <cell r="F1915" t="b">
            <v>0</v>
          </cell>
          <cell r="G1915">
            <v>21367.068809303299</v>
          </cell>
          <cell r="H1915">
            <v>21367.068809303299</v>
          </cell>
          <cell r="I1915">
            <v>161</v>
          </cell>
          <cell r="J1915">
            <v>7.3663395489336405E-5</v>
          </cell>
          <cell r="K1915">
            <v>2371</v>
          </cell>
          <cell r="L1915">
            <v>8.3350012624939396</v>
          </cell>
          <cell r="M1915">
            <v>2662</v>
          </cell>
          <cell r="N1915">
            <v>6.83001236129674E-4</v>
          </cell>
          <cell r="O1915">
            <v>2690</v>
          </cell>
          <cell r="P1915">
            <v>276.94</v>
          </cell>
          <cell r="Q1915">
            <v>1</v>
          </cell>
        </row>
        <row r="1916">
          <cell r="B1916" t="str">
            <v>MIWUK 170111800</v>
          </cell>
          <cell r="C1916">
            <v>163661701</v>
          </cell>
          <cell r="D1916" t="str">
            <v>MIWUK 1701</v>
          </cell>
          <cell r="E1916">
            <v>11800</v>
          </cell>
          <cell r="F1916" t="b">
            <v>0</v>
          </cell>
          <cell r="G1916">
            <v>15325.446792848799</v>
          </cell>
          <cell r="H1916">
            <v>15325.446792848799</v>
          </cell>
          <cell r="I1916">
            <v>116</v>
          </cell>
          <cell r="J1916">
            <v>9.1187604351128704E-5</v>
          </cell>
          <cell r="K1916">
            <v>1873</v>
          </cell>
          <cell r="L1916">
            <v>242.093026945752</v>
          </cell>
          <cell r="M1916">
            <v>1561</v>
          </cell>
          <cell r="N1916">
            <v>1.1865640523237001E-2</v>
          </cell>
          <cell r="O1916">
            <v>1887</v>
          </cell>
          <cell r="P1916">
            <v>49.43</v>
          </cell>
          <cell r="Q1916">
            <v>123</v>
          </cell>
        </row>
        <row r="1917">
          <cell r="B1917" t="str">
            <v>MIWUK 170153038</v>
          </cell>
          <cell r="C1917">
            <v>163661701</v>
          </cell>
          <cell r="D1917" t="str">
            <v>MIWUK 1701</v>
          </cell>
          <cell r="E1917">
            <v>53038</v>
          </cell>
          <cell r="F1917" t="b">
            <v>0</v>
          </cell>
          <cell r="G1917">
            <v>10729.355460065901</v>
          </cell>
          <cell r="H1917">
            <v>10729.355460065901</v>
          </cell>
          <cell r="I1917">
            <v>62</v>
          </cell>
          <cell r="J1917">
            <v>6.9808908116757498E-5</v>
          </cell>
          <cell r="K1917">
            <v>2481</v>
          </cell>
          <cell r="L1917">
            <v>8.8863586347630292</v>
          </cell>
          <cell r="M1917">
            <v>2645</v>
          </cell>
          <cell r="N1917">
            <v>5.5180785280406898E-4</v>
          </cell>
          <cell r="O1917">
            <v>2719</v>
          </cell>
          <cell r="P1917">
            <v>0.63</v>
          </cell>
          <cell r="Q1917">
            <v>833</v>
          </cell>
        </row>
        <row r="1918">
          <cell r="B1918" t="str">
            <v>MIWUK 170179118</v>
          </cell>
          <cell r="C1918">
            <v>163661701</v>
          </cell>
          <cell r="D1918" t="str">
            <v>MIWUK 1701</v>
          </cell>
          <cell r="E1918">
            <v>79118</v>
          </cell>
          <cell r="F1918" t="b">
            <v>1</v>
          </cell>
          <cell r="G1918">
            <v>31.156363681287999</v>
          </cell>
          <cell r="H1918">
            <v>31.156363681287999</v>
          </cell>
          <cell r="I1918">
            <v>2</v>
          </cell>
          <cell r="J1918">
            <v>1.5410723426611999E-4</v>
          </cell>
          <cell r="K1918">
            <v>704</v>
          </cell>
          <cell r="L1918">
            <v>6.6431229729116206E-2</v>
          </cell>
          <cell r="M1918">
            <v>3084</v>
          </cell>
          <cell r="N1918">
            <v>1.02375330824514E-5</v>
          </cell>
          <cell r="O1918">
            <v>3063</v>
          </cell>
          <cell r="P1918">
            <v>13.07</v>
          </cell>
          <cell r="Q1918">
            <v>367</v>
          </cell>
        </row>
        <row r="1919">
          <cell r="B1919" t="str">
            <v>MIWUK 17018050</v>
          </cell>
          <cell r="C1919">
            <v>163661701</v>
          </cell>
          <cell r="D1919" t="str">
            <v>MIWUK 1701</v>
          </cell>
          <cell r="E1919">
            <v>8050</v>
          </cell>
          <cell r="F1919" t="b">
            <v>0</v>
          </cell>
          <cell r="G1919">
            <v>19488.304518601701</v>
          </cell>
          <cell r="H1919">
            <v>19488.304518601701</v>
          </cell>
          <cell r="I1919">
            <v>137</v>
          </cell>
          <cell r="J1919">
            <v>6.4562167177016299E-5</v>
          </cell>
          <cell r="K1919">
            <v>2624</v>
          </cell>
          <cell r="L1919">
            <v>296.26602579352999</v>
          </cell>
          <cell r="M1919">
            <v>1454</v>
          </cell>
          <cell r="N1919">
            <v>2.43114578128205E-2</v>
          </cell>
          <cell r="O1919">
            <v>1569</v>
          </cell>
          <cell r="P1919">
            <v>82.85</v>
          </cell>
          <cell r="Q1919">
            <v>41</v>
          </cell>
        </row>
        <row r="1920">
          <cell r="B1920" t="str">
            <v>MIWUK 170193062</v>
          </cell>
          <cell r="C1920">
            <v>163661701</v>
          </cell>
          <cell r="D1920" t="str">
            <v>MIWUK 1701</v>
          </cell>
          <cell r="E1920">
            <v>93062</v>
          </cell>
          <cell r="F1920" t="b">
            <v>0</v>
          </cell>
          <cell r="G1920">
            <v>13326.255928608</v>
          </cell>
          <cell r="H1920">
            <v>13326.255928608</v>
          </cell>
          <cell r="I1920">
            <v>84</v>
          </cell>
          <cell r="J1920">
            <v>5.3764468057237E-5</v>
          </cell>
          <cell r="K1920">
            <v>2946</v>
          </cell>
          <cell r="L1920">
            <v>519.65338028726705</v>
          </cell>
          <cell r="M1920">
            <v>1183</v>
          </cell>
          <cell r="N1920">
            <v>3.4300694412662501E-2</v>
          </cell>
          <cell r="O1920">
            <v>1382</v>
          </cell>
          <cell r="P1920">
            <v>47.16</v>
          </cell>
          <cell r="Q1920">
            <v>137</v>
          </cell>
        </row>
        <row r="1921">
          <cell r="B1921" t="str">
            <v>MIWUK 1701953336</v>
          </cell>
          <cell r="C1921">
            <v>163661701</v>
          </cell>
          <cell r="D1921" t="str">
            <v>MIWUK 1701</v>
          </cell>
          <cell r="E1921">
            <v>953336</v>
          </cell>
          <cell r="F1921" t="b">
            <v>0</v>
          </cell>
          <cell r="G1921">
            <v>19079.613635157701</v>
          </cell>
          <cell r="H1921">
            <v>19079.613635157701</v>
          </cell>
          <cell r="I1921">
            <v>132</v>
          </cell>
          <cell r="J1921">
            <v>9.9440421970277998E-5</v>
          </cell>
          <cell r="K1921">
            <v>1658</v>
          </cell>
          <cell r="L1921">
            <v>31.405707224676298</v>
          </cell>
          <cell r="M1921">
            <v>2336</v>
          </cell>
          <cell r="N1921">
            <v>3.81675019092722E-3</v>
          </cell>
          <cell r="O1921">
            <v>2267</v>
          </cell>
          <cell r="Q1921">
            <v>2724</v>
          </cell>
        </row>
        <row r="1922">
          <cell r="B1922" t="str">
            <v>MIWUK 1701CB</v>
          </cell>
          <cell r="C1922">
            <v>163661701</v>
          </cell>
          <cell r="D1922" t="str">
            <v>MIWUK 1701</v>
          </cell>
          <cell r="E1922" t="str">
            <v>CB</v>
          </cell>
          <cell r="F1922" t="b">
            <v>0</v>
          </cell>
          <cell r="G1922">
            <v>26145.298182643401</v>
          </cell>
          <cell r="H1922">
            <v>26145.298182643401</v>
          </cell>
          <cell r="I1922">
            <v>187</v>
          </cell>
          <cell r="J1922">
            <v>8.1435110018293502E-5</v>
          </cell>
          <cell r="K1922">
            <v>2170</v>
          </cell>
          <cell r="L1922">
            <v>64.141348946871702</v>
          </cell>
          <cell r="M1922">
            <v>2128</v>
          </cell>
          <cell r="N1922">
            <v>2.9900681309674498E-3</v>
          </cell>
          <cell r="O1922">
            <v>2353</v>
          </cell>
          <cell r="P1922">
            <v>197.3</v>
          </cell>
          <cell r="Q1922">
            <v>2</v>
          </cell>
        </row>
        <row r="1923">
          <cell r="B1923" t="str">
            <v>MIWUK 17021808</v>
          </cell>
          <cell r="C1923">
            <v>163661702</v>
          </cell>
          <cell r="D1923" t="str">
            <v>MIWUK 1702</v>
          </cell>
          <cell r="E1923">
            <v>1808</v>
          </cell>
          <cell r="F1923" t="b">
            <v>0</v>
          </cell>
          <cell r="G1923">
            <v>2949.8139390165302</v>
          </cell>
          <cell r="H1923">
            <v>2949.8139390165302</v>
          </cell>
          <cell r="I1923">
            <v>27</v>
          </cell>
          <cell r="J1923">
            <v>9.0273092508949795E-5</v>
          </cell>
          <cell r="K1923">
            <v>1905</v>
          </cell>
          <cell r="L1923">
            <v>7.9904773865983403</v>
          </cell>
          <cell r="M1923">
            <v>2670</v>
          </cell>
          <cell r="N1923">
            <v>9.0928529025285497E-4</v>
          </cell>
          <cell r="O1923">
            <v>2655</v>
          </cell>
          <cell r="P1923">
            <v>46.07</v>
          </cell>
          <cell r="Q1923">
            <v>145</v>
          </cell>
        </row>
        <row r="1924">
          <cell r="B1924" t="str">
            <v>MIWUK 170219772</v>
          </cell>
          <cell r="C1924">
            <v>163661702</v>
          </cell>
          <cell r="D1924" t="str">
            <v>MIWUK 1702</v>
          </cell>
          <cell r="E1924">
            <v>19772</v>
          </cell>
          <cell r="F1924" t="b">
            <v>0</v>
          </cell>
          <cell r="G1924">
            <v>6198.5937904535904</v>
          </cell>
          <cell r="H1924">
            <v>6198.5937904535904</v>
          </cell>
          <cell r="I1924">
            <v>41</v>
          </cell>
          <cell r="J1924">
            <v>7.7179143994637693E-5</v>
          </cell>
          <cell r="K1924">
            <v>2283</v>
          </cell>
          <cell r="L1924">
            <v>525.95614002728905</v>
          </cell>
          <cell r="M1924">
            <v>1177</v>
          </cell>
          <cell r="N1924">
            <v>4.7282573701160402E-2</v>
          </cell>
          <cell r="O1924">
            <v>1207</v>
          </cell>
          <cell r="P1924">
            <v>48.67</v>
          </cell>
          <cell r="Q1924">
            <v>125</v>
          </cell>
        </row>
        <row r="1925">
          <cell r="B1925" t="str">
            <v>MIWUK 170236888</v>
          </cell>
          <cell r="C1925">
            <v>163661702</v>
          </cell>
          <cell r="D1925" t="str">
            <v>MIWUK 1702</v>
          </cell>
          <cell r="E1925">
            <v>36888</v>
          </cell>
          <cell r="F1925" t="b">
            <v>1</v>
          </cell>
          <cell r="G1925">
            <v>977.91209146243398</v>
          </cell>
          <cell r="H1925">
            <v>977.91209146243398</v>
          </cell>
          <cell r="I1925">
            <v>7</v>
          </cell>
          <cell r="J1925">
            <v>1.18038323437628E-4</v>
          </cell>
          <cell r="K1925">
            <v>1228</v>
          </cell>
          <cell r="L1925">
            <v>17.046529697786902</v>
          </cell>
          <cell r="M1925">
            <v>2504</v>
          </cell>
          <cell r="N1925">
            <v>2.37024095787766E-3</v>
          </cell>
          <cell r="O1925">
            <v>2426</v>
          </cell>
          <cell r="P1925">
            <v>28.15</v>
          </cell>
          <cell r="Q1925">
            <v>253</v>
          </cell>
        </row>
        <row r="1926">
          <cell r="B1926" t="str">
            <v>MIWUK 170238218</v>
          </cell>
          <cell r="C1926">
            <v>163661702</v>
          </cell>
          <cell r="D1926" t="str">
            <v>MIWUK 1702</v>
          </cell>
          <cell r="E1926">
            <v>38218</v>
          </cell>
          <cell r="F1926" t="b">
            <v>0</v>
          </cell>
          <cell r="G1926">
            <v>17605.056373927098</v>
          </cell>
          <cell r="H1926">
            <v>17605.056373927098</v>
          </cell>
          <cell r="I1926">
            <v>132</v>
          </cell>
          <cell r="J1926">
            <v>9.9008363714815601E-5</v>
          </cell>
          <cell r="K1926">
            <v>1668</v>
          </cell>
          <cell r="L1926">
            <v>8.17035774575651</v>
          </cell>
          <cell r="M1926">
            <v>2665</v>
          </cell>
          <cell r="N1926">
            <v>7.4696229192908604E-4</v>
          </cell>
          <cell r="O1926">
            <v>2678</v>
          </cell>
          <cell r="P1926">
            <v>94.05</v>
          </cell>
          <cell r="Q1926">
            <v>28</v>
          </cell>
        </row>
        <row r="1927">
          <cell r="B1927" t="str">
            <v>MIWUK 170247143</v>
          </cell>
          <cell r="C1927">
            <v>163661702</v>
          </cell>
          <cell r="D1927" t="str">
            <v>MIWUK 1702</v>
          </cell>
          <cell r="E1927">
            <v>47143</v>
          </cell>
          <cell r="F1927" t="b">
            <v>0</v>
          </cell>
          <cell r="G1927">
            <v>7882.6346189655796</v>
          </cell>
          <cell r="H1927">
            <v>7882.6346189655796</v>
          </cell>
          <cell r="I1927">
            <v>67</v>
          </cell>
          <cell r="J1927">
            <v>1.60519789718439E-4</v>
          </cell>
          <cell r="K1927">
            <v>638</v>
          </cell>
          <cell r="L1927">
            <v>2.9032278358936301</v>
          </cell>
          <cell r="M1927">
            <v>2815</v>
          </cell>
          <cell r="N1927">
            <v>5.2215947351179999E-4</v>
          </cell>
          <cell r="O1927">
            <v>2729</v>
          </cell>
          <cell r="P1927">
            <v>0.63</v>
          </cell>
          <cell r="Q1927">
            <v>837</v>
          </cell>
        </row>
        <row r="1928">
          <cell r="B1928" t="str">
            <v>MIWUK 1702531976</v>
          </cell>
          <cell r="C1928">
            <v>163661702</v>
          </cell>
          <cell r="D1928" t="str">
            <v>MIWUK 1702</v>
          </cell>
          <cell r="E1928">
            <v>531976</v>
          </cell>
          <cell r="F1928" t="b">
            <v>0</v>
          </cell>
          <cell r="G1928">
            <v>2102.4834504528499</v>
          </cell>
          <cell r="H1928">
            <v>2102.4834504528499</v>
          </cell>
          <cell r="I1928">
            <v>17</v>
          </cell>
          <cell r="J1928">
            <v>1.20780267881106E-4</v>
          </cell>
          <cell r="K1928">
            <v>1169</v>
          </cell>
          <cell r="L1928">
            <v>6.6431229729116206E-2</v>
          </cell>
          <cell r="M1928">
            <v>3080</v>
          </cell>
          <cell r="N1928">
            <v>8.0235817223539701E-6</v>
          </cell>
          <cell r="O1928">
            <v>3123</v>
          </cell>
          <cell r="Q1928">
            <v>3322</v>
          </cell>
        </row>
        <row r="1929">
          <cell r="B1929" t="str">
            <v>MIWUK 17028090</v>
          </cell>
          <cell r="C1929">
            <v>163661702</v>
          </cell>
          <cell r="D1929" t="str">
            <v>MIWUK 1702</v>
          </cell>
          <cell r="E1929">
            <v>8090</v>
          </cell>
          <cell r="F1929" t="b">
            <v>0</v>
          </cell>
          <cell r="G1929">
            <v>6501.5337750959397</v>
          </cell>
          <cell r="H1929">
            <v>6501.5337750959397</v>
          </cell>
          <cell r="I1929">
            <v>53</v>
          </cell>
          <cell r="J1929">
            <v>1.01620079356438E-4</v>
          </cell>
          <cell r="K1929">
            <v>1614</v>
          </cell>
          <cell r="L1929">
            <v>1.8605548414484201</v>
          </cell>
          <cell r="M1929">
            <v>2848</v>
          </cell>
          <cell r="N1929">
            <v>2.1162253503444699E-4</v>
          </cell>
          <cell r="O1929">
            <v>2829</v>
          </cell>
          <cell r="P1929">
            <v>58.21</v>
          </cell>
          <cell r="Q1929">
            <v>92</v>
          </cell>
        </row>
        <row r="1930">
          <cell r="B1930" t="str">
            <v>MIWUK 17028130</v>
          </cell>
          <cell r="C1930">
            <v>163661702</v>
          </cell>
          <cell r="D1930" t="str">
            <v>MIWUK 1702</v>
          </cell>
          <cell r="E1930">
            <v>8130</v>
          </cell>
          <cell r="F1930" t="b">
            <v>0</v>
          </cell>
          <cell r="G1930">
            <v>15961.135875529</v>
          </cell>
          <cell r="H1930">
            <v>15961.135875529</v>
          </cell>
          <cell r="I1930">
            <v>123</v>
          </cell>
          <cell r="J1930">
            <v>8.1183882337323795E-5</v>
          </cell>
          <cell r="K1930">
            <v>2179</v>
          </cell>
          <cell r="L1930">
            <v>72.500657745537396</v>
          </cell>
          <cell r="M1930">
            <v>2080</v>
          </cell>
          <cell r="N1930">
            <v>4.7601641234240799E-3</v>
          </cell>
          <cell r="O1930">
            <v>2217</v>
          </cell>
          <cell r="P1930">
            <v>65.59</v>
          </cell>
          <cell r="Q1930">
            <v>76</v>
          </cell>
        </row>
        <row r="1931">
          <cell r="B1931" t="str">
            <v>MIWUK 1702823548</v>
          </cell>
          <cell r="C1931">
            <v>163661702</v>
          </cell>
          <cell r="D1931" t="str">
            <v>MIWUK 1702</v>
          </cell>
          <cell r="E1931">
            <v>823548</v>
          </cell>
          <cell r="F1931" t="b">
            <v>0</v>
          </cell>
          <cell r="G1931">
            <v>31748.539902628301</v>
          </cell>
          <cell r="H1931">
            <v>31748.539902628301</v>
          </cell>
          <cell r="I1931">
            <v>231</v>
          </cell>
          <cell r="J1931">
            <v>6.0776400211828002E-5</v>
          </cell>
          <cell r="K1931">
            <v>2755</v>
          </cell>
          <cell r="L1931">
            <v>41.951815787940802</v>
          </cell>
          <cell r="M1931">
            <v>2266</v>
          </cell>
          <cell r="N1931">
            <v>2.5097893645901698E-3</v>
          </cell>
          <cell r="O1931">
            <v>2411</v>
          </cell>
          <cell r="Q1931">
            <v>2944</v>
          </cell>
        </row>
        <row r="1932">
          <cell r="B1932" t="str">
            <v>MIWUK 17029270</v>
          </cell>
          <cell r="C1932">
            <v>163661702</v>
          </cell>
          <cell r="D1932" t="str">
            <v>MIWUK 1702</v>
          </cell>
          <cell r="E1932">
            <v>9270</v>
          </cell>
          <cell r="F1932" t="b">
            <v>0</v>
          </cell>
          <cell r="G1932">
            <v>9370.6932647172998</v>
          </cell>
          <cell r="H1932">
            <v>9370.6932647172998</v>
          </cell>
          <cell r="I1932">
            <v>68</v>
          </cell>
          <cell r="J1932">
            <v>1.154665398047E-4</v>
          </cell>
          <cell r="K1932">
            <v>1288</v>
          </cell>
          <cell r="L1932">
            <v>6.0072059485698404</v>
          </cell>
          <cell r="M1932">
            <v>2714</v>
          </cell>
          <cell r="N1932">
            <v>4.5602298076232399E-4</v>
          </cell>
          <cell r="O1932">
            <v>2745</v>
          </cell>
          <cell r="P1932">
            <v>40.93</v>
          </cell>
          <cell r="Q1932">
            <v>182</v>
          </cell>
        </row>
        <row r="1933">
          <cell r="B1933" t="str">
            <v>MIWUK 1702CB</v>
          </cell>
          <cell r="C1933">
            <v>163661702</v>
          </cell>
          <cell r="D1933" t="str">
            <v>MIWUK 1702</v>
          </cell>
          <cell r="E1933" t="str">
            <v>CB</v>
          </cell>
          <cell r="F1933" t="b">
            <v>0</v>
          </cell>
          <cell r="G1933">
            <v>14569.4695553202</v>
          </cell>
          <cell r="H1933">
            <v>14569.4695553202</v>
          </cell>
          <cell r="I1933">
            <v>110</v>
          </cell>
          <cell r="J1933">
            <v>1.59140745014456E-4</v>
          </cell>
          <cell r="K1933">
            <v>650</v>
          </cell>
          <cell r="L1933">
            <v>17.572178900270298</v>
          </cell>
          <cell r="M1933">
            <v>2489</v>
          </cell>
          <cell r="N1933">
            <v>2.81608190566733E-3</v>
          </cell>
          <cell r="O1933">
            <v>2369</v>
          </cell>
          <cell r="P1933">
            <v>97.72</v>
          </cell>
          <cell r="Q1933">
            <v>22</v>
          </cell>
        </row>
        <row r="1934">
          <cell r="B1934" t="str">
            <v>MIWUK 1702S1547</v>
          </cell>
          <cell r="C1934">
            <v>163661702</v>
          </cell>
          <cell r="D1934" t="str">
            <v>MIWUK 1702</v>
          </cell>
          <cell r="E1934" t="str">
            <v>S1547</v>
          </cell>
          <cell r="F1934" t="b">
            <v>0</v>
          </cell>
          <cell r="G1934">
            <v>4459.8848280256898</v>
          </cell>
          <cell r="H1934">
            <v>4459.8848280256898</v>
          </cell>
          <cell r="I1934">
            <v>39</v>
          </cell>
          <cell r="J1934">
            <v>5.3113614950024501E-5</v>
          </cell>
          <cell r="K1934">
            <v>2964</v>
          </cell>
          <cell r="L1934">
            <v>14.6954393550528</v>
          </cell>
          <cell r="M1934">
            <v>2536</v>
          </cell>
          <cell r="N1934">
            <v>1.04873838708918E-3</v>
          </cell>
          <cell r="O1934">
            <v>2623</v>
          </cell>
          <cell r="P1934">
            <v>82.41</v>
          </cell>
          <cell r="Q1934">
            <v>44</v>
          </cell>
        </row>
        <row r="1935">
          <cell r="B1935" t="str">
            <v>MIWUK 1702S2247</v>
          </cell>
          <cell r="C1935">
            <v>163661702</v>
          </cell>
          <cell r="D1935" t="str">
            <v>MIWUK 1702</v>
          </cell>
          <cell r="E1935" t="str">
            <v>S2247</v>
          </cell>
          <cell r="F1935" t="b">
            <v>0</v>
          </cell>
          <cell r="G1935">
            <v>2394.0013592718501</v>
          </cell>
          <cell r="H1935">
            <v>2394.0013592718501</v>
          </cell>
          <cell r="I1935">
            <v>21</v>
          </cell>
          <cell r="J1935">
            <v>7.5117585116199001E-5</v>
          </cell>
          <cell r="K1935">
            <v>2331</v>
          </cell>
          <cell r="L1935">
            <v>9.1224842734495599</v>
          </cell>
          <cell r="M1935">
            <v>2641</v>
          </cell>
          <cell r="N1935">
            <v>4.9227907387652998E-4</v>
          </cell>
          <cell r="O1935">
            <v>2737</v>
          </cell>
          <cell r="P1935">
            <v>96.94</v>
          </cell>
          <cell r="Q1935">
            <v>23</v>
          </cell>
        </row>
        <row r="1936">
          <cell r="B1936" t="str">
            <v>MOLINO 1101152</v>
          </cell>
          <cell r="C1936">
            <v>42571101</v>
          </cell>
          <cell r="D1936" t="str">
            <v>MOLINO 1101</v>
          </cell>
          <cell r="E1936">
            <v>152</v>
          </cell>
          <cell r="F1936" t="b">
            <v>0</v>
          </cell>
          <cell r="G1936">
            <v>16493.229782154202</v>
          </cell>
          <cell r="H1936">
            <v>2668.6976984247599</v>
          </cell>
          <cell r="I1936">
            <v>125</v>
          </cell>
          <cell r="J1936">
            <v>1.19600274516532E-4</v>
          </cell>
          <cell r="K1936">
            <v>1193</v>
          </cell>
          <cell r="L1936">
            <v>103.04882576966401</v>
          </cell>
          <cell r="M1936">
            <v>1937</v>
          </cell>
          <cell r="N1936">
            <v>1.5257925251916901E-2</v>
          </cell>
          <cell r="O1936">
            <v>1774</v>
          </cell>
          <cell r="P1936">
            <v>2.09</v>
          </cell>
          <cell r="Q1936">
            <v>621</v>
          </cell>
        </row>
        <row r="1937">
          <cell r="B1937" t="str">
            <v>MOLINO 1101322</v>
          </cell>
          <cell r="C1937">
            <v>42571101</v>
          </cell>
          <cell r="D1937" t="str">
            <v>MOLINO 1101</v>
          </cell>
          <cell r="E1937">
            <v>322</v>
          </cell>
          <cell r="F1937" t="b">
            <v>0</v>
          </cell>
          <cell r="G1937">
            <v>23201.981262092198</v>
          </cell>
          <cell r="H1937">
            <v>22860.764564305198</v>
          </cell>
          <cell r="I1937">
            <v>167</v>
          </cell>
          <cell r="J1937">
            <v>1.3801866942252599E-4</v>
          </cell>
          <cell r="K1937">
            <v>893</v>
          </cell>
          <cell r="L1937">
            <v>458.14247865185303</v>
          </cell>
          <cell r="M1937">
            <v>1238</v>
          </cell>
          <cell r="N1937">
            <v>5.2976050206952903E-2</v>
          </cell>
          <cell r="O1937">
            <v>1146</v>
          </cell>
          <cell r="P1937">
            <v>35.69</v>
          </cell>
          <cell r="Q1937">
            <v>212</v>
          </cell>
        </row>
        <row r="1938">
          <cell r="B1938" t="str">
            <v>MOLINO 1101338</v>
          </cell>
          <cell r="C1938">
            <v>42571101</v>
          </cell>
          <cell r="D1938" t="str">
            <v>MOLINO 1101</v>
          </cell>
          <cell r="E1938">
            <v>338</v>
          </cell>
          <cell r="F1938" t="b">
            <v>0</v>
          </cell>
          <cell r="G1938">
            <v>23338.410728336399</v>
          </cell>
          <cell r="H1938">
            <v>12496.882949791499</v>
          </cell>
          <cell r="I1938">
            <v>176</v>
          </cell>
          <cell r="J1938">
            <v>1.01951464894227E-4</v>
          </cell>
          <cell r="K1938">
            <v>1604</v>
          </cell>
          <cell r="L1938">
            <v>593.38451856065205</v>
          </cell>
          <cell r="M1938">
            <v>1110</v>
          </cell>
          <cell r="N1938">
            <v>5.7909931176547497E-2</v>
          </cell>
          <cell r="O1938">
            <v>1079</v>
          </cell>
          <cell r="P1938">
            <v>7.05</v>
          </cell>
          <cell r="Q1938">
            <v>454</v>
          </cell>
        </row>
        <row r="1939">
          <cell r="B1939" t="str">
            <v>MOLINO 1101472660</v>
          </cell>
          <cell r="C1939">
            <v>42571101</v>
          </cell>
          <cell r="D1939" t="str">
            <v>MOLINO 1101</v>
          </cell>
          <cell r="E1939">
            <v>472660</v>
          </cell>
          <cell r="F1939" t="b">
            <v>0</v>
          </cell>
          <cell r="G1939">
            <v>2333.6936893674801</v>
          </cell>
          <cell r="H1939">
            <v>2333.6936893674801</v>
          </cell>
          <cell r="I1939">
            <v>18</v>
          </cell>
          <cell r="J1939">
            <v>1.1188647173791299E-4</v>
          </cell>
          <cell r="K1939">
            <v>1371</v>
          </cell>
          <cell r="L1939">
            <v>307.89949030979301</v>
          </cell>
          <cell r="M1939">
            <v>1436</v>
          </cell>
          <cell r="N1939">
            <v>2.4225552475262001E-2</v>
          </cell>
          <cell r="O1939">
            <v>1573</v>
          </cell>
          <cell r="Q1939">
            <v>3221</v>
          </cell>
        </row>
        <row r="1940">
          <cell r="B1940" t="str">
            <v>MOLINO 11015042</v>
          </cell>
          <cell r="C1940">
            <v>42571101</v>
          </cell>
          <cell r="D1940" t="str">
            <v>MOLINO 1101</v>
          </cell>
          <cell r="E1940">
            <v>5042</v>
          </cell>
          <cell r="F1940" t="b">
            <v>0</v>
          </cell>
          <cell r="G1940">
            <v>11222.6237120937</v>
          </cell>
          <cell r="H1940">
            <v>9737.3632988090994</v>
          </cell>
          <cell r="I1940">
            <v>90</v>
          </cell>
          <cell r="J1940">
            <v>1.2420447257884199E-4</v>
          </cell>
          <cell r="K1940">
            <v>1114</v>
          </cell>
          <cell r="L1940">
            <v>141.91933987008301</v>
          </cell>
          <cell r="M1940">
            <v>1803</v>
          </cell>
          <cell r="N1940">
            <v>1.7429746669766499E-2</v>
          </cell>
          <cell r="O1940">
            <v>1726</v>
          </cell>
          <cell r="P1940">
            <v>6.17</v>
          </cell>
          <cell r="Q1940">
            <v>471</v>
          </cell>
        </row>
        <row r="1941">
          <cell r="B1941" t="str">
            <v>MOLINO 1101600112</v>
          </cell>
          <cell r="C1941">
            <v>42571101</v>
          </cell>
          <cell r="D1941" t="str">
            <v>MOLINO 1101</v>
          </cell>
          <cell r="E1941">
            <v>600112</v>
          </cell>
          <cell r="F1941" t="b">
            <v>0</v>
          </cell>
          <cell r="G1941">
            <v>2016.20562478889</v>
          </cell>
          <cell r="H1941">
            <v>1283.9759044221601</v>
          </cell>
          <cell r="I1941">
            <v>18</v>
          </cell>
          <cell r="J1941">
            <v>1.65693645006588E-4</v>
          </cell>
          <cell r="K1941">
            <v>586</v>
          </cell>
          <cell r="L1941">
            <v>185.27977262986099</v>
          </cell>
          <cell r="M1941">
            <v>1671</v>
          </cell>
          <cell r="N1941">
            <v>4.5774019183877197E-2</v>
          </cell>
          <cell r="O1941">
            <v>1226</v>
          </cell>
          <cell r="Q1941">
            <v>3379</v>
          </cell>
        </row>
        <row r="1942">
          <cell r="B1942" t="str">
            <v>MOLINO 1101891</v>
          </cell>
          <cell r="C1942">
            <v>42571101</v>
          </cell>
          <cell r="D1942" t="str">
            <v>MOLINO 1101</v>
          </cell>
          <cell r="E1942">
            <v>891</v>
          </cell>
          <cell r="F1942" t="b">
            <v>0</v>
          </cell>
          <cell r="G1942">
            <v>5070.4899216803897</v>
          </cell>
          <cell r="H1942">
            <v>5070.4899216803897</v>
          </cell>
          <cell r="I1942">
            <v>41</v>
          </cell>
          <cell r="J1942">
            <v>1.24617175615418E-4</v>
          </cell>
          <cell r="K1942">
            <v>1104</v>
          </cell>
          <cell r="L1942">
            <v>268.56039882254601</v>
          </cell>
          <cell r="M1942">
            <v>1501</v>
          </cell>
          <cell r="N1942">
            <v>3.9389643757904297E-2</v>
          </cell>
          <cell r="O1942">
            <v>1312</v>
          </cell>
          <cell r="P1942">
            <v>2.7</v>
          </cell>
          <cell r="Q1942">
            <v>588</v>
          </cell>
        </row>
        <row r="1943">
          <cell r="B1943" t="str">
            <v>MOLINO 1102104</v>
          </cell>
          <cell r="C1943">
            <v>42571102</v>
          </cell>
          <cell r="D1943" t="str">
            <v>MOLINO 1102</v>
          </cell>
          <cell r="E1943">
            <v>104</v>
          </cell>
          <cell r="F1943" t="b">
            <v>0</v>
          </cell>
          <cell r="G1943">
            <v>34991.649994747502</v>
          </cell>
          <cell r="H1943">
            <v>34991.649994747502</v>
          </cell>
          <cell r="I1943">
            <v>235</v>
          </cell>
          <cell r="J1943">
            <v>1.4639382299061701E-4</v>
          </cell>
          <cell r="K1943">
            <v>782</v>
          </cell>
          <cell r="L1943">
            <v>473.32976953075899</v>
          </cell>
          <cell r="M1943">
            <v>1220</v>
          </cell>
          <cell r="N1943">
            <v>8.4331755953792706E-2</v>
          </cell>
          <cell r="O1943">
            <v>868</v>
          </cell>
          <cell r="P1943">
            <v>67.59</v>
          </cell>
          <cell r="Q1943">
            <v>72</v>
          </cell>
        </row>
        <row r="1944">
          <cell r="B1944" t="str">
            <v>MOLINO 1102111666</v>
          </cell>
          <cell r="C1944">
            <v>42571102</v>
          </cell>
          <cell r="D1944" t="str">
            <v>MOLINO 1102</v>
          </cell>
          <cell r="E1944">
            <v>111666</v>
          </cell>
          <cell r="F1944" t="b">
            <v>1</v>
          </cell>
          <cell r="G1944">
            <v>1605.55481819037</v>
          </cell>
          <cell r="H1944">
            <v>182.602261450789</v>
          </cell>
          <cell r="I1944">
            <v>13</v>
          </cell>
          <cell r="J1944">
            <v>1.05844058942658E-4</v>
          </cell>
          <cell r="K1944">
            <v>1499</v>
          </cell>
          <cell r="L1944">
            <v>6.5249665112753E-2</v>
          </cell>
          <cell r="M1944">
            <v>3479</v>
          </cell>
          <cell r="N1944">
            <v>6.9213543639152903E-6</v>
          </cell>
          <cell r="O1944">
            <v>3169</v>
          </cell>
          <cell r="Q1944">
            <v>2676</v>
          </cell>
        </row>
        <row r="1945">
          <cell r="B1945" t="str">
            <v>MOLINO 1102178</v>
          </cell>
          <cell r="C1945">
            <v>42571102</v>
          </cell>
          <cell r="D1945" t="str">
            <v>MOLINO 1102</v>
          </cell>
          <cell r="E1945">
            <v>178</v>
          </cell>
          <cell r="F1945" t="b">
            <v>0</v>
          </cell>
          <cell r="G1945">
            <v>21896.762977783001</v>
          </cell>
          <cell r="H1945">
            <v>19626.440967765</v>
          </cell>
          <cell r="I1945">
            <v>182</v>
          </cell>
          <cell r="J1945">
            <v>1.4980483681747501E-4</v>
          </cell>
          <cell r="K1945">
            <v>741</v>
          </cell>
          <cell r="L1945">
            <v>376.37719410308199</v>
          </cell>
          <cell r="M1945">
            <v>1328</v>
          </cell>
          <cell r="N1945">
            <v>4.72272450376661E-2</v>
          </cell>
          <cell r="O1945">
            <v>1208</v>
          </cell>
          <cell r="P1945">
            <v>24.56</v>
          </cell>
          <cell r="Q1945">
            <v>276</v>
          </cell>
        </row>
        <row r="1946">
          <cell r="B1946" t="str">
            <v>MOLINO 1102189602</v>
          </cell>
          <cell r="C1946">
            <v>42571102</v>
          </cell>
          <cell r="D1946" t="str">
            <v>MOLINO 1102</v>
          </cell>
          <cell r="E1946">
            <v>189602</v>
          </cell>
          <cell r="F1946" t="b">
            <v>0</v>
          </cell>
          <cell r="G1946">
            <v>1011.22081482046</v>
          </cell>
          <cell r="H1946">
            <v>1011.22081482046</v>
          </cell>
          <cell r="I1946">
            <v>9</v>
          </cell>
          <cell r="J1946">
            <v>1.0514139204234201E-4</v>
          </cell>
          <cell r="K1946">
            <v>1518</v>
          </cell>
          <cell r="L1946">
            <v>134.76186556975301</v>
          </cell>
          <cell r="M1946">
            <v>1833</v>
          </cell>
          <cell r="N1946">
            <v>1.09018573038347E-2</v>
          </cell>
          <cell r="O1946">
            <v>1923</v>
          </cell>
          <cell r="Q1946">
            <v>3183</v>
          </cell>
        </row>
        <row r="1947">
          <cell r="B1947" t="str">
            <v>MOLINO 1102318</v>
          </cell>
          <cell r="C1947">
            <v>42571102</v>
          </cell>
          <cell r="D1947" t="str">
            <v>MOLINO 1102</v>
          </cell>
          <cell r="E1947">
            <v>318</v>
          </cell>
          <cell r="F1947" t="b">
            <v>0</v>
          </cell>
          <cell r="G1947">
            <v>31114.0365262017</v>
          </cell>
          <cell r="H1947">
            <v>31114.0365262017</v>
          </cell>
          <cell r="I1947">
            <v>228</v>
          </cell>
          <cell r="J1947">
            <v>1.16686132442785E-4</v>
          </cell>
          <cell r="K1947">
            <v>1256</v>
          </cell>
          <cell r="L1947">
            <v>178.67421266067501</v>
          </cell>
          <cell r="M1947">
            <v>1688</v>
          </cell>
          <cell r="N1947">
            <v>2.00970338842427E-2</v>
          </cell>
          <cell r="O1947">
            <v>1669</v>
          </cell>
          <cell r="P1947">
            <v>88.23</v>
          </cell>
          <cell r="Q1947">
            <v>35</v>
          </cell>
        </row>
        <row r="1948">
          <cell r="B1948" t="str">
            <v>MOLINO 1102344</v>
          </cell>
          <cell r="C1948">
            <v>42571102</v>
          </cell>
          <cell r="D1948" t="str">
            <v>MOLINO 1102</v>
          </cell>
          <cell r="E1948">
            <v>344</v>
          </cell>
          <cell r="F1948" t="b">
            <v>0</v>
          </cell>
          <cell r="G1948">
            <v>9676.0468723208596</v>
          </cell>
          <cell r="H1948">
            <v>2427.24525466248</v>
          </cell>
          <cell r="I1948">
            <v>77</v>
          </cell>
          <cell r="J1948">
            <v>1.04030222541655E-4</v>
          </cell>
          <cell r="K1948">
            <v>1551</v>
          </cell>
          <cell r="L1948">
            <v>64.320325802813798</v>
          </cell>
          <cell r="M1948">
            <v>2126</v>
          </cell>
          <cell r="N1948">
            <v>6.6172148294159202E-3</v>
          </cell>
          <cell r="O1948">
            <v>2115</v>
          </cell>
          <cell r="P1948">
            <v>1.32</v>
          </cell>
          <cell r="Q1948">
            <v>687</v>
          </cell>
        </row>
        <row r="1949">
          <cell r="B1949" t="str">
            <v>MOLINO 1102396</v>
          </cell>
          <cell r="C1949">
            <v>42571102</v>
          </cell>
          <cell r="D1949" t="str">
            <v>MOLINO 1102</v>
          </cell>
          <cell r="E1949">
            <v>396</v>
          </cell>
          <cell r="F1949" t="b">
            <v>0</v>
          </cell>
          <cell r="G1949">
            <v>25908.189529416901</v>
          </cell>
          <cell r="H1949">
            <v>25908.189529416901</v>
          </cell>
          <cell r="I1949">
            <v>182</v>
          </cell>
          <cell r="J1949">
            <v>1.38619605982407E-4</v>
          </cell>
          <cell r="K1949">
            <v>887</v>
          </cell>
          <cell r="L1949">
            <v>571.55325673240395</v>
          </cell>
          <cell r="M1949">
            <v>1129</v>
          </cell>
          <cell r="N1949">
            <v>9.3950568270501897E-2</v>
          </cell>
          <cell r="O1949">
            <v>802</v>
          </cell>
          <cell r="P1949">
            <v>46.49</v>
          </cell>
          <cell r="Q1949">
            <v>141</v>
          </cell>
        </row>
        <row r="1950">
          <cell r="B1950" t="str">
            <v>MOLINO 110241392</v>
          </cell>
          <cell r="C1950">
            <v>42571102</v>
          </cell>
          <cell r="D1950" t="str">
            <v>MOLINO 1102</v>
          </cell>
          <cell r="E1950">
            <v>41392</v>
          </cell>
          <cell r="F1950" t="b">
            <v>0</v>
          </cell>
          <cell r="G1950">
            <v>23588.4350344331</v>
          </cell>
          <cell r="H1950">
            <v>7062.7077113742198</v>
          </cell>
          <cell r="I1950">
            <v>171</v>
          </cell>
          <cell r="J1950">
            <v>1.1368243017200501E-4</v>
          </cell>
          <cell r="K1950">
            <v>1327</v>
          </cell>
          <cell r="L1950">
            <v>289.74068118619402</v>
          </cell>
          <cell r="M1950">
            <v>1465</v>
          </cell>
          <cell r="N1950">
            <v>2.9695771675430398E-2</v>
          </cell>
          <cell r="O1950">
            <v>1468</v>
          </cell>
          <cell r="P1950">
            <v>3.21</v>
          </cell>
          <cell r="Q1950">
            <v>554</v>
          </cell>
        </row>
        <row r="1951">
          <cell r="B1951" t="str">
            <v>MOLINO 110251788</v>
          </cell>
          <cell r="C1951">
            <v>42571102</v>
          </cell>
          <cell r="D1951" t="str">
            <v>MOLINO 1102</v>
          </cell>
          <cell r="E1951">
            <v>51788</v>
          </cell>
          <cell r="F1951" t="b">
            <v>0</v>
          </cell>
          <cell r="G1951">
            <v>20901.694533651</v>
          </cell>
          <cell r="H1951">
            <v>8188.5747586265497</v>
          </cell>
          <cell r="I1951">
            <v>153</v>
          </cell>
          <cell r="J1951">
            <v>1.2561378560492701E-4</v>
          </cell>
          <cell r="K1951">
            <v>1087</v>
          </cell>
          <cell r="L1951">
            <v>89.163859192020098</v>
          </cell>
          <cell r="M1951">
            <v>2005</v>
          </cell>
          <cell r="N1951">
            <v>1.1264302139873599E-2</v>
          </cell>
          <cell r="O1951">
            <v>1911</v>
          </cell>
          <cell r="P1951">
            <v>0.7</v>
          </cell>
          <cell r="Q1951">
            <v>807</v>
          </cell>
        </row>
        <row r="1952">
          <cell r="B1952" t="str">
            <v>MOLINO 1102658</v>
          </cell>
          <cell r="C1952">
            <v>42571102</v>
          </cell>
          <cell r="D1952" t="str">
            <v>MOLINO 1102</v>
          </cell>
          <cell r="E1952">
            <v>658</v>
          </cell>
          <cell r="F1952" t="b">
            <v>0</v>
          </cell>
          <cell r="G1952">
            <v>17510.519957617002</v>
          </cell>
          <cell r="H1952">
            <v>17510.519957617002</v>
          </cell>
          <cell r="I1952">
            <v>107</v>
          </cell>
          <cell r="J1952">
            <v>1.43545810103298E-4</v>
          </cell>
          <cell r="K1952">
            <v>818</v>
          </cell>
          <cell r="L1952">
            <v>343.94346613491098</v>
          </cell>
          <cell r="M1952">
            <v>1381</v>
          </cell>
          <cell r="N1952">
            <v>4.5341296900423801E-2</v>
          </cell>
          <cell r="O1952">
            <v>1229</v>
          </cell>
          <cell r="P1952">
            <v>50.23</v>
          </cell>
          <cell r="Q1952">
            <v>119</v>
          </cell>
        </row>
        <row r="1953">
          <cell r="B1953" t="str">
            <v>MOLINO 110266006</v>
          </cell>
          <cell r="C1953">
            <v>42571102</v>
          </cell>
          <cell r="D1953" t="str">
            <v>MOLINO 1102</v>
          </cell>
          <cell r="E1953">
            <v>66006</v>
          </cell>
          <cell r="F1953" t="b">
            <v>0</v>
          </cell>
          <cell r="G1953">
            <v>14550.705563426</v>
          </cell>
          <cell r="H1953">
            <v>14550.705563426</v>
          </cell>
          <cell r="I1953">
            <v>98</v>
          </cell>
          <cell r="J1953">
            <v>1.6118746093197E-4</v>
          </cell>
          <cell r="K1953">
            <v>629</v>
          </cell>
          <cell r="L1953">
            <v>1078.23989428799</v>
          </cell>
          <cell r="M1953">
            <v>782</v>
          </cell>
          <cell r="N1953">
            <v>0.14746810251779</v>
          </cell>
          <cell r="O1953">
            <v>534</v>
          </cell>
          <cell r="P1953">
            <v>51.49</v>
          </cell>
          <cell r="Q1953">
            <v>116</v>
          </cell>
        </row>
        <row r="1954">
          <cell r="B1954" t="str">
            <v>MOLINO 11026917</v>
          </cell>
          <cell r="C1954">
            <v>42571102</v>
          </cell>
          <cell r="D1954" t="str">
            <v>MOLINO 1102</v>
          </cell>
          <cell r="E1954">
            <v>6917</v>
          </cell>
          <cell r="F1954" t="b">
            <v>0</v>
          </cell>
          <cell r="G1954">
            <v>11229.1016576438</v>
          </cell>
          <cell r="H1954">
            <v>11229.1016576438</v>
          </cell>
          <cell r="I1954">
            <v>58</v>
          </cell>
          <cell r="J1954">
            <v>1.1704993059018799E-4</v>
          </cell>
          <cell r="K1954">
            <v>1246</v>
          </cell>
          <cell r="L1954">
            <v>334.96737483608399</v>
          </cell>
          <cell r="M1954">
            <v>1393</v>
          </cell>
          <cell r="N1954">
            <v>3.19405688314644E-2</v>
          </cell>
          <cell r="O1954">
            <v>1430</v>
          </cell>
          <cell r="P1954">
            <v>28.69</v>
          </cell>
          <cell r="Q1954">
            <v>248</v>
          </cell>
        </row>
        <row r="1955">
          <cell r="B1955" t="str">
            <v>MOLINO 110279306</v>
          </cell>
          <cell r="C1955">
            <v>42571102</v>
          </cell>
          <cell r="D1955" t="str">
            <v>MOLINO 1102</v>
          </cell>
          <cell r="E1955">
            <v>79306</v>
          </cell>
          <cell r="F1955" t="b">
            <v>0</v>
          </cell>
          <cell r="G1955">
            <v>13157.010827418801</v>
          </cell>
          <cell r="H1955">
            <v>6087.9659218537699</v>
          </cell>
          <cell r="I1955">
            <v>73</v>
          </cell>
          <cell r="J1955">
            <v>1.1172514168471E-4</v>
          </cell>
          <cell r="K1955">
            <v>1374</v>
          </cell>
          <cell r="L1955">
            <v>1345.2862547664699</v>
          </cell>
          <cell r="M1955">
            <v>664</v>
          </cell>
          <cell r="N1955">
            <v>0.155507495875091</v>
          </cell>
          <cell r="O1955">
            <v>489</v>
          </cell>
          <cell r="P1955">
            <v>5.6</v>
          </cell>
          <cell r="Q1955">
            <v>482</v>
          </cell>
        </row>
        <row r="1956">
          <cell r="B1956" t="str">
            <v>MOLINO 1102982462</v>
          </cell>
          <cell r="C1956">
            <v>42571102</v>
          </cell>
          <cell r="D1956" t="str">
            <v>MOLINO 1102</v>
          </cell>
          <cell r="E1956">
            <v>982462</v>
          </cell>
          <cell r="F1956" t="b">
            <v>0</v>
          </cell>
          <cell r="G1956">
            <v>2320.5593148511698</v>
          </cell>
          <cell r="H1956">
            <v>2320.5593148511698</v>
          </cell>
          <cell r="I1956">
            <v>18</v>
          </cell>
          <cell r="J1956">
            <v>9.6289953237121303E-5</v>
          </cell>
          <cell r="K1956">
            <v>1726</v>
          </cell>
          <cell r="L1956">
            <v>75.337861824575398</v>
          </cell>
          <cell r="M1956">
            <v>2065</v>
          </cell>
          <cell r="N1956">
            <v>6.4269514196489599E-3</v>
          </cell>
          <cell r="O1956">
            <v>2133</v>
          </cell>
          <cell r="Q1956">
            <v>3100</v>
          </cell>
        </row>
        <row r="1957">
          <cell r="B1957" t="str">
            <v>MOLINO 1104368158</v>
          </cell>
          <cell r="C1957">
            <v>42571104</v>
          </cell>
          <cell r="D1957" t="str">
            <v>MOLINO 1104</v>
          </cell>
          <cell r="E1957">
            <v>368158</v>
          </cell>
          <cell r="F1957" t="b">
            <v>0</v>
          </cell>
          <cell r="G1957">
            <v>14121.5306774169</v>
          </cell>
          <cell r="H1957">
            <v>4484.8757935759904</v>
          </cell>
          <cell r="I1957">
            <v>105</v>
          </cell>
          <cell r="J1957">
            <v>1.00101973526551E-4</v>
          </cell>
          <cell r="K1957">
            <v>1644</v>
          </cell>
          <cell r="L1957">
            <v>219.11436776219</v>
          </cell>
          <cell r="M1957">
            <v>1607</v>
          </cell>
          <cell r="N1957">
            <v>1.98616599304118E-2</v>
          </cell>
          <cell r="O1957">
            <v>1673</v>
          </cell>
          <cell r="Q1957">
            <v>2756</v>
          </cell>
        </row>
        <row r="1958">
          <cell r="B1958" t="str">
            <v>MONROE 2103848530</v>
          </cell>
          <cell r="C1958">
            <v>43302103</v>
          </cell>
          <cell r="D1958" t="str">
            <v>MONROE 2103</v>
          </cell>
          <cell r="E1958">
            <v>848530</v>
          </cell>
          <cell r="F1958" t="b">
            <v>1</v>
          </cell>
          <cell r="G1958">
            <v>2567.2359441398298</v>
          </cell>
          <cell r="H1958">
            <v>715.37060884592302</v>
          </cell>
          <cell r="I1958">
            <v>17</v>
          </cell>
          <cell r="J1958">
            <v>9.0059025858542602E-5</v>
          </cell>
          <cell r="K1958">
            <v>1909</v>
          </cell>
          <cell r="L1958">
            <v>263.70593163872701</v>
          </cell>
          <cell r="M1958">
            <v>1513</v>
          </cell>
          <cell r="N1958">
            <v>2.1848858109854701E-2</v>
          </cell>
          <cell r="O1958">
            <v>1632</v>
          </cell>
          <cell r="Q1958">
            <v>3381</v>
          </cell>
        </row>
        <row r="1959">
          <cell r="B1959" t="str">
            <v>MONROE 210392868</v>
          </cell>
          <cell r="C1959">
            <v>43302103</v>
          </cell>
          <cell r="D1959" t="str">
            <v>MONROE 2103</v>
          </cell>
          <cell r="E1959">
            <v>92868</v>
          </cell>
          <cell r="F1959" t="b">
            <v>1</v>
          </cell>
          <cell r="G1959">
            <v>1050.35160720984</v>
          </cell>
          <cell r="H1959">
            <v>203.53627099801099</v>
          </cell>
          <cell r="I1959">
            <v>14</v>
          </cell>
          <cell r="J1959">
            <v>1.74492223147983E-4</v>
          </cell>
          <cell r="K1959">
            <v>531</v>
          </cell>
          <cell r="L1959">
            <v>6.5522288819975003E-2</v>
          </cell>
          <cell r="M1959">
            <v>3360</v>
          </cell>
          <cell r="N1959">
            <v>1.14428660958536E-5</v>
          </cell>
          <cell r="O1959">
            <v>3041</v>
          </cell>
          <cell r="P1959">
            <v>0.39</v>
          </cell>
          <cell r="Q1959">
            <v>955</v>
          </cell>
        </row>
        <row r="1960">
          <cell r="B1960" t="str">
            <v>MONROE 2107380760</v>
          </cell>
          <cell r="C1960">
            <v>43302107</v>
          </cell>
          <cell r="D1960" t="str">
            <v>MONROE 2107</v>
          </cell>
          <cell r="E1960">
            <v>380760</v>
          </cell>
          <cell r="F1960" t="b">
            <v>0</v>
          </cell>
          <cell r="G1960">
            <v>1136.5362442125199</v>
          </cell>
          <cell r="H1960">
            <v>1053.0261659417099</v>
          </cell>
          <cell r="I1960">
            <v>12</v>
          </cell>
          <cell r="J1960">
            <v>1.08119494226147E-4</v>
          </cell>
          <cell r="K1960">
            <v>1448</v>
          </cell>
          <cell r="L1960">
            <v>6.6113105204440095E-2</v>
          </cell>
          <cell r="M1960">
            <v>3186</v>
          </cell>
          <cell r="N1960">
            <v>7.1451197843640897E-6</v>
          </cell>
          <cell r="O1960">
            <v>3159</v>
          </cell>
          <cell r="Q1960">
            <v>3461</v>
          </cell>
        </row>
        <row r="1961">
          <cell r="B1961" t="str">
            <v>MONTE RIO 1111140</v>
          </cell>
          <cell r="C1961">
            <v>42811111</v>
          </cell>
          <cell r="D1961" t="str">
            <v>MONTE RIO 1111</v>
          </cell>
          <cell r="E1961">
            <v>140</v>
          </cell>
          <cell r="F1961" t="b">
            <v>0</v>
          </cell>
          <cell r="G1961">
            <v>13525.9250224016</v>
          </cell>
          <cell r="H1961">
            <v>13525.9250224016</v>
          </cell>
          <cell r="I1961">
            <v>96</v>
          </cell>
          <cell r="J1961">
            <v>2.5620028905092398E-4</v>
          </cell>
          <cell r="K1961">
            <v>201</v>
          </cell>
          <cell r="L1961">
            <v>19.147636709079499</v>
          </cell>
          <cell r="M1961">
            <v>2459</v>
          </cell>
          <cell r="N1961">
            <v>7.0376331594401501E-3</v>
          </cell>
          <cell r="O1961">
            <v>2090</v>
          </cell>
          <cell r="P1961">
            <v>16.37</v>
          </cell>
          <cell r="Q1961">
            <v>338</v>
          </cell>
        </row>
        <row r="1962">
          <cell r="B1962" t="str">
            <v>MONTE RIO 11111701</v>
          </cell>
          <cell r="C1962">
            <v>42811111</v>
          </cell>
          <cell r="D1962" t="str">
            <v>MONTE RIO 1111</v>
          </cell>
          <cell r="E1962">
            <v>1701</v>
          </cell>
          <cell r="F1962" t="b">
            <v>0</v>
          </cell>
          <cell r="G1962">
            <v>2248.9875596696202</v>
          </cell>
          <cell r="H1962">
            <v>2248.9875596696202</v>
          </cell>
          <cell r="I1962">
            <v>18</v>
          </cell>
          <cell r="J1962">
            <v>9.9080003565177294E-5</v>
          </cell>
          <cell r="K1962">
            <v>1666</v>
          </cell>
          <cell r="L1962">
            <v>2.70967666779136</v>
          </cell>
          <cell r="M1962">
            <v>2819</v>
          </cell>
          <cell r="N1962">
            <v>2.355589432975E-4</v>
          </cell>
          <cell r="O1962">
            <v>2818</v>
          </cell>
          <cell r="P1962">
            <v>29.59</v>
          </cell>
          <cell r="Q1962">
            <v>240</v>
          </cell>
        </row>
        <row r="1963">
          <cell r="B1963" t="str">
            <v>MONTE RIO 11111703</v>
          </cell>
          <cell r="C1963">
            <v>42811111</v>
          </cell>
          <cell r="D1963" t="str">
            <v>MONTE RIO 1111</v>
          </cell>
          <cell r="E1963">
            <v>1703</v>
          </cell>
          <cell r="F1963" t="b">
            <v>0</v>
          </cell>
          <cell r="G1963">
            <v>2213.99464872106</v>
          </cell>
          <cell r="H1963">
            <v>2213.99464872106</v>
          </cell>
          <cell r="I1963">
            <v>16</v>
          </cell>
          <cell r="J1963">
            <v>1.30160643720955E-4</v>
          </cell>
          <cell r="K1963">
            <v>1008</v>
          </cell>
          <cell r="L1963">
            <v>6.0137348500314003</v>
          </cell>
          <cell r="M1963">
            <v>2712</v>
          </cell>
          <cell r="N1963">
            <v>9.5446035070031598E-4</v>
          </cell>
          <cell r="O1963">
            <v>2647</v>
          </cell>
          <cell r="P1963">
            <v>43.57</v>
          </cell>
          <cell r="Q1963">
            <v>165</v>
          </cell>
        </row>
        <row r="1964">
          <cell r="B1964" t="str">
            <v>MONTE RIO 1111240</v>
          </cell>
          <cell r="C1964">
            <v>42811111</v>
          </cell>
          <cell r="D1964" t="str">
            <v>MONTE RIO 1111</v>
          </cell>
          <cell r="E1964">
            <v>240</v>
          </cell>
          <cell r="F1964" t="b">
            <v>0</v>
          </cell>
          <cell r="G1964">
            <v>4953.3762481641697</v>
          </cell>
          <cell r="H1964">
            <v>4953.3762481641697</v>
          </cell>
          <cell r="I1964">
            <v>42</v>
          </cell>
          <cell r="J1964">
            <v>2.00710530450686E-4</v>
          </cell>
          <cell r="K1964">
            <v>393</v>
          </cell>
          <cell r="L1964">
            <v>8.5625791088829502</v>
          </cell>
          <cell r="M1964">
            <v>2653</v>
          </cell>
          <cell r="N1964">
            <v>1.1133767431546499E-3</v>
          </cell>
          <cell r="O1964">
            <v>2614</v>
          </cell>
          <cell r="P1964">
            <v>27.15</v>
          </cell>
          <cell r="Q1964">
            <v>261</v>
          </cell>
        </row>
        <row r="1965">
          <cell r="B1965" t="str">
            <v>MONTE RIO 1111256</v>
          </cell>
          <cell r="C1965">
            <v>42811111</v>
          </cell>
          <cell r="D1965" t="str">
            <v>MONTE RIO 1111</v>
          </cell>
          <cell r="E1965">
            <v>256</v>
          </cell>
          <cell r="F1965" t="b">
            <v>0</v>
          </cell>
          <cell r="G1965">
            <v>2415.6318726556801</v>
          </cell>
          <cell r="H1965">
            <v>2415.6318726556801</v>
          </cell>
          <cell r="I1965">
            <v>17</v>
          </cell>
          <cell r="J1965">
            <v>2.3970531872370899E-4</v>
          </cell>
          <cell r="K1965">
            <v>247</v>
          </cell>
          <cell r="L1965">
            <v>1.46460977299174</v>
          </cell>
          <cell r="M1965">
            <v>2867</v>
          </cell>
          <cell r="N1965">
            <v>6.3627369685565003E-4</v>
          </cell>
          <cell r="O1965">
            <v>2699</v>
          </cell>
          <cell r="P1965">
            <v>24.25</v>
          </cell>
          <cell r="Q1965">
            <v>279</v>
          </cell>
        </row>
        <row r="1966">
          <cell r="B1966" t="str">
            <v>MONTE RIO 1111292</v>
          </cell>
          <cell r="C1966">
            <v>42811111</v>
          </cell>
          <cell r="D1966" t="str">
            <v>MONTE RIO 1111</v>
          </cell>
          <cell r="E1966">
            <v>292</v>
          </cell>
          <cell r="F1966" t="b">
            <v>0</v>
          </cell>
          <cell r="G1966">
            <v>31568.673870813898</v>
          </cell>
          <cell r="H1966">
            <v>25055.046538333099</v>
          </cell>
          <cell r="I1966">
            <v>165</v>
          </cell>
          <cell r="J1966">
            <v>1.1528283063438E-4</v>
          </cell>
          <cell r="K1966">
            <v>1294</v>
          </cell>
          <cell r="L1966">
            <v>534.96664509596098</v>
          </cell>
          <cell r="M1966">
            <v>1165</v>
          </cell>
          <cell r="N1966">
            <v>4.8056688122647198E-2</v>
          </cell>
          <cell r="O1966">
            <v>1195</v>
          </cell>
          <cell r="P1966">
            <v>0.1</v>
          </cell>
          <cell r="Q1966">
            <v>1486</v>
          </cell>
        </row>
        <row r="1967">
          <cell r="B1967" t="str">
            <v>MONTE RIO 111137520</v>
          </cell>
          <cell r="C1967">
            <v>42811111</v>
          </cell>
          <cell r="D1967" t="str">
            <v>MONTE RIO 1111</v>
          </cell>
          <cell r="E1967">
            <v>37520</v>
          </cell>
          <cell r="F1967" t="b">
            <v>0</v>
          </cell>
          <cell r="G1967">
            <v>3437.9631293253201</v>
          </cell>
          <cell r="H1967">
            <v>3437.9631293253201</v>
          </cell>
          <cell r="I1967">
            <v>20</v>
          </cell>
          <cell r="J1967">
            <v>2.4360411407542399E-4</v>
          </cell>
          <cell r="K1967">
            <v>236</v>
          </cell>
          <cell r="L1967">
            <v>45.265942912781703</v>
          </cell>
          <cell r="M1967">
            <v>2244</v>
          </cell>
          <cell r="N1967">
            <v>8.6845731323277001E-3</v>
          </cell>
          <cell r="O1967">
            <v>2018</v>
          </cell>
          <cell r="P1967">
            <v>30.52</v>
          </cell>
          <cell r="Q1967">
            <v>237</v>
          </cell>
        </row>
        <row r="1968">
          <cell r="B1968" t="str">
            <v>MONTE RIO 11113891</v>
          </cell>
          <cell r="C1968">
            <v>42811111</v>
          </cell>
          <cell r="D1968" t="str">
            <v>MONTE RIO 1111</v>
          </cell>
          <cell r="E1968">
            <v>3891</v>
          </cell>
          <cell r="F1968" t="b">
            <v>0</v>
          </cell>
          <cell r="G1968">
            <v>5583.0951473037703</v>
          </cell>
          <cell r="H1968">
            <v>5583.0951473037703</v>
          </cell>
          <cell r="I1968">
            <v>23</v>
          </cell>
          <cell r="J1968">
            <v>2.2659538676221401E-4</v>
          </cell>
          <cell r="K1968">
            <v>300</v>
          </cell>
          <cell r="L1968">
            <v>68.315071231343595</v>
          </cell>
          <cell r="M1968">
            <v>2101</v>
          </cell>
          <cell r="N1968">
            <v>1.08870737351921E-2</v>
          </cell>
          <cell r="O1968">
            <v>1926</v>
          </cell>
          <cell r="P1968">
            <v>21.8</v>
          </cell>
          <cell r="Q1968">
            <v>297</v>
          </cell>
        </row>
        <row r="1969">
          <cell r="B1969" t="str">
            <v>MONTE RIO 1111506</v>
          </cell>
          <cell r="C1969">
            <v>42811111</v>
          </cell>
          <cell r="D1969" t="str">
            <v>MONTE RIO 1111</v>
          </cell>
          <cell r="E1969">
            <v>506</v>
          </cell>
          <cell r="F1969" t="b">
            <v>0</v>
          </cell>
          <cell r="G1969">
            <v>2021.7881752061101</v>
          </cell>
          <cell r="H1969">
            <v>2021.7881752061101</v>
          </cell>
          <cell r="I1969">
            <v>18</v>
          </cell>
          <cell r="J1969">
            <v>1.68639972697645E-4</v>
          </cell>
          <cell r="K1969">
            <v>571</v>
          </cell>
          <cell r="L1969">
            <v>6.6431380861030107E-2</v>
          </cell>
          <cell r="M1969">
            <v>3019</v>
          </cell>
          <cell r="N1969">
            <v>1.1202986254671E-5</v>
          </cell>
          <cell r="O1969">
            <v>3047</v>
          </cell>
          <cell r="P1969">
            <v>19.11</v>
          </cell>
          <cell r="Q1969">
            <v>314</v>
          </cell>
        </row>
        <row r="1970">
          <cell r="B1970" t="str">
            <v>MONTE RIO 111153477</v>
          </cell>
          <cell r="C1970">
            <v>42811111</v>
          </cell>
          <cell r="D1970" t="str">
            <v>MONTE RIO 1111</v>
          </cell>
          <cell r="E1970">
            <v>53477</v>
          </cell>
          <cell r="F1970" t="b">
            <v>0</v>
          </cell>
          <cell r="G1970">
            <v>3295.7871162084498</v>
          </cell>
          <cell r="H1970">
            <v>3295.7871162084498</v>
          </cell>
          <cell r="I1970">
            <v>21</v>
          </cell>
          <cell r="J1970">
            <v>1.60652498293313E-4</v>
          </cell>
          <cell r="K1970">
            <v>635</v>
          </cell>
          <cell r="L1970">
            <v>22.722826636014101</v>
          </cell>
          <cell r="M1970">
            <v>2413</v>
          </cell>
          <cell r="N1970">
            <v>3.7529303844587099E-3</v>
          </cell>
          <cell r="O1970">
            <v>2272</v>
          </cell>
          <cell r="P1970">
            <v>34.99</v>
          </cell>
          <cell r="Q1970">
            <v>215</v>
          </cell>
        </row>
        <row r="1971">
          <cell r="B1971" t="str">
            <v>MONTE RIO 111159046</v>
          </cell>
          <cell r="C1971">
            <v>42811111</v>
          </cell>
          <cell r="D1971" t="str">
            <v>MONTE RIO 1111</v>
          </cell>
          <cell r="E1971">
            <v>59046</v>
          </cell>
          <cell r="F1971" t="b">
            <v>0</v>
          </cell>
          <cell r="G1971">
            <v>6015.5461654661103</v>
          </cell>
          <cell r="H1971">
            <v>5641.1575523382198</v>
          </cell>
          <cell r="I1971">
            <v>15</v>
          </cell>
          <cell r="J1971">
            <v>1.0508853010833199E-4</v>
          </cell>
          <cell r="K1971">
            <v>1522</v>
          </cell>
          <cell r="L1971">
            <v>101.90455116331501</v>
          </cell>
          <cell r="M1971">
            <v>1945</v>
          </cell>
          <cell r="N1971">
            <v>2.1245892275344999E-2</v>
          </cell>
          <cell r="O1971">
            <v>1645</v>
          </cell>
          <cell r="P1971">
            <v>0.25</v>
          </cell>
          <cell r="Q1971">
            <v>1078</v>
          </cell>
        </row>
        <row r="1972">
          <cell r="B1972" t="str">
            <v>MONTE RIO 111164758</v>
          </cell>
          <cell r="C1972">
            <v>42811111</v>
          </cell>
          <cell r="D1972" t="str">
            <v>MONTE RIO 1111</v>
          </cell>
          <cell r="E1972">
            <v>64758</v>
          </cell>
          <cell r="F1972" t="b">
            <v>0</v>
          </cell>
          <cell r="G1972">
            <v>16840.119681384502</v>
          </cell>
          <cell r="H1972">
            <v>16840.119681384502</v>
          </cell>
          <cell r="I1972">
            <v>97</v>
          </cell>
          <cell r="J1972">
            <v>2.5462830822060297E-4</v>
          </cell>
          <cell r="K1972">
            <v>207</v>
          </cell>
          <cell r="L1972">
            <v>41.268767283611098</v>
          </cell>
          <cell r="M1972">
            <v>2270</v>
          </cell>
          <cell r="N1972">
            <v>8.7917929728126808E-3</v>
          </cell>
          <cell r="O1972">
            <v>2014</v>
          </cell>
          <cell r="P1972">
            <v>58.76</v>
          </cell>
          <cell r="Q1972">
            <v>91</v>
          </cell>
        </row>
        <row r="1973">
          <cell r="B1973" t="str">
            <v>MONTE RIO 1111969182</v>
          </cell>
          <cell r="C1973">
            <v>42811111</v>
          </cell>
          <cell r="D1973" t="str">
            <v>MONTE RIO 1111</v>
          </cell>
          <cell r="E1973">
            <v>969182</v>
          </cell>
          <cell r="F1973" t="b">
            <v>0</v>
          </cell>
          <cell r="G1973">
            <v>8578.2653864168606</v>
          </cell>
          <cell r="H1973">
            <v>8578.2653864168606</v>
          </cell>
          <cell r="I1973">
            <v>64</v>
          </cell>
          <cell r="J1973">
            <v>2.32722569421639E-4</v>
          </cell>
          <cell r="K1973">
            <v>274</v>
          </cell>
          <cell r="L1973">
            <v>7.8722669678026298</v>
          </cell>
          <cell r="M1973">
            <v>2672</v>
          </cell>
          <cell r="N1973">
            <v>1.49373404695169E-3</v>
          </cell>
          <cell r="O1973">
            <v>2559</v>
          </cell>
          <cell r="Q1973">
            <v>2685</v>
          </cell>
        </row>
        <row r="1974">
          <cell r="B1974" t="str">
            <v>MONTE RIO 1111CB</v>
          </cell>
          <cell r="C1974">
            <v>42811111</v>
          </cell>
          <cell r="D1974" t="str">
            <v>MONTE RIO 1111</v>
          </cell>
          <cell r="E1974" t="str">
            <v>CB</v>
          </cell>
          <cell r="F1974" t="b">
            <v>1</v>
          </cell>
          <cell r="G1974">
            <v>408.90653540014898</v>
          </cell>
          <cell r="H1974">
            <v>408.90653540014898</v>
          </cell>
          <cell r="I1974">
            <v>4</v>
          </cell>
          <cell r="J1974">
            <v>1.7829803346103201E-4</v>
          </cell>
          <cell r="K1974">
            <v>516</v>
          </cell>
          <cell r="L1974">
            <v>6.6431380861030107E-2</v>
          </cell>
          <cell r="M1974">
            <v>3029</v>
          </cell>
          <cell r="N1974">
            <v>1.18445845676225E-5</v>
          </cell>
          <cell r="O1974">
            <v>3036</v>
          </cell>
          <cell r="P1974">
            <v>13.33</v>
          </cell>
          <cell r="Q1974">
            <v>366</v>
          </cell>
        </row>
        <row r="1975">
          <cell r="B1975" t="str">
            <v>MONTE RIO 1112120</v>
          </cell>
          <cell r="C1975">
            <v>42811112</v>
          </cell>
          <cell r="D1975" t="str">
            <v>MONTE RIO 1112</v>
          </cell>
          <cell r="E1975">
            <v>120</v>
          </cell>
          <cell r="F1975" t="b">
            <v>0</v>
          </cell>
          <cell r="G1975">
            <v>10326.186835992899</v>
          </cell>
          <cell r="H1975">
            <v>10326.186835992899</v>
          </cell>
          <cell r="I1975">
            <v>67</v>
          </cell>
          <cell r="J1975">
            <v>2.1508602250507199E-4</v>
          </cell>
          <cell r="K1975">
            <v>341</v>
          </cell>
          <cell r="L1975">
            <v>93.788047800415399</v>
          </cell>
          <cell r="M1975">
            <v>1989</v>
          </cell>
          <cell r="N1975">
            <v>2.6686764371550199E-2</v>
          </cell>
          <cell r="O1975">
            <v>1517</v>
          </cell>
          <cell r="P1975">
            <v>79.25</v>
          </cell>
          <cell r="Q1975">
            <v>50</v>
          </cell>
        </row>
        <row r="1976">
          <cell r="B1976" t="str">
            <v>MONTE RIO 111215401</v>
          </cell>
          <cell r="C1976">
            <v>42811112</v>
          </cell>
          <cell r="D1976" t="str">
            <v>MONTE RIO 1112</v>
          </cell>
          <cell r="E1976">
            <v>15401</v>
          </cell>
          <cell r="F1976" t="b">
            <v>0</v>
          </cell>
          <cell r="G1976">
            <v>1388.1732024610801</v>
          </cell>
          <cell r="H1976">
            <v>1388.1732024610801</v>
          </cell>
          <cell r="I1976">
            <v>11</v>
          </cell>
          <cell r="J1976">
            <v>1.9478982490413299E-4</v>
          </cell>
          <cell r="K1976">
            <v>418</v>
          </cell>
          <cell r="L1976">
            <v>6.5488943024598196</v>
          </cell>
          <cell r="M1976">
            <v>2694</v>
          </cell>
          <cell r="N1976">
            <v>6.4146330431202902E-4</v>
          </cell>
          <cell r="O1976">
            <v>2698</v>
          </cell>
          <cell r="P1976">
            <v>41.15</v>
          </cell>
          <cell r="Q1976">
            <v>179</v>
          </cell>
        </row>
        <row r="1977">
          <cell r="B1977" t="str">
            <v>MONTE RIO 1112212</v>
          </cell>
          <cell r="C1977">
            <v>42811112</v>
          </cell>
          <cell r="D1977" t="str">
            <v>MONTE RIO 1112</v>
          </cell>
          <cell r="E1977">
            <v>212</v>
          </cell>
          <cell r="F1977" t="b">
            <v>0</v>
          </cell>
          <cell r="G1977">
            <v>3618.1725168695102</v>
          </cell>
          <cell r="H1977">
            <v>3618.1725168695102</v>
          </cell>
          <cell r="I1977">
            <v>27</v>
          </cell>
          <cell r="J1977">
            <v>1.5405064523629601E-4</v>
          </cell>
          <cell r="K1977">
            <v>705</v>
          </cell>
          <cell r="L1977">
            <v>6.6431380861030107E-2</v>
          </cell>
          <cell r="M1977">
            <v>3024</v>
          </cell>
          <cell r="N1977">
            <v>1.02337970855798E-5</v>
          </cell>
          <cell r="O1977">
            <v>3064</v>
          </cell>
          <cell r="P1977">
            <v>26.95</v>
          </cell>
          <cell r="Q1977">
            <v>263</v>
          </cell>
        </row>
        <row r="1978">
          <cell r="B1978" t="str">
            <v>MONTE RIO 11125040</v>
          </cell>
          <cell r="C1978">
            <v>42811112</v>
          </cell>
          <cell r="D1978" t="str">
            <v>MONTE RIO 1112</v>
          </cell>
          <cell r="E1978">
            <v>5040</v>
          </cell>
          <cell r="F1978" t="b">
            <v>0</v>
          </cell>
          <cell r="G1978">
            <v>6507.5662137838699</v>
          </cell>
          <cell r="H1978">
            <v>6507.5662137838699</v>
          </cell>
          <cell r="I1978">
            <v>46</v>
          </cell>
          <cell r="J1978">
            <v>2.4059931250424899E-4</v>
          </cell>
          <cell r="K1978">
            <v>244</v>
          </cell>
          <cell r="L1978">
            <v>218.69821645993301</v>
          </cell>
          <cell r="M1978">
            <v>1609</v>
          </cell>
          <cell r="N1978">
            <v>5.5628122802257901E-2</v>
          </cell>
          <cell r="O1978">
            <v>1113</v>
          </cell>
          <cell r="P1978">
            <v>20.75</v>
          </cell>
          <cell r="Q1978">
            <v>304</v>
          </cell>
        </row>
        <row r="1979">
          <cell r="B1979" t="str">
            <v>MONTE RIO 111264682</v>
          </cell>
          <cell r="C1979">
            <v>42811112</v>
          </cell>
          <cell r="D1979" t="str">
            <v>MONTE RIO 1112</v>
          </cell>
          <cell r="E1979">
            <v>64682</v>
          </cell>
          <cell r="F1979" t="b">
            <v>0</v>
          </cell>
          <cell r="G1979">
            <v>2835.1135296316902</v>
          </cell>
          <cell r="H1979">
            <v>2835.1135296316902</v>
          </cell>
          <cell r="I1979">
            <v>22</v>
          </cell>
          <cell r="J1979">
            <v>2.2403309115113401E-4</v>
          </cell>
          <cell r="K1979">
            <v>304</v>
          </cell>
          <cell r="L1979">
            <v>6.6431188526756793E-2</v>
          </cell>
          <cell r="M1979">
            <v>3092</v>
          </cell>
          <cell r="N1979">
            <v>1.4882790650121701E-5</v>
          </cell>
          <cell r="O1979">
            <v>3009</v>
          </cell>
          <cell r="P1979">
            <v>46.82</v>
          </cell>
          <cell r="Q1979">
            <v>138</v>
          </cell>
        </row>
        <row r="1980">
          <cell r="B1980" t="str">
            <v>MONTE RIO 1112999</v>
          </cell>
          <cell r="C1980">
            <v>42811112</v>
          </cell>
          <cell r="D1980" t="str">
            <v>MONTE RIO 1112</v>
          </cell>
          <cell r="E1980">
            <v>999</v>
          </cell>
          <cell r="F1980" t="b">
            <v>0</v>
          </cell>
          <cell r="G1980">
            <v>1412.37549646194</v>
          </cell>
          <cell r="H1980">
            <v>1412.37549646194</v>
          </cell>
          <cell r="I1980">
            <v>7</v>
          </cell>
          <cell r="J1980">
            <v>1.5392311407984801E-4</v>
          </cell>
          <cell r="K1980">
            <v>709</v>
          </cell>
          <cell r="L1980">
            <v>122.312626187489</v>
          </cell>
          <cell r="M1980">
            <v>1863</v>
          </cell>
          <cell r="N1980">
            <v>1.07866149701554E-2</v>
          </cell>
          <cell r="O1980">
            <v>1929</v>
          </cell>
          <cell r="P1980">
            <v>28.44</v>
          </cell>
          <cell r="Q1980">
            <v>250</v>
          </cell>
        </row>
        <row r="1981">
          <cell r="B1981" t="str">
            <v>MONTE RIO 1112CB</v>
          </cell>
          <cell r="C1981">
            <v>42811112</v>
          </cell>
          <cell r="D1981" t="str">
            <v>MONTE RIO 1112</v>
          </cell>
          <cell r="E1981" t="str">
            <v>CB</v>
          </cell>
          <cell r="F1981" t="b">
            <v>0</v>
          </cell>
          <cell r="G1981">
            <v>5679.6302034888804</v>
          </cell>
          <cell r="H1981">
            <v>5679.6302034888804</v>
          </cell>
          <cell r="I1981">
            <v>43</v>
          </cell>
          <cell r="J1981">
            <v>1.52877722812686E-4</v>
          </cell>
          <cell r="K1981">
            <v>721</v>
          </cell>
          <cell r="L1981">
            <v>0.61919958240108097</v>
          </cell>
          <cell r="M1981">
            <v>2911</v>
          </cell>
          <cell r="N1981">
            <v>2.01206748677758E-4</v>
          </cell>
          <cell r="O1981">
            <v>2838</v>
          </cell>
          <cell r="P1981">
            <v>23.03</v>
          </cell>
          <cell r="Q1981">
            <v>289</v>
          </cell>
        </row>
        <row r="1982">
          <cell r="B1982" t="str">
            <v>MONTE RIO 11131067</v>
          </cell>
          <cell r="C1982">
            <v>42811113</v>
          </cell>
          <cell r="D1982" t="str">
            <v>MONTE RIO 1113</v>
          </cell>
          <cell r="E1982">
            <v>1067</v>
          </cell>
          <cell r="F1982" t="b">
            <v>0</v>
          </cell>
          <cell r="G1982">
            <v>1306.3843330064001</v>
          </cell>
          <cell r="H1982">
            <v>1306.3843330064001</v>
          </cell>
          <cell r="I1982">
            <v>11</v>
          </cell>
          <cell r="J1982">
            <v>3.7762184563854798E-4</v>
          </cell>
          <cell r="K1982">
            <v>75</v>
          </cell>
          <cell r="L1982">
            <v>25.996283067256201</v>
          </cell>
          <cell r="M1982">
            <v>2377</v>
          </cell>
          <cell r="N1982">
            <v>1.5999614473925901E-2</v>
          </cell>
          <cell r="O1982">
            <v>1760</v>
          </cell>
          <cell r="P1982">
            <v>0.39</v>
          </cell>
          <cell r="Q1982">
            <v>956</v>
          </cell>
        </row>
        <row r="1983">
          <cell r="B1983" t="str">
            <v>MONTE RIO 11131313</v>
          </cell>
          <cell r="C1983">
            <v>42811113</v>
          </cell>
          <cell r="D1983" t="str">
            <v>MONTE RIO 1113</v>
          </cell>
          <cell r="E1983">
            <v>1313</v>
          </cell>
          <cell r="F1983" t="b">
            <v>0</v>
          </cell>
          <cell r="G1983">
            <v>1996.4297801591399</v>
          </cell>
          <cell r="H1983">
            <v>1996.4297801591399</v>
          </cell>
          <cell r="I1983">
            <v>19</v>
          </cell>
          <cell r="J1983">
            <v>1.4421325785836999E-4</v>
          </cell>
          <cell r="K1983">
            <v>810</v>
          </cell>
          <cell r="L1983">
            <v>12.576448865142</v>
          </cell>
          <cell r="M1983">
            <v>2576</v>
          </cell>
          <cell r="N1983">
            <v>1.40574071806712E-3</v>
          </cell>
          <cell r="O1983">
            <v>2572</v>
          </cell>
          <cell r="P1983">
            <v>44.58</v>
          </cell>
          <cell r="Q1983">
            <v>156</v>
          </cell>
        </row>
        <row r="1984">
          <cell r="B1984" t="str">
            <v>MONTE RIO 1113180</v>
          </cell>
          <cell r="C1984">
            <v>42811113</v>
          </cell>
          <cell r="D1984" t="str">
            <v>MONTE RIO 1113</v>
          </cell>
          <cell r="E1984">
            <v>180</v>
          </cell>
          <cell r="F1984" t="b">
            <v>0</v>
          </cell>
          <cell r="G1984">
            <v>3158.1165346001999</v>
          </cell>
          <cell r="H1984">
            <v>3158.1165346001999</v>
          </cell>
          <cell r="I1984">
            <v>28</v>
          </cell>
          <cell r="J1984">
            <v>2.3286556617157199E-4</v>
          </cell>
          <cell r="K1984">
            <v>273</v>
          </cell>
          <cell r="L1984">
            <v>37.418877473857698</v>
          </cell>
          <cell r="M1984">
            <v>2293</v>
          </cell>
          <cell r="N1984">
            <v>8.6778866373399405E-3</v>
          </cell>
          <cell r="O1984">
            <v>2019</v>
          </cell>
          <cell r="P1984">
            <v>48.66</v>
          </cell>
          <cell r="Q1984">
            <v>126</v>
          </cell>
        </row>
        <row r="1985">
          <cell r="B1985" t="str">
            <v>MONTE RIO 11131989</v>
          </cell>
          <cell r="C1985">
            <v>42811113</v>
          </cell>
          <cell r="D1985" t="str">
            <v>MONTE RIO 1113</v>
          </cell>
          <cell r="E1985">
            <v>1989</v>
          </cell>
          <cell r="F1985" t="b">
            <v>0</v>
          </cell>
          <cell r="G1985">
            <v>1195.1935913366599</v>
          </cell>
          <cell r="H1985">
            <v>1195.1935913366599</v>
          </cell>
          <cell r="I1985">
            <v>9</v>
          </cell>
          <cell r="J1985">
            <v>1.4388135019139999E-4</v>
          </cell>
          <cell r="K1985">
            <v>816</v>
          </cell>
          <cell r="L1985">
            <v>55.527512090469997</v>
          </cell>
          <cell r="M1985">
            <v>2179</v>
          </cell>
          <cell r="N1985">
            <v>4.3486666142602097E-3</v>
          </cell>
          <cell r="O1985">
            <v>2239</v>
          </cell>
          <cell r="P1985">
            <v>44.54</v>
          </cell>
          <cell r="Q1985">
            <v>158</v>
          </cell>
        </row>
        <row r="1986">
          <cell r="B1986" t="str">
            <v>MONTE RIO 11131991</v>
          </cell>
          <cell r="C1986">
            <v>42811113</v>
          </cell>
          <cell r="D1986" t="str">
            <v>MONTE RIO 1113</v>
          </cell>
          <cell r="E1986">
            <v>1991</v>
          </cell>
          <cell r="F1986" t="b">
            <v>0</v>
          </cell>
          <cell r="G1986">
            <v>11465.3295437326</v>
          </cell>
          <cell r="H1986">
            <v>11465.3295437326</v>
          </cell>
          <cell r="I1986">
            <v>51</v>
          </cell>
          <cell r="J1986">
            <v>1.6331003244689999E-4</v>
          </cell>
          <cell r="K1986">
            <v>608</v>
          </cell>
          <cell r="L1986">
            <v>395.60463750601798</v>
          </cell>
          <cell r="M1986">
            <v>1299</v>
          </cell>
          <cell r="N1986">
            <v>5.5785733434352697E-2</v>
          </cell>
          <cell r="O1986">
            <v>1110</v>
          </cell>
          <cell r="P1986">
            <v>56.35</v>
          </cell>
          <cell r="Q1986">
            <v>99</v>
          </cell>
        </row>
        <row r="1987">
          <cell r="B1987" t="str">
            <v>MONTE RIO 1113202</v>
          </cell>
          <cell r="C1987">
            <v>42811113</v>
          </cell>
          <cell r="D1987" t="str">
            <v>MONTE RIO 1113</v>
          </cell>
          <cell r="E1987">
            <v>202</v>
          </cell>
          <cell r="F1987" t="b">
            <v>0</v>
          </cell>
          <cell r="G1987">
            <v>8481.1425291470696</v>
          </cell>
          <cell r="H1987">
            <v>8481.1425291470696</v>
          </cell>
          <cell r="I1987">
            <v>55</v>
          </cell>
          <cell r="J1987">
            <v>2.3688654999676599E-4</v>
          </cell>
          <cell r="K1987">
            <v>257</v>
          </cell>
          <cell r="L1987">
            <v>9.5740446107672899</v>
          </cell>
          <cell r="M1987">
            <v>2632</v>
          </cell>
          <cell r="N1987">
            <v>2.8292518258979499E-3</v>
          </cell>
          <cell r="O1987">
            <v>2366</v>
          </cell>
          <cell r="P1987">
            <v>77.47</v>
          </cell>
          <cell r="Q1987">
            <v>54</v>
          </cell>
        </row>
        <row r="1988">
          <cell r="B1988" t="str">
            <v>MONTE RIO 1113250</v>
          </cell>
          <cell r="C1988">
            <v>42811113</v>
          </cell>
          <cell r="D1988" t="str">
            <v>MONTE RIO 1113</v>
          </cell>
          <cell r="E1988">
            <v>250</v>
          </cell>
          <cell r="F1988" t="b">
            <v>0</v>
          </cell>
          <cell r="G1988">
            <v>1985.3413707116799</v>
          </cell>
          <cell r="H1988">
            <v>1985.3413707116799</v>
          </cell>
          <cell r="I1988">
            <v>14</v>
          </cell>
          <cell r="J1988">
            <v>1.6050277684241399E-4</v>
          </cell>
          <cell r="K1988">
            <v>639</v>
          </cell>
          <cell r="L1988">
            <v>6.6431380861030107E-2</v>
          </cell>
          <cell r="M1988">
            <v>3020</v>
          </cell>
          <cell r="N1988">
            <v>1.06624210976713E-5</v>
          </cell>
          <cell r="O1988">
            <v>3056</v>
          </cell>
          <cell r="P1988">
            <v>12.63</v>
          </cell>
          <cell r="Q1988">
            <v>371</v>
          </cell>
        </row>
        <row r="1989">
          <cell r="B1989" t="str">
            <v>MONTE RIO 1113320</v>
          </cell>
          <cell r="C1989">
            <v>42811113</v>
          </cell>
          <cell r="D1989" t="str">
            <v>MONTE RIO 1113</v>
          </cell>
          <cell r="E1989">
            <v>320</v>
          </cell>
          <cell r="F1989" t="b">
            <v>0</v>
          </cell>
          <cell r="G1989">
            <v>4467.4960423329303</v>
          </cell>
          <cell r="H1989">
            <v>4467.4960423329303</v>
          </cell>
          <cell r="I1989">
            <v>29</v>
          </cell>
          <cell r="J1989">
            <v>2.16984654328151E-4</v>
          </cell>
          <cell r="K1989">
            <v>331</v>
          </cell>
          <cell r="L1989">
            <v>31.2120599696024</v>
          </cell>
          <cell r="M1989">
            <v>2339</v>
          </cell>
          <cell r="N1989">
            <v>7.6924167237300001E-3</v>
          </cell>
          <cell r="O1989">
            <v>2061</v>
          </cell>
          <cell r="P1989">
            <v>49.68</v>
          </cell>
          <cell r="Q1989">
            <v>122</v>
          </cell>
        </row>
        <row r="1990">
          <cell r="B1990" t="str">
            <v>MONTE RIO 1113346</v>
          </cell>
          <cell r="C1990">
            <v>42811113</v>
          </cell>
          <cell r="D1990" t="str">
            <v>MONTE RIO 1113</v>
          </cell>
          <cell r="E1990">
            <v>346</v>
          </cell>
          <cell r="F1990" t="b">
            <v>0</v>
          </cell>
          <cell r="G1990">
            <v>16160.3416784579</v>
          </cell>
          <cell r="H1990">
            <v>16160.3416784579</v>
          </cell>
          <cell r="I1990">
            <v>101</v>
          </cell>
          <cell r="J1990">
            <v>1.5808896459930101E-4</v>
          </cell>
          <cell r="K1990">
            <v>662</v>
          </cell>
          <cell r="L1990">
            <v>67.660900427466899</v>
          </cell>
          <cell r="M1990">
            <v>2104</v>
          </cell>
          <cell r="N1990">
            <v>7.2159252548071899E-3</v>
          </cell>
          <cell r="O1990">
            <v>2084</v>
          </cell>
          <cell r="P1990">
            <v>0.97</v>
          </cell>
          <cell r="Q1990">
            <v>737</v>
          </cell>
        </row>
        <row r="1991">
          <cell r="B1991" t="str">
            <v>MONTE RIO 11133970</v>
          </cell>
          <cell r="C1991">
            <v>42811113</v>
          </cell>
          <cell r="D1991" t="str">
            <v>MONTE RIO 1113</v>
          </cell>
          <cell r="E1991">
            <v>3970</v>
          </cell>
          <cell r="F1991" t="b">
            <v>0</v>
          </cell>
          <cell r="G1991">
            <v>11750.7223742965</v>
          </cell>
          <cell r="H1991">
            <v>11750.7223742965</v>
          </cell>
          <cell r="I1991">
            <v>87</v>
          </cell>
          <cell r="J1991">
            <v>1.5476376718694099E-4</v>
          </cell>
          <cell r="K1991">
            <v>697</v>
          </cell>
          <cell r="L1991">
            <v>11.267929736224399</v>
          </cell>
          <cell r="M1991">
            <v>2601</v>
          </cell>
          <cell r="N1991">
            <v>2.3637981464308898E-3</v>
          </cell>
          <cell r="O1991">
            <v>2428</v>
          </cell>
          <cell r="P1991">
            <v>0.85</v>
          </cell>
          <cell r="Q1991">
            <v>765</v>
          </cell>
        </row>
        <row r="1992">
          <cell r="B1992" t="str">
            <v>MONTE RIO 1113477</v>
          </cell>
          <cell r="C1992">
            <v>42811113</v>
          </cell>
          <cell r="D1992" t="str">
            <v>MONTE RIO 1113</v>
          </cell>
          <cell r="E1992">
            <v>477</v>
          </cell>
          <cell r="F1992" t="b">
            <v>0</v>
          </cell>
          <cell r="G1992">
            <v>2946.6356440862</v>
          </cell>
          <cell r="H1992">
            <v>2946.6356440862</v>
          </cell>
          <cell r="I1992">
            <v>25</v>
          </cell>
          <cell r="J1992">
            <v>1.5507739423507299E-4</v>
          </cell>
          <cell r="K1992">
            <v>692</v>
          </cell>
          <cell r="L1992">
            <v>16.229374134925202</v>
          </cell>
          <cell r="M1992">
            <v>2513</v>
          </cell>
          <cell r="N1992">
            <v>2.5150113160763198E-3</v>
          </cell>
          <cell r="O1992">
            <v>2410</v>
          </cell>
          <cell r="P1992">
            <v>3.59</v>
          </cell>
          <cell r="Q1992">
            <v>539</v>
          </cell>
        </row>
        <row r="1993">
          <cell r="B1993" t="str">
            <v>MONTE RIO 11135024</v>
          </cell>
          <cell r="C1993">
            <v>42811113</v>
          </cell>
          <cell r="D1993" t="str">
            <v>MONTE RIO 1113</v>
          </cell>
          <cell r="E1993">
            <v>5024</v>
          </cell>
          <cell r="F1993" t="b">
            <v>1</v>
          </cell>
          <cell r="G1993">
            <v>526.61112544858497</v>
          </cell>
          <cell r="H1993">
            <v>526.61112544858497</v>
          </cell>
          <cell r="I1993">
            <v>4</v>
          </cell>
          <cell r="J1993">
            <v>1.7161156210931901E-4</v>
          </cell>
          <cell r="K1993">
            <v>552</v>
          </cell>
          <cell r="L1993">
            <v>35.719977449654401</v>
          </cell>
          <cell r="M1993">
            <v>2305</v>
          </cell>
          <cell r="N1993">
            <v>9.4858431116995202E-3</v>
          </cell>
          <cell r="O1993">
            <v>1984</v>
          </cell>
          <cell r="P1993">
            <v>11.71</v>
          </cell>
          <cell r="Q1993">
            <v>383</v>
          </cell>
        </row>
        <row r="1994">
          <cell r="B1994" t="str">
            <v>MONTE RIO 11135026</v>
          </cell>
          <cell r="C1994">
            <v>42811113</v>
          </cell>
          <cell r="D1994" t="str">
            <v>MONTE RIO 1113</v>
          </cell>
          <cell r="E1994">
            <v>5026</v>
          </cell>
          <cell r="F1994" t="b">
            <v>0</v>
          </cell>
          <cell r="G1994">
            <v>2967.0616468905801</v>
          </cell>
          <cell r="H1994">
            <v>2967.0616468905801</v>
          </cell>
          <cell r="I1994">
            <v>23</v>
          </cell>
          <cell r="J1994">
            <v>1.42531767778564E-4</v>
          </cell>
          <cell r="K1994">
            <v>832</v>
          </cell>
          <cell r="L1994">
            <v>6.6431380861030107E-2</v>
          </cell>
          <cell r="M1994">
            <v>3023</v>
          </cell>
          <cell r="N1994">
            <v>9.4685821500936997E-6</v>
          </cell>
          <cell r="O1994">
            <v>3080</v>
          </cell>
          <cell r="P1994">
            <v>0.35</v>
          </cell>
          <cell r="Q1994">
            <v>976</v>
          </cell>
        </row>
        <row r="1995">
          <cell r="B1995" t="str">
            <v>MONTE RIO 1113524</v>
          </cell>
          <cell r="C1995">
            <v>42811113</v>
          </cell>
          <cell r="D1995" t="str">
            <v>MONTE RIO 1113</v>
          </cell>
          <cell r="E1995">
            <v>524</v>
          </cell>
          <cell r="F1995" t="b">
            <v>0</v>
          </cell>
          <cell r="G1995">
            <v>10078.6837310419</v>
          </cell>
          <cell r="H1995">
            <v>10078.6837310419</v>
          </cell>
          <cell r="I1995">
            <v>76</v>
          </cell>
          <cell r="J1995">
            <v>2.61163225086174E-4</v>
          </cell>
          <cell r="K1995">
            <v>193</v>
          </cell>
          <cell r="L1995">
            <v>18.5187075951217</v>
          </cell>
          <cell r="M1995">
            <v>2467</v>
          </cell>
          <cell r="N1995">
            <v>3.6171110833004001E-3</v>
          </cell>
          <cell r="O1995">
            <v>2286</v>
          </cell>
          <cell r="P1995">
            <v>109.05</v>
          </cell>
          <cell r="Q1995">
            <v>15</v>
          </cell>
        </row>
        <row r="1996">
          <cell r="B1996" t="str">
            <v>MONTE RIO 1113532</v>
          </cell>
          <cell r="C1996">
            <v>42811113</v>
          </cell>
          <cell r="D1996" t="str">
            <v>MONTE RIO 1113</v>
          </cell>
          <cell r="E1996">
            <v>532</v>
          </cell>
          <cell r="F1996" t="b">
            <v>1</v>
          </cell>
          <cell r="G1996">
            <v>844.32605672808995</v>
          </cell>
          <cell r="H1996">
            <v>844.32605672808995</v>
          </cell>
          <cell r="I1996">
            <v>8</v>
          </cell>
          <cell r="J1996">
            <v>1.44872834425768E-4</v>
          </cell>
          <cell r="K1996">
            <v>803</v>
          </cell>
          <cell r="L1996">
            <v>6.6431380861030107E-2</v>
          </cell>
          <cell r="M1996">
            <v>3021</v>
          </cell>
          <cell r="N1996">
            <v>9.6241024401551996E-6</v>
          </cell>
          <cell r="O1996">
            <v>3075</v>
          </cell>
          <cell r="P1996">
            <v>27.34</v>
          </cell>
          <cell r="Q1996">
            <v>259</v>
          </cell>
        </row>
        <row r="1997">
          <cell r="B1997" t="str">
            <v>MONTE RIO 1113539938</v>
          </cell>
          <cell r="C1997">
            <v>42811113</v>
          </cell>
          <cell r="D1997" t="str">
            <v>MONTE RIO 1113</v>
          </cell>
          <cell r="E1997">
            <v>539938</v>
          </cell>
          <cell r="F1997" t="b">
            <v>0</v>
          </cell>
          <cell r="G1997">
            <v>4460.2370364718299</v>
          </cell>
          <cell r="H1997">
            <v>4460.2370364718299</v>
          </cell>
          <cell r="I1997">
            <v>26</v>
          </cell>
          <cell r="J1997">
            <v>2.1662700295564701E-4</v>
          </cell>
          <cell r="K1997">
            <v>334</v>
          </cell>
          <cell r="L1997">
            <v>141.76642977796001</v>
          </cell>
          <cell r="M1997">
            <v>1805</v>
          </cell>
          <cell r="N1997">
            <v>3.9354058277672001E-2</v>
          </cell>
          <cell r="O1997">
            <v>1314</v>
          </cell>
          <cell r="Q1997">
            <v>2851</v>
          </cell>
        </row>
        <row r="1998">
          <cell r="B1998" t="str">
            <v>MONTE RIO 1113652</v>
          </cell>
          <cell r="C1998">
            <v>42811113</v>
          </cell>
          <cell r="D1998" t="str">
            <v>MONTE RIO 1113</v>
          </cell>
          <cell r="E1998">
            <v>652</v>
          </cell>
          <cell r="F1998" t="b">
            <v>0</v>
          </cell>
          <cell r="G1998">
            <v>2607.8717113858602</v>
          </cell>
          <cell r="H1998">
            <v>2607.8717113858602</v>
          </cell>
          <cell r="I1998">
            <v>25</v>
          </cell>
          <cell r="J1998">
            <v>2.7854216721607302E-4</v>
          </cell>
          <cell r="K1998">
            <v>161</v>
          </cell>
          <cell r="L1998">
            <v>20.032418091400999</v>
          </cell>
          <cell r="M1998">
            <v>2448</v>
          </cell>
          <cell r="N1998">
            <v>5.3427369240272799E-3</v>
          </cell>
          <cell r="O1998">
            <v>2192</v>
          </cell>
          <cell r="P1998">
            <v>55.16</v>
          </cell>
          <cell r="Q1998">
            <v>104</v>
          </cell>
        </row>
        <row r="1999">
          <cell r="B1999" t="str">
            <v>MONTE RIO 1113678</v>
          </cell>
          <cell r="C1999">
            <v>42811113</v>
          </cell>
          <cell r="D1999" t="str">
            <v>MONTE RIO 1113</v>
          </cell>
          <cell r="E1999">
            <v>678</v>
          </cell>
          <cell r="F1999" t="b">
            <v>0</v>
          </cell>
          <cell r="G1999">
            <v>3004.0039510675801</v>
          </cell>
          <cell r="H1999">
            <v>3004.0039510675801</v>
          </cell>
          <cell r="I1999">
            <v>17</v>
          </cell>
          <cell r="J1999">
            <v>1.3325347433291201E-4</v>
          </cell>
          <cell r="K1999">
            <v>954</v>
          </cell>
          <cell r="L1999">
            <v>26.646067313760199</v>
          </cell>
          <cell r="M1999">
            <v>2369</v>
          </cell>
          <cell r="N1999">
            <v>2.1880224918547401E-3</v>
          </cell>
          <cell r="O1999">
            <v>2453</v>
          </cell>
          <cell r="P1999">
            <v>48.48</v>
          </cell>
          <cell r="Q1999">
            <v>128</v>
          </cell>
        </row>
        <row r="2000">
          <cell r="B2000" t="str">
            <v>MONTE RIO 11138299</v>
          </cell>
          <cell r="C2000">
            <v>42811113</v>
          </cell>
          <cell r="D2000" t="str">
            <v>MONTE RIO 1113</v>
          </cell>
          <cell r="E2000">
            <v>8299</v>
          </cell>
          <cell r="F2000" t="b">
            <v>0</v>
          </cell>
          <cell r="G2000">
            <v>1934.21690716383</v>
          </cell>
          <cell r="H2000">
            <v>1934.21690716383</v>
          </cell>
          <cell r="I2000">
            <v>13</v>
          </cell>
          <cell r="J2000">
            <v>1.37896311151472E-4</v>
          </cell>
          <cell r="K2000">
            <v>895</v>
          </cell>
          <cell r="L2000">
            <v>14.6935284062285</v>
          </cell>
          <cell r="M2000">
            <v>2537</v>
          </cell>
          <cell r="N2000">
            <v>1.71923149194688E-3</v>
          </cell>
          <cell r="O2000">
            <v>2514</v>
          </cell>
          <cell r="P2000">
            <v>62.52</v>
          </cell>
          <cell r="Q2000">
            <v>83</v>
          </cell>
        </row>
        <row r="2001">
          <cell r="B2001" t="str">
            <v>MONTE RIO 1113CB</v>
          </cell>
          <cell r="C2001">
            <v>42811113</v>
          </cell>
          <cell r="D2001" t="str">
            <v>MONTE RIO 1113</v>
          </cell>
          <cell r="E2001" t="str">
            <v>CB</v>
          </cell>
          <cell r="F2001" t="b">
            <v>0</v>
          </cell>
          <cell r="G2001">
            <v>7286.2365663084402</v>
          </cell>
          <cell r="H2001">
            <v>7286.2365663084402</v>
          </cell>
          <cell r="I2001">
            <v>49</v>
          </cell>
          <cell r="J2001">
            <v>2.12686730340768E-4</v>
          </cell>
          <cell r="K2001">
            <v>347</v>
          </cell>
          <cell r="L2001">
            <v>6.3725014126685098</v>
          </cell>
          <cell r="M2001">
            <v>2702</v>
          </cell>
          <cell r="N2001">
            <v>2.0136078205563899E-3</v>
          </cell>
          <cell r="O2001">
            <v>2477</v>
          </cell>
          <cell r="P2001">
            <v>46.29</v>
          </cell>
          <cell r="Q2001">
            <v>143</v>
          </cell>
        </row>
        <row r="2002">
          <cell r="B2002" t="str">
            <v>MONTEREY 04012642</v>
          </cell>
          <cell r="C2002">
            <v>182090401</v>
          </cell>
          <cell r="D2002" t="str">
            <v>MONTEREY 0401</v>
          </cell>
          <cell r="E2002">
            <v>2642</v>
          </cell>
          <cell r="F2002" t="b">
            <v>1</v>
          </cell>
          <cell r="G2002">
            <v>3637.2616469095201</v>
          </cell>
          <cell r="H2002">
            <v>0</v>
          </cell>
          <cell r="I2002">
            <v>28</v>
          </cell>
          <cell r="J2002">
            <v>1.20945563415781E-5</v>
          </cell>
          <cell r="K2002">
            <v>3609</v>
          </cell>
          <cell r="L2002">
            <v>6.5147589932388297E-2</v>
          </cell>
          <cell r="M2002">
            <v>3594</v>
          </cell>
          <cell r="N2002">
            <v>7.8793119695529899E-7</v>
          </cell>
          <cell r="O2002">
            <v>3612</v>
          </cell>
          <cell r="P2002">
            <v>0.02</v>
          </cell>
          <cell r="Q2002">
            <v>2511</v>
          </cell>
        </row>
        <row r="2003">
          <cell r="B2003" t="str">
            <v>MONTEREY 04022644</v>
          </cell>
          <cell r="C2003">
            <v>182090402</v>
          </cell>
          <cell r="D2003" t="str">
            <v>MONTEREY 0402</v>
          </cell>
          <cell r="E2003">
            <v>2644</v>
          </cell>
          <cell r="F2003" t="b">
            <v>0</v>
          </cell>
          <cell r="G2003">
            <v>2922.7748283743399</v>
          </cell>
          <cell r="H2003">
            <v>1828.12176923108</v>
          </cell>
          <cell r="I2003">
            <v>23</v>
          </cell>
          <cell r="J2003">
            <v>1.7251666628742999E-5</v>
          </cell>
          <cell r="K2003">
            <v>3567</v>
          </cell>
          <cell r="L2003">
            <v>6.5705957021557501E-2</v>
          </cell>
          <cell r="M2003">
            <v>3306</v>
          </cell>
          <cell r="N2003">
            <v>1.13545120267167E-6</v>
          </cell>
          <cell r="O2003">
            <v>3580</v>
          </cell>
          <cell r="P2003">
            <v>0.03</v>
          </cell>
          <cell r="Q2003">
            <v>2385</v>
          </cell>
        </row>
        <row r="2004">
          <cell r="B2004" t="str">
            <v>MONTICELLO 11011589</v>
          </cell>
          <cell r="C2004">
            <v>43051101</v>
          </cell>
          <cell r="D2004" t="str">
            <v>MONTICELLO 1101</v>
          </cell>
          <cell r="E2004">
            <v>1589</v>
          </cell>
          <cell r="F2004" t="b">
            <v>0</v>
          </cell>
          <cell r="G2004">
            <v>6873.0950661316701</v>
          </cell>
          <cell r="H2004">
            <v>6873.0950661316701</v>
          </cell>
          <cell r="I2004">
            <v>52</v>
          </cell>
          <cell r="J2004">
            <v>8.5040669826132398E-5</v>
          </cell>
          <cell r="K2004">
            <v>2058</v>
          </cell>
          <cell r="L2004">
            <v>184.959553659758</v>
          </cell>
          <cell r="M2004">
            <v>1673</v>
          </cell>
          <cell r="N2004">
            <v>1.7650266151495099E-2</v>
          </cell>
          <cell r="O2004">
            <v>1719</v>
          </cell>
          <cell r="P2004">
            <v>0.08</v>
          </cell>
          <cell r="Q2004">
            <v>1649</v>
          </cell>
        </row>
        <row r="2005">
          <cell r="B2005" t="str">
            <v>MONTICELLO 11011780</v>
          </cell>
          <cell r="C2005">
            <v>43051101</v>
          </cell>
          <cell r="D2005" t="str">
            <v>MONTICELLO 1101</v>
          </cell>
          <cell r="E2005">
            <v>1780</v>
          </cell>
          <cell r="F2005" t="b">
            <v>1</v>
          </cell>
          <cell r="G2005">
            <v>115.32972505125301</v>
          </cell>
          <cell r="H2005">
            <v>115.32972505125301</v>
          </cell>
          <cell r="I2005">
            <v>1</v>
          </cell>
          <cell r="J2005">
            <v>1.3488995318766599E-4</v>
          </cell>
          <cell r="K2005">
            <v>928</v>
          </cell>
          <cell r="L2005">
            <v>6.6430398573048693E-2</v>
          </cell>
          <cell r="M2005">
            <v>3113</v>
          </cell>
          <cell r="N2005">
            <v>8.9607933537565899E-6</v>
          </cell>
          <cell r="O2005">
            <v>3095</v>
          </cell>
          <cell r="P2005">
            <v>0.87</v>
          </cell>
          <cell r="Q2005">
            <v>761</v>
          </cell>
        </row>
        <row r="2006">
          <cell r="B2006" t="str">
            <v>MONTICELLO 110137384</v>
          </cell>
          <cell r="C2006">
            <v>43051101</v>
          </cell>
          <cell r="D2006" t="str">
            <v>MONTICELLO 1101</v>
          </cell>
          <cell r="E2006">
            <v>37384</v>
          </cell>
          <cell r="F2006" t="b">
            <v>0</v>
          </cell>
          <cell r="G2006">
            <v>15082.1186827074</v>
          </cell>
          <cell r="H2006">
            <v>15082.1186827074</v>
          </cell>
          <cell r="I2006">
            <v>71</v>
          </cell>
          <cell r="J2006">
            <v>6.7163206845829602E-5</v>
          </cell>
          <cell r="K2006">
            <v>2554</v>
          </cell>
          <cell r="L2006">
            <v>2257.65495864582</v>
          </cell>
          <cell r="M2006">
            <v>391</v>
          </cell>
          <cell r="N2006">
            <v>0.14323894509020399</v>
          </cell>
          <cell r="O2006">
            <v>557</v>
          </cell>
          <cell r="P2006">
            <v>0.13</v>
          </cell>
          <cell r="Q2006">
            <v>1350</v>
          </cell>
        </row>
        <row r="2007">
          <cell r="B2007" t="str">
            <v>MONTICELLO 11014360</v>
          </cell>
          <cell r="C2007">
            <v>43051101</v>
          </cell>
          <cell r="D2007" t="str">
            <v>MONTICELLO 1101</v>
          </cell>
          <cell r="E2007">
            <v>4360</v>
          </cell>
          <cell r="F2007" t="b">
            <v>0</v>
          </cell>
          <cell r="G2007">
            <v>14899.004343901501</v>
          </cell>
          <cell r="H2007">
            <v>12170.4858216545</v>
          </cell>
          <cell r="I2007">
            <v>76</v>
          </cell>
          <cell r="J2007">
            <v>4.8295009904857002E-5</v>
          </cell>
          <cell r="K2007">
            <v>3087</v>
          </cell>
          <cell r="L2007">
            <v>2072.14879616092</v>
          </cell>
          <cell r="M2007">
            <v>436</v>
          </cell>
          <cell r="N2007">
            <v>0.10100601791474299</v>
          </cell>
          <cell r="O2007">
            <v>757</v>
          </cell>
          <cell r="P2007">
            <v>0.1</v>
          </cell>
          <cell r="Q2007">
            <v>1496</v>
          </cell>
        </row>
        <row r="2008">
          <cell r="B2008" t="str">
            <v>MONTICELLO 110152910</v>
          </cell>
          <cell r="C2008">
            <v>43051101</v>
          </cell>
          <cell r="D2008" t="str">
            <v>MONTICELLO 1101</v>
          </cell>
          <cell r="E2008">
            <v>52910</v>
          </cell>
          <cell r="F2008" t="b">
            <v>0</v>
          </cell>
          <cell r="G2008">
            <v>5038.2048187267801</v>
          </cell>
          <cell r="H2008">
            <v>3510.8304949645599</v>
          </cell>
          <cell r="I2008">
            <v>41</v>
          </cell>
          <cell r="J2008">
            <v>5.3924363295131602E-5</v>
          </cell>
          <cell r="K2008">
            <v>2944</v>
          </cell>
          <cell r="L2008">
            <v>73.778152613065103</v>
          </cell>
          <cell r="M2008">
            <v>2074</v>
          </cell>
          <cell r="N2008">
            <v>3.68771655766665E-3</v>
          </cell>
          <cell r="O2008">
            <v>2278</v>
          </cell>
          <cell r="P2008">
            <v>0.81</v>
          </cell>
          <cell r="Q2008">
            <v>773</v>
          </cell>
        </row>
        <row r="2009">
          <cell r="B2009" t="str">
            <v>MONTICELLO 1101630</v>
          </cell>
          <cell r="C2009">
            <v>43051101</v>
          </cell>
          <cell r="D2009" t="str">
            <v>MONTICELLO 1101</v>
          </cell>
          <cell r="E2009">
            <v>630</v>
          </cell>
          <cell r="F2009" t="b">
            <v>0</v>
          </cell>
          <cell r="G2009">
            <v>31341.2102615271</v>
          </cell>
          <cell r="H2009">
            <v>30113.0466479198</v>
          </cell>
          <cell r="I2009">
            <v>93</v>
          </cell>
          <cell r="J2009">
            <v>5.6908490223968398E-5</v>
          </cell>
          <cell r="K2009">
            <v>2863</v>
          </cell>
          <cell r="L2009">
            <v>1625.0865642966701</v>
          </cell>
          <cell r="M2009">
            <v>552</v>
          </cell>
          <cell r="N2009">
            <v>0.105154715581115</v>
          </cell>
          <cell r="O2009">
            <v>732</v>
          </cell>
          <cell r="P2009">
            <v>0.15</v>
          </cell>
          <cell r="Q2009">
            <v>1293</v>
          </cell>
        </row>
        <row r="2010">
          <cell r="B2010" t="str">
            <v>MONTICELLO 1101654</v>
          </cell>
          <cell r="C2010">
            <v>43051101</v>
          </cell>
          <cell r="D2010" t="str">
            <v>MONTICELLO 1101</v>
          </cell>
          <cell r="E2010">
            <v>654</v>
          </cell>
          <cell r="F2010" t="b">
            <v>0</v>
          </cell>
          <cell r="G2010">
            <v>14047.931410454599</v>
          </cell>
          <cell r="H2010">
            <v>13220.1574455218</v>
          </cell>
          <cell r="I2010">
            <v>71</v>
          </cell>
          <cell r="J2010">
            <v>8.6927756263987594E-5</v>
          </cell>
          <cell r="K2010">
            <v>2013</v>
          </cell>
          <cell r="L2010">
            <v>576.64062868241297</v>
          </cell>
          <cell r="M2010">
            <v>1126</v>
          </cell>
          <cell r="N2010">
            <v>4.55465254234537E-2</v>
          </cell>
          <cell r="O2010">
            <v>1227</v>
          </cell>
          <cell r="P2010">
            <v>0.06</v>
          </cell>
          <cell r="Q2010">
            <v>1895</v>
          </cell>
        </row>
        <row r="2011">
          <cell r="B2011" t="str">
            <v>MONTICELLO 110165454</v>
          </cell>
          <cell r="C2011">
            <v>43051101</v>
          </cell>
          <cell r="D2011" t="str">
            <v>MONTICELLO 1101</v>
          </cell>
          <cell r="E2011">
            <v>65454</v>
          </cell>
          <cell r="F2011" t="b">
            <v>0</v>
          </cell>
          <cell r="G2011">
            <v>3114.2100708334401</v>
          </cell>
          <cell r="H2011">
            <v>2176.3171956775</v>
          </cell>
          <cell r="I2011">
            <v>23</v>
          </cell>
          <cell r="J2011">
            <v>6.0843731341225501E-5</v>
          </cell>
          <cell r="K2011">
            <v>2754</v>
          </cell>
          <cell r="L2011">
            <v>1192.01225183359</v>
          </cell>
          <cell r="M2011">
            <v>737</v>
          </cell>
          <cell r="N2011">
            <v>6.9593613864258094E-2</v>
          </cell>
          <cell r="O2011">
            <v>980</v>
          </cell>
          <cell r="P2011">
            <v>2.09</v>
          </cell>
          <cell r="Q2011">
            <v>622</v>
          </cell>
        </row>
        <row r="2012">
          <cell r="B2012" t="str">
            <v>MONTICELLO 1101666</v>
          </cell>
          <cell r="C2012">
            <v>43051101</v>
          </cell>
          <cell r="D2012" t="str">
            <v>MONTICELLO 1101</v>
          </cell>
          <cell r="E2012">
            <v>666</v>
          </cell>
          <cell r="F2012" t="b">
            <v>0</v>
          </cell>
          <cell r="G2012">
            <v>21923.706324533199</v>
          </cell>
          <cell r="H2012">
            <v>19462.335000821</v>
          </cell>
          <cell r="I2012">
            <v>90</v>
          </cell>
          <cell r="J2012">
            <v>5.9028643580758298E-5</v>
          </cell>
          <cell r="K2012">
            <v>2805</v>
          </cell>
          <cell r="L2012">
            <v>1514.7635128694999</v>
          </cell>
          <cell r="M2012">
            <v>588</v>
          </cell>
          <cell r="N2012">
            <v>9.2047581952386298E-2</v>
          </cell>
          <cell r="O2012">
            <v>815</v>
          </cell>
          <cell r="P2012">
            <v>0.87</v>
          </cell>
          <cell r="Q2012">
            <v>754</v>
          </cell>
        </row>
        <row r="2013">
          <cell r="B2013" t="str">
            <v>MONTICELLO 1101718</v>
          </cell>
          <cell r="C2013">
            <v>43051101</v>
          </cell>
          <cell r="D2013" t="str">
            <v>MONTICELLO 1101</v>
          </cell>
          <cell r="E2013">
            <v>718</v>
          </cell>
          <cell r="F2013" t="b">
            <v>0</v>
          </cell>
          <cell r="G2013">
            <v>47250.422549930801</v>
          </cell>
          <cell r="H2013">
            <v>43463.404119153201</v>
          </cell>
          <cell r="I2013">
            <v>247</v>
          </cell>
          <cell r="J2013">
            <v>6.3139122096112998E-5</v>
          </cell>
          <cell r="K2013">
            <v>2675</v>
          </cell>
          <cell r="L2013">
            <v>1440.3303517281399</v>
          </cell>
          <cell r="M2013">
            <v>618</v>
          </cell>
          <cell r="N2013">
            <v>9.9744434559323594E-2</v>
          </cell>
          <cell r="O2013">
            <v>766</v>
          </cell>
          <cell r="P2013">
            <v>0.18</v>
          </cell>
          <cell r="Q2013">
            <v>1211</v>
          </cell>
        </row>
        <row r="2014">
          <cell r="B2014" t="str">
            <v>MONTICELLO 1101720</v>
          </cell>
          <cell r="C2014">
            <v>43051101</v>
          </cell>
          <cell r="D2014" t="str">
            <v>MONTICELLO 1101</v>
          </cell>
          <cell r="E2014">
            <v>720</v>
          </cell>
          <cell r="F2014" t="b">
            <v>0</v>
          </cell>
          <cell r="G2014">
            <v>13087.774533563001</v>
          </cell>
          <cell r="H2014">
            <v>10923.657455357999</v>
          </cell>
          <cell r="I2014">
            <v>70</v>
          </cell>
          <cell r="J2014">
            <v>6.3429097177244596E-5</v>
          </cell>
          <cell r="K2014">
            <v>2663</v>
          </cell>
          <cell r="L2014">
            <v>2299.4315806575401</v>
          </cell>
          <cell r="M2014">
            <v>384</v>
          </cell>
          <cell r="N2014">
            <v>0.13529608347435099</v>
          </cell>
          <cell r="O2014">
            <v>584</v>
          </cell>
          <cell r="P2014">
            <v>2.79</v>
          </cell>
          <cell r="Q2014">
            <v>580</v>
          </cell>
        </row>
        <row r="2015">
          <cell r="B2015" t="str">
            <v>MONTICELLO 110193384</v>
          </cell>
          <cell r="C2015">
            <v>43051101</v>
          </cell>
          <cell r="D2015" t="str">
            <v>MONTICELLO 1101</v>
          </cell>
          <cell r="E2015">
            <v>93384</v>
          </cell>
          <cell r="F2015" t="b">
            <v>0</v>
          </cell>
          <cell r="G2015">
            <v>27406.032179394701</v>
          </cell>
          <cell r="H2015">
            <v>25967.219748544499</v>
          </cell>
          <cell r="I2015">
            <v>101</v>
          </cell>
          <cell r="J2015">
            <v>6.3629106800434893E-5</v>
          </cell>
          <cell r="K2015">
            <v>2660</v>
          </cell>
          <cell r="L2015">
            <v>1407.9794114409401</v>
          </cell>
          <cell r="M2015">
            <v>632</v>
          </cell>
          <cell r="N2015">
            <v>7.8583310407854795E-2</v>
          </cell>
          <cell r="O2015">
            <v>914</v>
          </cell>
          <cell r="P2015">
            <v>0.06</v>
          </cell>
          <cell r="Q2015">
            <v>1857</v>
          </cell>
        </row>
        <row r="2016">
          <cell r="B2016" t="str">
            <v>MONTICELLO 1101CB</v>
          </cell>
          <cell r="C2016">
            <v>43051101</v>
          </cell>
          <cell r="D2016" t="str">
            <v>MONTICELLO 1101</v>
          </cell>
          <cell r="E2016" t="str">
            <v>CB</v>
          </cell>
          <cell r="F2016" t="b">
            <v>1</v>
          </cell>
          <cell r="G2016">
            <v>859.90075846996103</v>
          </cell>
          <cell r="H2016">
            <v>859.90075846996103</v>
          </cell>
          <cell r="I2016">
            <v>5</v>
          </cell>
          <cell r="J2016">
            <v>1.08405271748779E-4</v>
          </cell>
          <cell r="K2016">
            <v>1440</v>
          </cell>
          <cell r="L2016">
            <v>866.065157868033</v>
          </cell>
          <cell r="M2016">
            <v>904</v>
          </cell>
          <cell r="N2016">
            <v>9.8273891594294102E-2</v>
          </cell>
          <cell r="O2016">
            <v>775</v>
          </cell>
          <cell r="P2016">
            <v>0.05</v>
          </cell>
          <cell r="Q2016">
            <v>1958</v>
          </cell>
        </row>
        <row r="2017">
          <cell r="B2017" t="str">
            <v>MORAGA 1101108540</v>
          </cell>
          <cell r="C2017">
            <v>13801101</v>
          </cell>
          <cell r="D2017" t="str">
            <v>MORAGA 1101</v>
          </cell>
          <cell r="E2017">
            <v>108540</v>
          </cell>
          <cell r="F2017" t="b">
            <v>0</v>
          </cell>
          <cell r="G2017">
            <v>7751.40899790208</v>
          </cell>
          <cell r="H2017">
            <v>7751.40899790208</v>
          </cell>
          <cell r="I2017">
            <v>44</v>
          </cell>
          <cell r="J2017">
            <v>1.05342566050901E-4</v>
          </cell>
          <cell r="K2017">
            <v>1511</v>
          </cell>
          <cell r="L2017">
            <v>10.868067180673901</v>
          </cell>
          <cell r="M2017">
            <v>2613</v>
          </cell>
          <cell r="N2017">
            <v>1.7169803383596E-3</v>
          </cell>
          <cell r="O2017">
            <v>2515</v>
          </cell>
          <cell r="P2017">
            <v>25</v>
          </cell>
          <cell r="Q2017">
            <v>274</v>
          </cell>
        </row>
        <row r="2018">
          <cell r="B2018" t="str">
            <v>MORAGA 1101669542</v>
          </cell>
          <cell r="C2018">
            <v>13801101</v>
          </cell>
          <cell r="D2018" t="str">
            <v>MORAGA 1101</v>
          </cell>
          <cell r="E2018">
            <v>669542</v>
          </cell>
          <cell r="F2018" t="b">
            <v>0</v>
          </cell>
          <cell r="G2018">
            <v>5668.7589384612302</v>
          </cell>
          <cell r="H2018">
            <v>5668.7589384612302</v>
          </cell>
          <cell r="I2018">
            <v>49</v>
          </cell>
          <cell r="J2018">
            <v>1.84734935197523E-4</v>
          </cell>
          <cell r="K2018">
            <v>476</v>
          </cell>
          <cell r="L2018">
            <v>4.4449109011505001</v>
          </cell>
          <cell r="M2018">
            <v>2769</v>
          </cell>
          <cell r="N2018">
            <v>8.3339602531227596E-4</v>
          </cell>
          <cell r="O2018">
            <v>2666</v>
          </cell>
          <cell r="Q2018">
            <v>2960</v>
          </cell>
        </row>
        <row r="2019">
          <cell r="B2019" t="str">
            <v>MORAGA 1101772781</v>
          </cell>
          <cell r="C2019">
            <v>13801101</v>
          </cell>
          <cell r="D2019" t="str">
            <v>MORAGA 1101</v>
          </cell>
          <cell r="E2019">
            <v>772781</v>
          </cell>
          <cell r="F2019" t="b">
            <v>0</v>
          </cell>
          <cell r="G2019">
            <v>2316.7744683083502</v>
          </cell>
          <cell r="H2019">
            <v>2316.7744683083502</v>
          </cell>
          <cell r="I2019">
            <v>12</v>
          </cell>
          <cell r="J2019">
            <v>1.7200913377261401E-4</v>
          </cell>
          <cell r="K2019">
            <v>551</v>
          </cell>
          <cell r="L2019">
            <v>85.343445228269701</v>
          </cell>
          <cell r="M2019">
            <v>2027</v>
          </cell>
          <cell r="N2019">
            <v>1.57662855906603E-2</v>
          </cell>
          <cell r="O2019">
            <v>1763</v>
          </cell>
          <cell r="Q2019">
            <v>3286</v>
          </cell>
        </row>
        <row r="2020">
          <cell r="B2020" t="str">
            <v>MORAGA 110183424</v>
          </cell>
          <cell r="C2020">
            <v>13801101</v>
          </cell>
          <cell r="D2020" t="str">
            <v>MORAGA 1101</v>
          </cell>
          <cell r="E2020">
            <v>83424</v>
          </cell>
          <cell r="F2020" t="b">
            <v>0</v>
          </cell>
          <cell r="G2020">
            <v>2603.9122173250698</v>
          </cell>
          <cell r="H2020">
            <v>2600.44856102521</v>
          </cell>
          <cell r="I2020">
            <v>7</v>
          </cell>
          <cell r="J2020">
            <v>1.89016929653007E-4</v>
          </cell>
          <cell r="K2020">
            <v>446</v>
          </cell>
          <cell r="L2020">
            <v>6.6248726380687004E-2</v>
          </cell>
          <cell r="M2020">
            <v>3161</v>
          </cell>
          <cell r="N2020">
            <v>1.25459730876998E-5</v>
          </cell>
          <cell r="O2020">
            <v>3030</v>
          </cell>
          <cell r="P2020">
            <v>8.82</v>
          </cell>
          <cell r="Q2020">
            <v>419</v>
          </cell>
        </row>
        <row r="2021">
          <cell r="B2021" t="str">
            <v>MORAGA 1101CB</v>
          </cell>
          <cell r="C2021">
            <v>13801101</v>
          </cell>
          <cell r="D2021" t="str">
            <v>MORAGA 1101</v>
          </cell>
          <cell r="E2021" t="str">
            <v>CB</v>
          </cell>
          <cell r="F2021" t="b">
            <v>0</v>
          </cell>
          <cell r="G2021">
            <v>14345.057296802101</v>
          </cell>
          <cell r="H2021">
            <v>13611.4013669914</v>
          </cell>
          <cell r="I2021">
            <v>92</v>
          </cell>
          <cell r="J2021">
            <v>1.17048965366448E-4</v>
          </cell>
          <cell r="K2021">
            <v>1247</v>
          </cell>
          <cell r="L2021">
            <v>67.285318630271405</v>
          </cell>
          <cell r="M2021">
            <v>2106</v>
          </cell>
          <cell r="N2021">
            <v>7.8811409431632298E-3</v>
          </cell>
          <cell r="O2021">
            <v>2053</v>
          </cell>
          <cell r="P2021">
            <v>0.43</v>
          </cell>
          <cell r="Q2021">
            <v>926</v>
          </cell>
        </row>
        <row r="2022">
          <cell r="B2022" t="str">
            <v>MORAGA 1102CB</v>
          </cell>
          <cell r="C2022">
            <v>13801102</v>
          </cell>
          <cell r="D2022" t="str">
            <v>MORAGA 1102</v>
          </cell>
          <cell r="E2022" t="str">
            <v>CB</v>
          </cell>
          <cell r="F2022" t="b">
            <v>0</v>
          </cell>
          <cell r="G2022">
            <v>14982.407597809</v>
          </cell>
          <cell r="H2022">
            <v>8539.8299840359305</v>
          </cell>
          <cell r="I2022">
            <v>130</v>
          </cell>
          <cell r="J2022">
            <v>9.08852197108711E-5</v>
          </cell>
          <cell r="K2022">
            <v>1886</v>
          </cell>
          <cell r="L2022">
            <v>25.775417707761001</v>
          </cell>
          <cell r="M2022">
            <v>2384</v>
          </cell>
          <cell r="N2022">
            <v>1.9722306594192902E-3</v>
          </cell>
          <cell r="O2022">
            <v>2480</v>
          </cell>
          <cell r="P2022">
            <v>0.62</v>
          </cell>
          <cell r="Q2022">
            <v>843</v>
          </cell>
        </row>
        <row r="2023">
          <cell r="B2023" t="str">
            <v>MORAGA 110381146</v>
          </cell>
          <cell r="C2023">
            <v>13801103</v>
          </cell>
          <cell r="D2023" t="str">
            <v>MORAGA 1103</v>
          </cell>
          <cell r="E2023">
            <v>81146</v>
          </cell>
          <cell r="F2023" t="b">
            <v>0</v>
          </cell>
          <cell r="G2023">
            <v>9033.4152027880391</v>
          </cell>
          <cell r="H2023">
            <v>1226.8592804810701</v>
          </cell>
          <cell r="I2023">
            <v>79</v>
          </cell>
          <cell r="J2023">
            <v>7.37822326611214E-5</v>
          </cell>
          <cell r="K2023">
            <v>2366</v>
          </cell>
          <cell r="L2023">
            <v>10.282031904045001</v>
          </cell>
          <cell r="M2023">
            <v>2621</v>
          </cell>
          <cell r="N2023">
            <v>4.5160812971435199E-4</v>
          </cell>
          <cell r="O2023">
            <v>2748</v>
          </cell>
          <cell r="P2023">
            <v>0.03</v>
          </cell>
          <cell r="Q2023">
            <v>2350</v>
          </cell>
        </row>
        <row r="2024">
          <cell r="B2024" t="str">
            <v>MORAGA 1103CB</v>
          </cell>
          <cell r="C2024">
            <v>13801103</v>
          </cell>
          <cell r="D2024" t="str">
            <v>MORAGA 1103</v>
          </cell>
          <cell r="E2024" t="str">
            <v>CB</v>
          </cell>
          <cell r="F2024" t="b">
            <v>0</v>
          </cell>
          <cell r="G2024">
            <v>10346.1129425166</v>
          </cell>
          <cell r="H2024">
            <v>2141.37084340301</v>
          </cell>
          <cell r="I2024">
            <v>82</v>
          </cell>
          <cell r="J2024">
            <v>8.1675836121931003E-5</v>
          </cell>
          <cell r="K2024">
            <v>2163</v>
          </cell>
          <cell r="L2024">
            <v>6.4363786915447099</v>
          </cell>
          <cell r="M2024">
            <v>2698</v>
          </cell>
          <cell r="N2024">
            <v>1.0058045031810601E-3</v>
          </cell>
          <cell r="O2024">
            <v>2631</v>
          </cell>
          <cell r="P2024">
            <v>0.06</v>
          </cell>
          <cell r="Q2024">
            <v>1846</v>
          </cell>
        </row>
        <row r="2025">
          <cell r="B2025" t="str">
            <v>MORAGA 1103E510R</v>
          </cell>
          <cell r="C2025">
            <v>13801103</v>
          </cell>
          <cell r="D2025" t="str">
            <v>MORAGA 1103</v>
          </cell>
          <cell r="E2025" t="str">
            <v>E510R</v>
          </cell>
          <cell r="F2025" t="b">
            <v>1</v>
          </cell>
          <cell r="G2025">
            <v>9824.4750186295296</v>
          </cell>
          <cell r="H2025">
            <v>807.83648473134099</v>
          </cell>
          <cell r="I2025">
            <v>84</v>
          </cell>
          <cell r="J2025">
            <v>6.4371332861074205E-5</v>
          </cell>
          <cell r="K2025">
            <v>2631</v>
          </cell>
          <cell r="L2025">
            <v>25.303035412822702</v>
          </cell>
          <cell r="M2025">
            <v>2388</v>
          </cell>
          <cell r="N2025">
            <v>1.7029385800773401E-3</v>
          </cell>
          <cell r="O2025">
            <v>2517</v>
          </cell>
          <cell r="P2025">
            <v>0.06</v>
          </cell>
          <cell r="Q2025">
            <v>1864</v>
          </cell>
        </row>
        <row r="2026">
          <cell r="B2026" t="str">
            <v>MORAGA 1104750618</v>
          </cell>
          <cell r="C2026">
            <v>13801104</v>
          </cell>
          <cell r="D2026" t="str">
            <v>MORAGA 1104</v>
          </cell>
          <cell r="E2026">
            <v>750618</v>
          </cell>
          <cell r="F2026" t="b">
            <v>0</v>
          </cell>
          <cell r="G2026">
            <v>1583.7148578542101</v>
          </cell>
          <cell r="H2026">
            <v>1538.3917155240599</v>
          </cell>
          <cell r="I2026">
            <v>13</v>
          </cell>
          <cell r="J2026">
            <v>5.3287224405861501E-5</v>
          </cell>
          <cell r="K2026">
            <v>2955</v>
          </cell>
          <cell r="L2026">
            <v>3.11046550123354</v>
          </cell>
          <cell r="M2026">
            <v>2807</v>
          </cell>
          <cell r="N2026">
            <v>1.8369541010290299E-4</v>
          </cell>
          <cell r="O2026">
            <v>2844</v>
          </cell>
          <cell r="Q2026">
            <v>2755</v>
          </cell>
        </row>
        <row r="2027">
          <cell r="B2027" t="str">
            <v>MORAGA 1104CB</v>
          </cell>
          <cell r="C2027">
            <v>13801104</v>
          </cell>
          <cell r="D2027" t="str">
            <v>MORAGA 1104</v>
          </cell>
          <cell r="E2027" t="str">
            <v>CB</v>
          </cell>
          <cell r="F2027" t="b">
            <v>0</v>
          </cell>
          <cell r="G2027">
            <v>25157.692285708901</v>
          </cell>
          <cell r="H2027">
            <v>15741.034417058199</v>
          </cell>
          <cell r="I2027">
            <v>214</v>
          </cell>
          <cell r="J2027">
            <v>7.9295296778990196E-5</v>
          </cell>
          <cell r="K2027">
            <v>2226</v>
          </cell>
          <cell r="L2027">
            <v>25.8955930917637</v>
          </cell>
          <cell r="M2027">
            <v>2379</v>
          </cell>
          <cell r="N2027">
            <v>1.81176834220853E-3</v>
          </cell>
          <cell r="O2027">
            <v>2502</v>
          </cell>
          <cell r="P2027">
            <v>0.19</v>
          </cell>
          <cell r="Q2027">
            <v>1192</v>
          </cell>
        </row>
        <row r="2028">
          <cell r="B2028" t="str">
            <v>MORAGA 1104N532R</v>
          </cell>
          <cell r="C2028">
            <v>13801104</v>
          </cell>
          <cell r="D2028" t="str">
            <v>MORAGA 1104</v>
          </cell>
          <cell r="E2028" t="str">
            <v>N532R</v>
          </cell>
          <cell r="F2028" t="b">
            <v>0</v>
          </cell>
          <cell r="G2028">
            <v>7429.2795537099601</v>
          </cell>
          <cell r="H2028">
            <v>5942.76202451274</v>
          </cell>
          <cell r="I2028">
            <v>65</v>
          </cell>
          <cell r="J2028">
            <v>9.0315450408804903E-5</v>
          </cell>
          <cell r="K2028">
            <v>1903</v>
          </cell>
          <cell r="L2028">
            <v>44.888477716703903</v>
          </cell>
          <cell r="M2028">
            <v>2247</v>
          </cell>
          <cell r="N2028">
            <v>4.2279774215804103E-3</v>
          </cell>
          <cell r="O2028">
            <v>2245</v>
          </cell>
          <cell r="P2028">
            <v>0.09</v>
          </cell>
          <cell r="Q2028">
            <v>1560</v>
          </cell>
        </row>
        <row r="2029">
          <cell r="B2029" t="str">
            <v>MORAGA 1105116034</v>
          </cell>
          <cell r="C2029">
            <v>13801105</v>
          </cell>
          <cell r="D2029" t="str">
            <v>MORAGA 1105</v>
          </cell>
          <cell r="E2029">
            <v>116034</v>
          </cell>
          <cell r="F2029" t="b">
            <v>1</v>
          </cell>
          <cell r="G2029">
            <v>4982.0058788891001</v>
          </cell>
          <cell r="H2029">
            <v>539.50911870541597</v>
          </cell>
          <cell r="I2029">
            <v>41</v>
          </cell>
          <cell r="J2029">
            <v>3.6154421916474197E-5</v>
          </cell>
          <cell r="K2029">
            <v>3332</v>
          </cell>
          <cell r="L2029">
            <v>6.5277913823764397E-2</v>
          </cell>
          <cell r="M2029">
            <v>3469</v>
          </cell>
          <cell r="N2029">
            <v>2.3640960662310001E-6</v>
          </cell>
          <cell r="O2029">
            <v>3476</v>
          </cell>
          <cell r="Q2029">
            <v>2713</v>
          </cell>
        </row>
        <row r="2030">
          <cell r="B2030" t="str">
            <v>MORAGA 110518396</v>
          </cell>
          <cell r="C2030">
            <v>13801105</v>
          </cell>
          <cell r="D2030" t="str">
            <v>MORAGA 1105</v>
          </cell>
          <cell r="E2030">
            <v>18396</v>
          </cell>
          <cell r="F2030" t="b">
            <v>1</v>
          </cell>
          <cell r="G2030">
            <v>1851.73267994208</v>
          </cell>
          <cell r="H2030">
            <v>293.28890890449799</v>
          </cell>
          <cell r="I2030">
            <v>16</v>
          </cell>
          <cell r="J2030">
            <v>3.5701669673926497E-5</v>
          </cell>
          <cell r="K2030">
            <v>3339</v>
          </cell>
          <cell r="L2030">
            <v>53.4956517755517</v>
          </cell>
          <cell r="M2030">
            <v>2191</v>
          </cell>
          <cell r="N2030">
            <v>3.8297894545356401E-3</v>
          </cell>
          <cell r="O2030">
            <v>2265</v>
          </cell>
          <cell r="P2030">
            <v>4.8</v>
          </cell>
          <cell r="Q2030">
            <v>506</v>
          </cell>
        </row>
        <row r="2031">
          <cell r="B2031" t="str">
            <v>MORAGA 110531512</v>
          </cell>
          <cell r="C2031">
            <v>13801105</v>
          </cell>
          <cell r="D2031" t="str">
            <v>MORAGA 1105</v>
          </cell>
          <cell r="E2031">
            <v>31512</v>
          </cell>
          <cell r="F2031" t="b">
            <v>1</v>
          </cell>
          <cell r="G2031">
            <v>3255.99308394527</v>
          </cell>
          <cell r="H2031">
            <v>0</v>
          </cell>
          <cell r="I2031">
            <v>29</v>
          </cell>
          <cell r="J2031">
            <v>2.8486417218589099E-5</v>
          </cell>
          <cell r="K2031">
            <v>3446</v>
          </cell>
          <cell r="L2031">
            <v>6.5148189744365495E-2</v>
          </cell>
          <cell r="M2031">
            <v>3589</v>
          </cell>
          <cell r="N2031">
            <v>1.85583851409381E-6</v>
          </cell>
          <cell r="O2031">
            <v>3521</v>
          </cell>
          <cell r="P2031">
            <v>6.49</v>
          </cell>
          <cell r="Q2031">
            <v>467</v>
          </cell>
        </row>
        <row r="2032">
          <cell r="B2032" t="str">
            <v>MORAGA 1105829530</v>
          </cell>
          <cell r="C2032">
            <v>13801105</v>
          </cell>
          <cell r="D2032" t="str">
            <v>MORAGA 1105</v>
          </cell>
          <cell r="E2032">
            <v>829530</v>
          </cell>
          <cell r="F2032" t="b">
            <v>0</v>
          </cell>
          <cell r="G2032">
            <v>4171.4476668314001</v>
          </cell>
          <cell r="H2032">
            <v>2687.7051070992802</v>
          </cell>
          <cell r="I2032">
            <v>32</v>
          </cell>
          <cell r="J2032">
            <v>7.4328721325400598E-5</v>
          </cell>
          <cell r="K2032">
            <v>2348</v>
          </cell>
          <cell r="L2032">
            <v>92.757266890441997</v>
          </cell>
          <cell r="M2032">
            <v>1991</v>
          </cell>
          <cell r="N2032">
            <v>4.7023663082746197E-3</v>
          </cell>
          <cell r="O2032">
            <v>2220</v>
          </cell>
          <cell r="Q2032">
            <v>3320</v>
          </cell>
        </row>
        <row r="2033">
          <cell r="B2033" t="str">
            <v>MORAGA 1105CB</v>
          </cell>
          <cell r="C2033">
            <v>13801105</v>
          </cell>
          <cell r="D2033" t="str">
            <v>MORAGA 1105</v>
          </cell>
          <cell r="E2033" t="str">
            <v>CB</v>
          </cell>
          <cell r="F2033" t="b">
            <v>0</v>
          </cell>
          <cell r="G2033">
            <v>17419.950571784801</v>
          </cell>
          <cell r="H2033">
            <v>9244.2641538707503</v>
          </cell>
          <cell r="I2033">
            <v>121</v>
          </cell>
          <cell r="J2033">
            <v>8.2773715397451201E-5</v>
          </cell>
          <cell r="K2033">
            <v>2137</v>
          </cell>
          <cell r="L2033">
            <v>22.498787168166899</v>
          </cell>
          <cell r="M2033">
            <v>2417</v>
          </cell>
          <cell r="N2033">
            <v>1.0780007053116699E-3</v>
          </cell>
          <cell r="O2033">
            <v>2619</v>
          </cell>
          <cell r="P2033">
            <v>36.92</v>
          </cell>
          <cell r="Q2033">
            <v>204</v>
          </cell>
        </row>
        <row r="2034">
          <cell r="B2034" t="str">
            <v>MORGAN HILL 2104152774</v>
          </cell>
          <cell r="C2034">
            <v>83242104</v>
          </cell>
          <cell r="D2034" t="str">
            <v>MORGAN HILL 2104</v>
          </cell>
          <cell r="E2034">
            <v>152774</v>
          </cell>
          <cell r="F2034" t="b">
            <v>0</v>
          </cell>
          <cell r="G2034">
            <v>12406.0754363416</v>
          </cell>
          <cell r="H2034">
            <v>10319.2603118633</v>
          </cell>
          <cell r="I2034">
            <v>84</v>
          </cell>
          <cell r="J2034">
            <v>6.2119786563903494E-5</v>
          </cell>
          <cell r="K2034">
            <v>2716</v>
          </cell>
          <cell r="L2034">
            <v>152.77822155134001</v>
          </cell>
          <cell r="M2034">
            <v>1769</v>
          </cell>
          <cell r="N2034">
            <v>8.1313715935189199E-3</v>
          </cell>
          <cell r="O2034">
            <v>2043</v>
          </cell>
          <cell r="Q2034">
            <v>2709</v>
          </cell>
        </row>
        <row r="2035">
          <cell r="B2035" t="str">
            <v>MORGAN HILL 2105345099</v>
          </cell>
          <cell r="C2035">
            <v>83242105</v>
          </cell>
          <cell r="D2035" t="str">
            <v>MORGAN HILL 2105</v>
          </cell>
          <cell r="E2035">
            <v>345099</v>
          </cell>
          <cell r="F2035" t="b">
            <v>1</v>
          </cell>
          <cell r="G2035">
            <v>497.39953073428597</v>
          </cell>
          <cell r="H2035">
            <v>293.32618546669897</v>
          </cell>
          <cell r="I2035">
            <v>5</v>
          </cell>
          <cell r="J2035">
            <v>2.4872480207704901E-5</v>
          </cell>
          <cell r="K2035">
            <v>3496</v>
          </cell>
          <cell r="L2035">
            <v>6.5403974056243902E-2</v>
          </cell>
          <cell r="M2035">
            <v>3416</v>
          </cell>
          <cell r="N2035">
            <v>1.6311996919322099E-6</v>
          </cell>
          <cell r="O2035">
            <v>3541</v>
          </cell>
          <cell r="Q2035">
            <v>3324</v>
          </cell>
        </row>
        <row r="2036">
          <cell r="B2036" t="str">
            <v>MORGAN HILL 2105375239</v>
          </cell>
          <cell r="C2036">
            <v>83242105</v>
          </cell>
          <cell r="D2036" t="str">
            <v>MORGAN HILL 2105</v>
          </cell>
          <cell r="E2036">
            <v>375239</v>
          </cell>
          <cell r="F2036" t="b">
            <v>1</v>
          </cell>
          <cell r="G2036">
            <v>343.54999442997001</v>
          </cell>
          <cell r="H2036">
            <v>145.16238001354401</v>
          </cell>
          <cell r="I2036">
            <v>4</v>
          </cell>
          <cell r="J2036">
            <v>2.5050796239156602E-5</v>
          </cell>
          <cell r="K2036">
            <v>3495</v>
          </cell>
          <cell r="L2036">
            <v>6.5468220040202099E-2</v>
          </cell>
          <cell r="M2036">
            <v>3385</v>
          </cell>
          <cell r="N2036">
            <v>1.64552456206419E-6</v>
          </cell>
          <cell r="O2036">
            <v>3540</v>
          </cell>
          <cell r="Q2036">
            <v>3299</v>
          </cell>
        </row>
        <row r="2037">
          <cell r="B2037" t="str">
            <v>MORGAN HILL 210542348</v>
          </cell>
          <cell r="C2037">
            <v>83242105</v>
          </cell>
          <cell r="D2037" t="str">
            <v>MORGAN HILL 2105</v>
          </cell>
          <cell r="E2037">
            <v>42348</v>
          </cell>
          <cell r="F2037" t="b">
            <v>0</v>
          </cell>
          <cell r="G2037">
            <v>5997.9979680525003</v>
          </cell>
          <cell r="H2037">
            <v>2160.8095681615901</v>
          </cell>
          <cell r="I2037">
            <v>53</v>
          </cell>
          <cell r="J2037">
            <v>6.8960774346775805E-5</v>
          </cell>
          <cell r="K2037">
            <v>2511</v>
          </cell>
          <cell r="L2037">
            <v>1015.3292288473</v>
          </cell>
          <cell r="M2037">
            <v>819</v>
          </cell>
          <cell r="N2037">
            <v>0.100365585346106</v>
          </cell>
          <cell r="O2037">
            <v>762</v>
          </cell>
          <cell r="P2037">
            <v>0.49</v>
          </cell>
          <cell r="Q2037">
            <v>895</v>
          </cell>
        </row>
        <row r="2038">
          <cell r="B2038" t="str">
            <v>MORGAN HILL 2105975388</v>
          </cell>
          <cell r="C2038">
            <v>83242105</v>
          </cell>
          <cell r="D2038" t="str">
            <v>MORGAN HILL 2105</v>
          </cell>
          <cell r="E2038">
            <v>975388</v>
          </cell>
          <cell r="F2038" t="b">
            <v>1</v>
          </cell>
          <cell r="G2038">
            <v>2101.0589197201002</v>
          </cell>
          <cell r="H2038">
            <v>775.22644985703903</v>
          </cell>
          <cell r="I2038">
            <v>18</v>
          </cell>
          <cell r="J2038">
            <v>4.0104730300406697E-5</v>
          </cell>
          <cell r="K2038">
            <v>3265</v>
          </cell>
          <cell r="L2038">
            <v>13.2566459543175</v>
          </cell>
          <cell r="M2038">
            <v>2567</v>
          </cell>
          <cell r="N2038">
            <v>1.00160382876566E-3</v>
          </cell>
          <cell r="O2038">
            <v>2635</v>
          </cell>
          <cell r="Q2038">
            <v>3242</v>
          </cell>
        </row>
        <row r="2039">
          <cell r="B2039" t="str">
            <v>MORGAN HILL 2105XR070</v>
          </cell>
          <cell r="C2039">
            <v>83242105</v>
          </cell>
          <cell r="D2039" t="str">
            <v>MORGAN HILL 2105</v>
          </cell>
          <cell r="E2039" t="str">
            <v>XR070</v>
          </cell>
          <cell r="F2039" t="b">
            <v>0</v>
          </cell>
          <cell r="G2039">
            <v>13972.8613976695</v>
          </cell>
          <cell r="H2039">
            <v>10519.5514339938</v>
          </cell>
          <cell r="I2039">
            <v>90</v>
          </cell>
          <cell r="J2039">
            <v>8.0053062831413806E-5</v>
          </cell>
          <cell r="K2039">
            <v>2203</v>
          </cell>
          <cell r="L2039">
            <v>1459.1171618185899</v>
          </cell>
          <cell r="M2039">
            <v>612</v>
          </cell>
          <cell r="N2039">
            <v>0.104734193936422</v>
          </cell>
          <cell r="O2039">
            <v>735</v>
          </cell>
          <cell r="P2039">
            <v>0.15</v>
          </cell>
          <cell r="Q2039">
            <v>1280</v>
          </cell>
        </row>
        <row r="2040">
          <cell r="B2040" t="str">
            <v>MORGAN HILL 2105XR152</v>
          </cell>
          <cell r="C2040">
            <v>83242105</v>
          </cell>
          <cell r="D2040" t="str">
            <v>MORGAN HILL 2105</v>
          </cell>
          <cell r="E2040" t="str">
            <v>XR152</v>
          </cell>
          <cell r="F2040" t="b">
            <v>0</v>
          </cell>
          <cell r="G2040">
            <v>20635.504793623601</v>
          </cell>
          <cell r="H2040">
            <v>14045.9027955235</v>
          </cell>
          <cell r="I2040">
            <v>156</v>
          </cell>
          <cell r="J2040">
            <v>8.0844171407079503E-5</v>
          </cell>
          <cell r="K2040">
            <v>2185</v>
          </cell>
          <cell r="L2040">
            <v>646.20647548197405</v>
          </cell>
          <cell r="M2040">
            <v>1069</v>
          </cell>
          <cell r="N2040">
            <v>5.4285496476387397E-2</v>
          </cell>
          <cell r="O2040">
            <v>1132</v>
          </cell>
          <cell r="P2040">
            <v>0.08</v>
          </cell>
          <cell r="Q2040">
            <v>1583</v>
          </cell>
        </row>
        <row r="2041">
          <cell r="B2041" t="str">
            <v>MORGAN HILL 2105XR176</v>
          </cell>
          <cell r="C2041">
            <v>83242105</v>
          </cell>
          <cell r="D2041" t="str">
            <v>MORGAN HILL 2105</v>
          </cell>
          <cell r="E2041" t="str">
            <v>XR176</v>
          </cell>
          <cell r="F2041" t="b">
            <v>0</v>
          </cell>
          <cell r="G2041">
            <v>44222.289793792501</v>
          </cell>
          <cell r="H2041">
            <v>36252.585192517603</v>
          </cell>
          <cell r="I2041">
            <v>309</v>
          </cell>
          <cell r="J2041">
            <v>8.4526148142473302E-5</v>
          </cell>
          <cell r="K2041">
            <v>2077</v>
          </cell>
          <cell r="L2041">
            <v>1005.22815441158</v>
          </cell>
          <cell r="M2041">
            <v>831</v>
          </cell>
          <cell r="N2041">
            <v>8.5689196290682695E-2</v>
          </cell>
          <cell r="O2041">
            <v>854</v>
          </cell>
          <cell r="P2041">
            <v>0.3</v>
          </cell>
          <cell r="Q2041">
            <v>1018</v>
          </cell>
        </row>
        <row r="2042">
          <cell r="B2042" t="str">
            <v>MORGAN HILL 2105XR268</v>
          </cell>
          <cell r="C2042">
            <v>83242105</v>
          </cell>
          <cell r="D2042" t="str">
            <v>MORGAN HILL 2105</v>
          </cell>
          <cell r="E2042" t="str">
            <v>XR268</v>
          </cell>
          <cell r="F2042" t="b">
            <v>0</v>
          </cell>
          <cell r="G2042">
            <v>12802.593650879</v>
          </cell>
          <cell r="H2042">
            <v>12802.593650879</v>
          </cell>
          <cell r="I2042">
            <v>61</v>
          </cell>
          <cell r="J2042">
            <v>1.1557080417005E-4</v>
          </cell>
          <cell r="K2042">
            <v>1284</v>
          </cell>
          <cell r="L2042">
            <v>557.54269477287198</v>
          </cell>
          <cell r="M2042">
            <v>1138</v>
          </cell>
          <cell r="N2042">
            <v>7.7595662212440394E-2</v>
          </cell>
          <cell r="O2042">
            <v>919</v>
          </cell>
          <cell r="P2042">
            <v>0.46</v>
          </cell>
          <cell r="Q2042">
            <v>913</v>
          </cell>
        </row>
        <row r="2043">
          <cell r="B2043" t="str">
            <v>MORGAN HILL 2105XR494</v>
          </cell>
          <cell r="C2043">
            <v>83242105</v>
          </cell>
          <cell r="D2043" t="str">
            <v>MORGAN HILL 2105</v>
          </cell>
          <cell r="E2043" t="str">
            <v>XR494</v>
          </cell>
          <cell r="F2043" t="b">
            <v>1</v>
          </cell>
          <cell r="G2043">
            <v>11814.5496388135</v>
          </cell>
          <cell r="H2043">
            <v>737.50515990983001</v>
          </cell>
          <cell r="I2043">
            <v>98</v>
          </cell>
          <cell r="J2043">
            <v>5.6427915728354297E-5</v>
          </cell>
          <cell r="K2043">
            <v>2877</v>
          </cell>
          <cell r="L2043">
            <v>82.046702677852295</v>
          </cell>
          <cell r="M2043">
            <v>2040</v>
          </cell>
          <cell r="N2043">
            <v>5.7504464664555098E-3</v>
          </cell>
          <cell r="O2043">
            <v>2165</v>
          </cell>
          <cell r="P2043">
            <v>0.04</v>
          </cell>
          <cell r="Q2043">
            <v>2167</v>
          </cell>
        </row>
        <row r="2044">
          <cell r="B2044" t="str">
            <v>MORGAN HILL 2105XR564</v>
          </cell>
          <cell r="C2044">
            <v>83242105</v>
          </cell>
          <cell r="D2044" t="str">
            <v>MORGAN HILL 2105</v>
          </cell>
          <cell r="E2044" t="str">
            <v>XR564</v>
          </cell>
          <cell r="F2044" t="b">
            <v>0</v>
          </cell>
          <cell r="G2044">
            <v>11653.800561690399</v>
          </cell>
          <cell r="H2044">
            <v>9126.85724415402</v>
          </cell>
          <cell r="I2044">
            <v>81</v>
          </cell>
          <cell r="J2044">
            <v>1.17301308159767E-4</v>
          </cell>
          <cell r="K2044">
            <v>1241</v>
          </cell>
          <cell r="L2044">
            <v>1539.4611828683201</v>
          </cell>
          <cell r="M2044">
            <v>583</v>
          </cell>
          <cell r="N2044">
            <v>0.16792358448792</v>
          </cell>
          <cell r="O2044">
            <v>444</v>
          </cell>
          <cell r="P2044">
            <v>0.06</v>
          </cell>
          <cell r="Q2044">
            <v>1891</v>
          </cell>
        </row>
        <row r="2045">
          <cell r="B2045" t="str">
            <v>MORGAN HILL 2105XR578</v>
          </cell>
          <cell r="C2045">
            <v>83242105</v>
          </cell>
          <cell r="D2045" t="str">
            <v>MORGAN HILL 2105</v>
          </cell>
          <cell r="E2045" t="str">
            <v>XR578</v>
          </cell>
          <cell r="F2045" t="b">
            <v>1</v>
          </cell>
          <cell r="G2045">
            <v>1108.6731683348501</v>
          </cell>
          <cell r="H2045">
            <v>261.06022077954702</v>
          </cell>
          <cell r="I2045">
            <v>12</v>
          </cell>
          <cell r="J2045">
            <v>5.1651873908061399E-5</v>
          </cell>
          <cell r="K2045">
            <v>3003</v>
          </cell>
          <cell r="L2045">
            <v>53.5212305871148</v>
          </cell>
          <cell r="M2045">
            <v>2190</v>
          </cell>
          <cell r="N2045">
            <v>5.0174403920573499E-3</v>
          </cell>
          <cell r="O2045">
            <v>2203</v>
          </cell>
          <cell r="P2045">
            <v>0.02</v>
          </cell>
          <cell r="Q2045">
            <v>2414</v>
          </cell>
        </row>
        <row r="2046">
          <cell r="B2046" t="str">
            <v>MORGAN HILL 2105XR602</v>
          </cell>
          <cell r="C2046">
            <v>83242105</v>
          </cell>
          <cell r="D2046" t="str">
            <v>MORGAN HILL 2105</v>
          </cell>
          <cell r="E2046" t="str">
            <v>XR602</v>
          </cell>
          <cell r="F2046" t="b">
            <v>1</v>
          </cell>
          <cell r="G2046">
            <v>1368.27783622174</v>
          </cell>
          <cell r="H2046">
            <v>391.36666132354901</v>
          </cell>
          <cell r="I2046">
            <v>13</v>
          </cell>
          <cell r="J2046">
            <v>8.4194728305402099E-5</v>
          </cell>
          <cell r="K2046">
            <v>2086</v>
          </cell>
          <cell r="L2046">
            <v>9.8269446165515806</v>
          </cell>
          <cell r="M2046">
            <v>2627</v>
          </cell>
          <cell r="N2046">
            <v>6.0529380840211697E-4</v>
          </cell>
          <cell r="O2046">
            <v>2706</v>
          </cell>
          <cell r="P2046">
            <v>0.03</v>
          </cell>
          <cell r="Q2046">
            <v>2240</v>
          </cell>
        </row>
        <row r="2047">
          <cell r="B2047" t="str">
            <v>MORGAN HILL 2106CB</v>
          </cell>
          <cell r="C2047">
            <v>83242106</v>
          </cell>
          <cell r="D2047" t="str">
            <v>MORGAN HILL 2106</v>
          </cell>
          <cell r="E2047" t="str">
            <v>CB</v>
          </cell>
          <cell r="F2047" t="b">
            <v>0</v>
          </cell>
          <cell r="G2047">
            <v>6247.2514366261203</v>
          </cell>
          <cell r="H2047">
            <v>1003.19797703545</v>
          </cell>
          <cell r="I2047">
            <v>47</v>
          </cell>
          <cell r="J2047">
            <v>4.8423594698972501E-5</v>
          </cell>
          <cell r="K2047">
            <v>3081</v>
          </cell>
          <cell r="L2047">
            <v>0.73811857069426301</v>
          </cell>
          <cell r="M2047">
            <v>2907</v>
          </cell>
          <cell r="N2047">
            <v>3.5183856084073902E-5</v>
          </cell>
          <cell r="O2047">
            <v>2919</v>
          </cell>
          <cell r="Q2047">
            <v>2772</v>
          </cell>
        </row>
        <row r="2048">
          <cell r="B2048" t="str">
            <v>MORGAN HILL 2109145998</v>
          </cell>
          <cell r="C2048">
            <v>83242109</v>
          </cell>
          <cell r="D2048" t="str">
            <v>MORGAN HILL 2109</v>
          </cell>
          <cell r="E2048">
            <v>145998</v>
          </cell>
          <cell r="F2048" t="b">
            <v>0</v>
          </cell>
          <cell r="G2048">
            <v>4112.6068926620901</v>
          </cell>
          <cell r="H2048">
            <v>4027.9660231469402</v>
          </cell>
          <cell r="I2048">
            <v>28</v>
          </cell>
          <cell r="J2048">
            <v>5.87874586861809E-5</v>
          </cell>
          <cell r="K2048">
            <v>2812</v>
          </cell>
          <cell r="L2048">
            <v>6.6294182200179394E-2</v>
          </cell>
          <cell r="M2048">
            <v>3151</v>
          </cell>
          <cell r="N2048">
            <v>3.8996820431340704E-6</v>
          </cell>
          <cell r="O2048">
            <v>3341</v>
          </cell>
          <cell r="Q2048">
            <v>2898</v>
          </cell>
        </row>
        <row r="2049">
          <cell r="B2049" t="str">
            <v>MORGAN HILL 2109XR246</v>
          </cell>
          <cell r="C2049">
            <v>83242109</v>
          </cell>
          <cell r="D2049" t="str">
            <v>MORGAN HILL 2109</v>
          </cell>
          <cell r="E2049" t="str">
            <v>XR246</v>
          </cell>
          <cell r="F2049" t="b">
            <v>1</v>
          </cell>
          <cell r="G2049">
            <v>6374.5348413114598</v>
          </cell>
          <cell r="H2049">
            <v>71.593249778761901</v>
          </cell>
          <cell r="I2049">
            <v>61</v>
          </cell>
          <cell r="J2049">
            <v>5.3027287724601501E-5</v>
          </cell>
          <cell r="K2049">
            <v>2967</v>
          </cell>
          <cell r="L2049">
            <v>6.51899590062925E-2</v>
          </cell>
          <cell r="M2049">
            <v>3521</v>
          </cell>
          <cell r="N2049">
            <v>3.4558924507438302E-6</v>
          </cell>
          <cell r="O2049">
            <v>3370</v>
          </cell>
          <cell r="Q2049">
            <v>3218</v>
          </cell>
        </row>
        <row r="2050">
          <cell r="B2050" t="str">
            <v>MORGAN HILL 2110654924</v>
          </cell>
          <cell r="C2050">
            <v>83242110</v>
          </cell>
          <cell r="D2050" t="str">
            <v>MORGAN HILL 2110</v>
          </cell>
          <cell r="E2050">
            <v>654924</v>
          </cell>
          <cell r="F2050" t="b">
            <v>0</v>
          </cell>
          <cell r="G2050">
            <v>8067.2123122864996</v>
          </cell>
          <cell r="H2050">
            <v>4423.0700685218098</v>
          </cell>
          <cell r="I2050">
            <v>61</v>
          </cell>
          <cell r="J2050">
            <v>8.0216779261703402E-5</v>
          </cell>
          <cell r="K2050">
            <v>2200</v>
          </cell>
          <cell r="L2050">
            <v>663.830258507709</v>
          </cell>
          <cell r="M2050">
            <v>1048</v>
          </cell>
          <cell r="N2050">
            <v>4.9343268679329401E-2</v>
          </cell>
          <cell r="O2050">
            <v>1184</v>
          </cell>
          <cell r="Q2050">
            <v>2692</v>
          </cell>
        </row>
        <row r="2051">
          <cell r="B2051" t="str">
            <v>MORGAN HILL 2110814616</v>
          </cell>
          <cell r="C2051">
            <v>83242110</v>
          </cell>
          <cell r="D2051" t="str">
            <v>MORGAN HILL 2110</v>
          </cell>
          <cell r="E2051">
            <v>814616</v>
          </cell>
          <cell r="F2051" t="b">
            <v>1</v>
          </cell>
          <cell r="G2051">
            <v>3902.69214436836</v>
          </cell>
          <cell r="H2051">
            <v>157.40148162527501</v>
          </cell>
          <cell r="I2051">
            <v>28</v>
          </cell>
          <cell r="J2051">
            <v>8.7257030145337894E-5</v>
          </cell>
          <cell r="K2051">
            <v>2006</v>
          </cell>
          <cell r="L2051">
            <v>602.33234869635498</v>
          </cell>
          <cell r="M2051">
            <v>1098</v>
          </cell>
          <cell r="N2051">
            <v>5.3408998522278102E-2</v>
          </cell>
          <cell r="O2051">
            <v>1141</v>
          </cell>
          <cell r="Q2051">
            <v>2683</v>
          </cell>
        </row>
        <row r="2052">
          <cell r="B2052" t="str">
            <v>MORGAN HILL 2110XR326</v>
          </cell>
          <cell r="C2052">
            <v>83242110</v>
          </cell>
          <cell r="D2052" t="str">
            <v>MORGAN HILL 2110</v>
          </cell>
          <cell r="E2052" t="str">
            <v>XR326</v>
          </cell>
          <cell r="F2052" t="b">
            <v>1</v>
          </cell>
          <cell r="G2052">
            <v>21948.0156132064</v>
          </cell>
          <cell r="H2052">
            <v>0</v>
          </cell>
          <cell r="I2052">
            <v>163</v>
          </cell>
          <cell r="J2052">
            <v>5.3862262819763301E-5</v>
          </cell>
          <cell r="K2052">
            <v>2945</v>
          </cell>
          <cell r="L2052">
            <v>6.5146990120410905E-2</v>
          </cell>
          <cell r="M2052">
            <v>3608</v>
          </cell>
          <cell r="N2052">
            <v>3.5089643037820901E-6</v>
          </cell>
          <cell r="O2052">
            <v>3366</v>
          </cell>
          <cell r="P2052">
            <v>0.04</v>
          </cell>
          <cell r="Q2052">
            <v>2188</v>
          </cell>
        </row>
        <row r="2053">
          <cell r="B2053" t="str">
            <v>MORGAN HILL 2111419718</v>
          </cell>
          <cell r="C2053">
            <v>83242111</v>
          </cell>
          <cell r="D2053" t="str">
            <v>MORGAN HILL 2111</v>
          </cell>
          <cell r="E2053">
            <v>419718</v>
          </cell>
          <cell r="F2053" t="b">
            <v>0</v>
          </cell>
          <cell r="G2053">
            <v>3649.8042301493601</v>
          </cell>
          <cell r="H2053">
            <v>3649.8042301493601</v>
          </cell>
          <cell r="I2053">
            <v>25</v>
          </cell>
          <cell r="J2053">
            <v>1.3422413076113999E-4</v>
          </cell>
          <cell r="K2053">
            <v>941</v>
          </cell>
          <cell r="L2053">
            <v>1.0173167439403501</v>
          </cell>
          <cell r="M2053">
            <v>2890</v>
          </cell>
          <cell r="N2053">
            <v>1.4689913861198501E-4</v>
          </cell>
          <cell r="O2053">
            <v>2858</v>
          </cell>
          <cell r="Q2053">
            <v>3248</v>
          </cell>
        </row>
        <row r="2054">
          <cell r="B2054" t="str">
            <v>MORGAN HILL 2111477914</v>
          </cell>
          <cell r="C2054">
            <v>83242111</v>
          </cell>
          <cell r="D2054" t="str">
            <v>MORGAN HILL 2111</v>
          </cell>
          <cell r="E2054">
            <v>477914</v>
          </cell>
          <cell r="F2054" t="b">
            <v>1</v>
          </cell>
          <cell r="G2054">
            <v>388.28831929898001</v>
          </cell>
          <cell r="H2054">
            <v>307.82905798506499</v>
          </cell>
          <cell r="I2054">
            <v>3</v>
          </cell>
          <cell r="J2054">
            <v>1.2284508435792899E-4</v>
          </cell>
          <cell r="K2054">
            <v>1135</v>
          </cell>
          <cell r="L2054">
            <v>285.163976820806</v>
          </cell>
          <cell r="M2054">
            <v>1467</v>
          </cell>
          <cell r="N2054">
            <v>1.7329145831969098E-2</v>
          </cell>
          <cell r="O2054">
            <v>1729</v>
          </cell>
          <cell r="Q2054">
            <v>3582</v>
          </cell>
        </row>
        <row r="2055">
          <cell r="B2055" t="str">
            <v>MORGAN HILL 2111940112</v>
          </cell>
          <cell r="C2055">
            <v>83242111</v>
          </cell>
          <cell r="D2055" t="str">
            <v>MORGAN HILL 2111</v>
          </cell>
          <cell r="E2055">
            <v>940112</v>
          </cell>
          <cell r="F2055" t="b">
            <v>1</v>
          </cell>
          <cell r="G2055">
            <v>489.73850478630402</v>
          </cell>
          <cell r="H2055">
            <v>455.02529330985999</v>
          </cell>
          <cell r="I2055">
            <v>2</v>
          </cell>
          <cell r="J2055">
            <v>5.8766807342180901E-5</v>
          </cell>
          <cell r="K2055">
            <v>2813</v>
          </cell>
          <cell r="L2055">
            <v>268.94892481341901</v>
          </cell>
          <cell r="M2055">
            <v>1500</v>
          </cell>
          <cell r="N2055">
            <v>2.3700659568388599E-2</v>
          </cell>
          <cell r="O2055">
            <v>1583</v>
          </cell>
          <cell r="Q2055">
            <v>3616</v>
          </cell>
        </row>
        <row r="2056">
          <cell r="B2056" t="str">
            <v>MORGAN HILL 2111CB</v>
          </cell>
          <cell r="C2056">
            <v>83242111</v>
          </cell>
          <cell r="D2056" t="str">
            <v>MORGAN HILL 2111</v>
          </cell>
          <cell r="E2056" t="str">
            <v>CB</v>
          </cell>
          <cell r="F2056" t="b">
            <v>1</v>
          </cell>
          <cell r="G2056">
            <v>3629.55446066481</v>
          </cell>
          <cell r="H2056">
            <v>353.00823908293597</v>
          </cell>
          <cell r="I2056">
            <v>38</v>
          </cell>
          <cell r="J2056">
            <v>5.0791718119095698E-5</v>
          </cell>
          <cell r="K2056">
            <v>3020</v>
          </cell>
          <cell r="L2056">
            <v>63.167996753399301</v>
          </cell>
          <cell r="M2056">
            <v>2135</v>
          </cell>
          <cell r="N2056">
            <v>4.3636005749904203E-3</v>
          </cell>
          <cell r="O2056">
            <v>2235</v>
          </cell>
          <cell r="P2056">
            <v>0.22</v>
          </cell>
          <cell r="Q2056">
            <v>1127</v>
          </cell>
        </row>
        <row r="2057">
          <cell r="B2057" t="str">
            <v>MORGAN HILL 2111XR186</v>
          </cell>
          <cell r="C2057">
            <v>83242111</v>
          </cell>
          <cell r="D2057" t="str">
            <v>MORGAN HILL 2111</v>
          </cell>
          <cell r="E2057" t="str">
            <v>XR186</v>
          </cell>
          <cell r="F2057" t="b">
            <v>0</v>
          </cell>
          <cell r="G2057">
            <v>25721.350486205902</v>
          </cell>
          <cell r="H2057">
            <v>4651.2538387840104</v>
          </cell>
          <cell r="I2057">
            <v>191</v>
          </cell>
          <cell r="J2057">
            <v>7.0622677800840007E-5</v>
          </cell>
          <cell r="K2057">
            <v>2453</v>
          </cell>
          <cell r="L2057">
            <v>451.67261844861702</v>
          </cell>
          <cell r="M2057">
            <v>1246</v>
          </cell>
          <cell r="N2057">
            <v>3.6035159057699502E-2</v>
          </cell>
          <cell r="O2057">
            <v>1353</v>
          </cell>
          <cell r="P2057">
            <v>0.23</v>
          </cell>
          <cell r="Q2057">
            <v>1109</v>
          </cell>
        </row>
        <row r="2058">
          <cell r="B2058" t="str">
            <v>MORGAN HILL 2111XR292</v>
          </cell>
          <cell r="C2058">
            <v>83242111</v>
          </cell>
          <cell r="D2058" t="str">
            <v>MORGAN HILL 2111</v>
          </cell>
          <cell r="E2058" t="str">
            <v>XR292</v>
          </cell>
          <cell r="F2058" t="b">
            <v>0</v>
          </cell>
          <cell r="G2058">
            <v>19536.814679201299</v>
          </cell>
          <cell r="H2058">
            <v>17975.922055343301</v>
          </cell>
          <cell r="I2058">
            <v>130</v>
          </cell>
          <cell r="J2058">
            <v>6.4726122844569102E-5</v>
          </cell>
          <cell r="K2058">
            <v>2615</v>
          </cell>
          <cell r="L2058">
            <v>181.51726232278801</v>
          </cell>
          <cell r="M2058">
            <v>1680</v>
          </cell>
          <cell r="N2058">
            <v>9.8996206401076696E-3</v>
          </cell>
          <cell r="O2058">
            <v>1962</v>
          </cell>
          <cell r="P2058">
            <v>0.15</v>
          </cell>
          <cell r="Q2058">
            <v>1292</v>
          </cell>
        </row>
        <row r="2059">
          <cell r="B2059" t="str">
            <v>MORGAN HILL 2111XR398</v>
          </cell>
          <cell r="C2059">
            <v>83242111</v>
          </cell>
          <cell r="D2059" t="str">
            <v>MORGAN HILL 2111</v>
          </cell>
          <cell r="E2059" t="str">
            <v>XR398</v>
          </cell>
          <cell r="F2059" t="b">
            <v>0</v>
          </cell>
          <cell r="G2059">
            <v>63835.514717926701</v>
          </cell>
          <cell r="H2059">
            <v>60665.529203835598</v>
          </cell>
          <cell r="I2059">
            <v>341</v>
          </cell>
          <cell r="J2059">
            <v>8.3662802861748302E-5</v>
          </cell>
          <cell r="K2059">
            <v>2103</v>
          </cell>
          <cell r="L2059">
            <v>945.24507529975403</v>
          </cell>
          <cell r="M2059">
            <v>864</v>
          </cell>
          <cell r="N2059">
            <v>8.0766028333942794E-2</v>
          </cell>
          <cell r="O2059">
            <v>891</v>
          </cell>
          <cell r="P2059">
            <v>0.67</v>
          </cell>
          <cell r="Q2059">
            <v>814</v>
          </cell>
        </row>
        <row r="2060">
          <cell r="B2060" t="str">
            <v>MORRO BAY 11013487</v>
          </cell>
          <cell r="C2060">
            <v>183011101</v>
          </cell>
          <cell r="D2060" t="str">
            <v>MORRO BAY 1101</v>
          </cell>
          <cell r="E2060">
            <v>3487</v>
          </cell>
          <cell r="F2060" t="b">
            <v>1</v>
          </cell>
          <cell r="G2060">
            <v>2909.5779610925301</v>
          </cell>
          <cell r="H2060">
            <v>0</v>
          </cell>
          <cell r="I2060">
            <v>20</v>
          </cell>
          <cell r="J2060">
            <v>1.9374499714785899E-5</v>
          </cell>
          <cell r="K2060">
            <v>3547</v>
          </cell>
          <cell r="L2060">
            <v>6.5146990120410905E-2</v>
          </cell>
          <cell r="M2060">
            <v>3626</v>
          </cell>
          <cell r="N2060">
            <v>1.2621903415070599E-6</v>
          </cell>
          <cell r="O2060">
            <v>3565</v>
          </cell>
          <cell r="Q2060">
            <v>3359</v>
          </cell>
        </row>
        <row r="2061">
          <cell r="B2061" t="str">
            <v>MORRO BAY 1101CB</v>
          </cell>
          <cell r="C2061">
            <v>183011101</v>
          </cell>
          <cell r="D2061" t="str">
            <v>MORRO BAY 1101</v>
          </cell>
          <cell r="E2061" t="str">
            <v>CB</v>
          </cell>
          <cell r="F2061" t="b">
            <v>1</v>
          </cell>
          <cell r="G2061">
            <v>3472.0335005428001</v>
          </cell>
          <cell r="H2061">
            <v>0</v>
          </cell>
          <cell r="I2061">
            <v>28</v>
          </cell>
          <cell r="J2061">
            <v>1.2295575430698499E-5</v>
          </cell>
          <cell r="K2061">
            <v>3606</v>
          </cell>
          <cell r="L2061">
            <v>6.5146990120410905E-2</v>
          </cell>
          <cell r="M2061">
            <v>3624</v>
          </cell>
          <cell r="N2061">
            <v>8.0101973110848802E-7</v>
          </cell>
          <cell r="O2061">
            <v>3610</v>
          </cell>
          <cell r="P2061">
            <v>0.02</v>
          </cell>
          <cell r="Q2061">
            <v>2412</v>
          </cell>
        </row>
        <row r="2062">
          <cell r="B2062" t="str">
            <v>MORRO BAY 1101V66</v>
          </cell>
          <cell r="C2062">
            <v>183011101</v>
          </cell>
          <cell r="D2062" t="str">
            <v>MORRO BAY 1101</v>
          </cell>
          <cell r="E2062" t="str">
            <v>V66</v>
          </cell>
          <cell r="F2062" t="b">
            <v>0</v>
          </cell>
          <cell r="G2062">
            <v>26099.454053356199</v>
          </cell>
          <cell r="H2062">
            <v>5840.0699637446696</v>
          </cell>
          <cell r="I2062">
            <v>151</v>
          </cell>
          <cell r="J2062">
            <v>5.4938684115768397E-5</v>
          </cell>
          <cell r="K2062">
            <v>2915</v>
          </cell>
          <cell r="L2062">
            <v>48.8235598015074</v>
          </cell>
          <cell r="M2062">
            <v>2216</v>
          </cell>
          <cell r="N2062">
            <v>2.5702828997080998E-3</v>
          </cell>
          <cell r="O2062">
            <v>2402</v>
          </cell>
          <cell r="P2062">
            <v>0.03</v>
          </cell>
          <cell r="Q2062">
            <v>2264</v>
          </cell>
        </row>
        <row r="2063">
          <cell r="B2063" t="str">
            <v>MORRO BAY 1101W04</v>
          </cell>
          <cell r="C2063">
            <v>183011101</v>
          </cell>
          <cell r="D2063" t="str">
            <v>MORRO BAY 1101</v>
          </cell>
          <cell r="E2063" t="str">
            <v>W04</v>
          </cell>
          <cell r="F2063" t="b">
            <v>1</v>
          </cell>
          <cell r="G2063">
            <v>3941.4804352301999</v>
          </cell>
          <cell r="H2063">
            <v>437.24412801648498</v>
          </cell>
          <cell r="I2063">
            <v>26</v>
          </cell>
          <cell r="J2063">
            <v>3.5980621805720102E-6</v>
          </cell>
          <cell r="K2063">
            <v>3634</v>
          </cell>
          <cell r="L2063">
            <v>6.5146990120410905E-2</v>
          </cell>
          <cell r="M2063">
            <v>3634</v>
          </cell>
          <cell r="N2063">
            <v>2.3440292133034901E-7</v>
          </cell>
          <cell r="O2063">
            <v>3634</v>
          </cell>
          <cell r="Q2063">
            <v>3060</v>
          </cell>
        </row>
        <row r="2064">
          <cell r="B2064" t="str">
            <v>MORRO BAY 1101W20</v>
          </cell>
          <cell r="C2064">
            <v>183011101</v>
          </cell>
          <cell r="D2064" t="str">
            <v>MORRO BAY 1101</v>
          </cell>
          <cell r="E2064" t="str">
            <v>W20</v>
          </cell>
          <cell r="F2064" t="b">
            <v>0</v>
          </cell>
          <cell r="G2064">
            <v>6313.36059208388</v>
          </cell>
          <cell r="H2064">
            <v>3551.7375521917102</v>
          </cell>
          <cell r="I2064">
            <v>48</v>
          </cell>
          <cell r="J2064">
            <v>4.0736354456782899E-5</v>
          </cell>
          <cell r="K2064">
            <v>3252</v>
          </cell>
          <cell r="L2064">
            <v>28.771792709516902</v>
          </cell>
          <cell r="M2064">
            <v>2351</v>
          </cell>
          <cell r="N2064">
            <v>2.1356550565528498E-3</v>
          </cell>
          <cell r="O2064">
            <v>2463</v>
          </cell>
          <cell r="P2064">
            <v>0.02</v>
          </cell>
          <cell r="Q2064">
            <v>2548</v>
          </cell>
        </row>
        <row r="2065">
          <cell r="B2065" t="str">
            <v>MORRO BAY 1102868170</v>
          </cell>
          <cell r="C2065">
            <v>183011102</v>
          </cell>
          <cell r="D2065" t="str">
            <v>MORRO BAY 1102</v>
          </cell>
          <cell r="E2065">
            <v>868170</v>
          </cell>
          <cell r="F2065" t="b">
            <v>0</v>
          </cell>
          <cell r="G2065">
            <v>15451.707116703499</v>
          </cell>
          <cell r="H2065">
            <v>14595.2194287853</v>
          </cell>
          <cell r="I2065">
            <v>59</v>
          </cell>
          <cell r="J2065">
            <v>3.8100276218469102E-5</v>
          </cell>
          <cell r="K2065">
            <v>3298</v>
          </cell>
          <cell r="L2065">
            <v>52.909749550208197</v>
          </cell>
          <cell r="M2065">
            <v>2197</v>
          </cell>
          <cell r="N2065">
            <v>2.0479383966325601E-3</v>
          </cell>
          <cell r="O2065">
            <v>2471</v>
          </cell>
          <cell r="Q2065">
            <v>2853</v>
          </cell>
        </row>
        <row r="2066">
          <cell r="B2066" t="str">
            <v>MORRO BAY 1102CB</v>
          </cell>
          <cell r="C2066">
            <v>183011102</v>
          </cell>
          <cell r="D2066" t="str">
            <v>MORRO BAY 1102</v>
          </cell>
          <cell r="E2066" t="str">
            <v>CB</v>
          </cell>
          <cell r="F2066" t="b">
            <v>0</v>
          </cell>
          <cell r="G2066">
            <v>8911.8997424348199</v>
          </cell>
          <cell r="H2066">
            <v>7279.8497564120898</v>
          </cell>
          <cell r="I2066">
            <v>36</v>
          </cell>
          <cell r="J2066">
            <v>3.3044328366334697E-5</v>
          </cell>
          <cell r="K2066">
            <v>3385</v>
          </cell>
          <cell r="L2066">
            <v>43.259167659820697</v>
          </cell>
          <cell r="M2066">
            <v>2258</v>
          </cell>
          <cell r="N2066">
            <v>2.5798503067510398E-3</v>
          </cell>
          <cell r="O2066">
            <v>2399</v>
          </cell>
          <cell r="P2066">
            <v>0.04</v>
          </cell>
          <cell r="Q2066">
            <v>2119</v>
          </cell>
        </row>
        <row r="2067">
          <cell r="B2067" t="str">
            <v>MORRO BAY 1102V80</v>
          </cell>
          <cell r="C2067">
            <v>183011102</v>
          </cell>
          <cell r="D2067" t="str">
            <v>MORRO BAY 1102</v>
          </cell>
          <cell r="E2067" t="str">
            <v>V80</v>
          </cell>
          <cell r="F2067" t="b">
            <v>1</v>
          </cell>
          <cell r="G2067">
            <v>3197.8947619872301</v>
          </cell>
          <cell r="H2067">
            <v>222.75189376570299</v>
          </cell>
          <cell r="I2067">
            <v>28</v>
          </cell>
          <cell r="J2067">
            <v>1.8566680799787199E-5</v>
          </cell>
          <cell r="K2067">
            <v>3557</v>
          </cell>
          <cell r="L2067">
            <v>6.5192880108952495E-2</v>
          </cell>
          <cell r="M2067">
            <v>3516</v>
          </cell>
          <cell r="N2067">
            <v>1.21209324012274E-6</v>
          </cell>
          <cell r="O2067">
            <v>3573</v>
          </cell>
          <cell r="Q2067">
            <v>2973</v>
          </cell>
        </row>
        <row r="2068">
          <cell r="B2068" t="str">
            <v>MORRO BAY 1102V84</v>
          </cell>
          <cell r="C2068">
            <v>183011102</v>
          </cell>
          <cell r="D2068" t="str">
            <v>MORRO BAY 1102</v>
          </cell>
          <cell r="E2068" t="str">
            <v>V84</v>
          </cell>
          <cell r="F2068" t="b">
            <v>1</v>
          </cell>
          <cell r="G2068">
            <v>15879.952102384799</v>
          </cell>
          <cell r="H2068">
            <v>369.78367936873798</v>
          </cell>
          <cell r="I2068">
            <v>126</v>
          </cell>
          <cell r="J2068">
            <v>7.2114933303284502E-6</v>
          </cell>
          <cell r="K2068">
            <v>3627</v>
          </cell>
          <cell r="L2068">
            <v>0.37922858979020801</v>
          </cell>
          <cell r="M2068">
            <v>2921</v>
          </cell>
          <cell r="N2068">
            <v>2.1832025988761199E-5</v>
          </cell>
          <cell r="O2068">
            <v>2959</v>
          </cell>
          <cell r="Q2068">
            <v>2861</v>
          </cell>
        </row>
        <row r="2069">
          <cell r="B2069" t="str">
            <v>MORRO BAY 1102W22</v>
          </cell>
          <cell r="C2069">
            <v>183011102</v>
          </cell>
          <cell r="D2069" t="str">
            <v>MORRO BAY 1102</v>
          </cell>
          <cell r="E2069" t="str">
            <v>W22</v>
          </cell>
          <cell r="F2069" t="b">
            <v>0</v>
          </cell>
          <cell r="G2069">
            <v>10106.459832111699</v>
          </cell>
          <cell r="H2069">
            <v>4174.22893922603</v>
          </cell>
          <cell r="I2069">
            <v>85</v>
          </cell>
          <cell r="J2069">
            <v>1.45099811106774E-5</v>
          </cell>
          <cell r="K2069">
            <v>3590</v>
          </cell>
          <cell r="L2069">
            <v>6.5660957992076802E-2</v>
          </cell>
          <cell r="M2069">
            <v>3323</v>
          </cell>
          <cell r="N2069">
            <v>9.5876999096966195E-7</v>
          </cell>
          <cell r="O2069">
            <v>3594</v>
          </cell>
          <cell r="P2069">
            <v>0.1</v>
          </cell>
          <cell r="Q2069">
            <v>1467</v>
          </cell>
        </row>
        <row r="2070">
          <cell r="B2070" t="str">
            <v>MORRO BAY 1102W34</v>
          </cell>
          <cell r="C2070">
            <v>183011102</v>
          </cell>
          <cell r="D2070" t="str">
            <v>MORRO BAY 1102</v>
          </cell>
          <cell r="E2070" t="str">
            <v>W34</v>
          </cell>
          <cell r="F2070" t="b">
            <v>0</v>
          </cell>
          <cell r="G2070">
            <v>15456.5207812966</v>
          </cell>
          <cell r="H2070">
            <v>12223.0154371073</v>
          </cell>
          <cell r="I2070">
            <v>112</v>
          </cell>
          <cell r="J2070">
            <v>3.8291189813069799E-5</v>
          </cell>
          <cell r="K2070">
            <v>3294</v>
          </cell>
          <cell r="L2070">
            <v>31.247070295004399</v>
          </cell>
          <cell r="M2070">
            <v>2337</v>
          </cell>
          <cell r="N2070">
            <v>1.25841056208229E-3</v>
          </cell>
          <cell r="O2070">
            <v>2590</v>
          </cell>
          <cell r="Q2070">
            <v>2657</v>
          </cell>
        </row>
        <row r="2071">
          <cell r="B2071" t="str">
            <v>MOUNTAIN QUARRIES 21011102</v>
          </cell>
          <cell r="C2071">
            <v>152282101</v>
          </cell>
          <cell r="D2071" t="str">
            <v>MOUNTAIN QUARRIES 2101</v>
          </cell>
          <cell r="E2071">
            <v>1102</v>
          </cell>
          <cell r="F2071" t="b">
            <v>0</v>
          </cell>
          <cell r="G2071">
            <v>69889.601505907704</v>
          </cell>
          <cell r="H2071">
            <v>69889.601505907704</v>
          </cell>
          <cell r="I2071">
            <v>431</v>
          </cell>
          <cell r="J2071">
            <v>1.08031852092306E-4</v>
          </cell>
          <cell r="K2071">
            <v>1451</v>
          </cell>
          <cell r="L2071">
            <v>1375.9558626352</v>
          </cell>
          <cell r="M2071">
            <v>650</v>
          </cell>
          <cell r="N2071">
            <v>0.14479063599129499</v>
          </cell>
          <cell r="O2071">
            <v>548</v>
          </cell>
          <cell r="P2071">
            <v>0.21</v>
          </cell>
          <cell r="Q2071">
            <v>1154</v>
          </cell>
        </row>
        <row r="2072">
          <cell r="B2072" t="str">
            <v>MOUNTAIN QUARRIES 21011130</v>
          </cell>
          <cell r="C2072">
            <v>152282101</v>
          </cell>
          <cell r="D2072" t="str">
            <v>MOUNTAIN QUARRIES 2101</v>
          </cell>
          <cell r="E2072">
            <v>1130</v>
          </cell>
          <cell r="F2072" t="b">
            <v>0</v>
          </cell>
          <cell r="G2072">
            <v>32234.929431376699</v>
          </cell>
          <cell r="H2072">
            <v>32234.929431376699</v>
          </cell>
          <cell r="I2072">
            <v>231</v>
          </cell>
          <cell r="J2072">
            <v>8.1216734487616496E-5</v>
          </cell>
          <cell r="K2072">
            <v>2177</v>
          </cell>
          <cell r="L2072">
            <v>401.38280332018701</v>
          </cell>
          <cell r="M2072">
            <v>1295</v>
          </cell>
          <cell r="N2072">
            <v>3.1834443730993499E-2</v>
          </cell>
          <cell r="O2072">
            <v>1433</v>
          </cell>
          <cell r="P2072">
            <v>0.19</v>
          </cell>
          <cell r="Q2072">
            <v>1198</v>
          </cell>
        </row>
        <row r="2073">
          <cell r="B2073" t="str">
            <v>MOUNTAIN QUARRIES 21011180</v>
          </cell>
          <cell r="C2073">
            <v>152282101</v>
          </cell>
          <cell r="D2073" t="str">
            <v>MOUNTAIN QUARRIES 2101</v>
          </cell>
          <cell r="E2073">
            <v>1180</v>
          </cell>
          <cell r="F2073" t="b">
            <v>0</v>
          </cell>
          <cell r="G2073">
            <v>20847.2085962899</v>
          </cell>
          <cell r="H2073">
            <v>20847.2085962899</v>
          </cell>
          <cell r="I2073">
            <v>141</v>
          </cell>
          <cell r="J2073">
            <v>1.25249293352087E-4</v>
          </cell>
          <cell r="K2073">
            <v>1094</v>
          </cell>
          <cell r="L2073">
            <v>118.904544140453</v>
          </cell>
          <cell r="M2073">
            <v>1874</v>
          </cell>
          <cell r="N2073">
            <v>2.0770918623991899E-2</v>
          </cell>
          <cell r="O2073">
            <v>1656</v>
          </cell>
          <cell r="P2073">
            <v>0.11</v>
          </cell>
          <cell r="Q2073">
            <v>1417</v>
          </cell>
        </row>
        <row r="2074">
          <cell r="B2074" t="str">
            <v>MOUNTAIN QUARRIES 21011184</v>
          </cell>
          <cell r="C2074">
            <v>152282101</v>
          </cell>
          <cell r="D2074" t="str">
            <v>MOUNTAIN QUARRIES 2101</v>
          </cell>
          <cell r="E2074">
            <v>1184</v>
          </cell>
          <cell r="F2074" t="b">
            <v>0</v>
          </cell>
          <cell r="G2074">
            <v>18935.634053086</v>
          </cell>
          <cell r="H2074">
            <v>18820.606832601901</v>
          </cell>
          <cell r="I2074">
            <v>136</v>
          </cell>
          <cell r="J2074">
            <v>1.6371531736534501E-4</v>
          </cell>
          <cell r="K2074">
            <v>603</v>
          </cell>
          <cell r="L2074">
            <v>34.786402501443497</v>
          </cell>
          <cell r="M2074">
            <v>2309</v>
          </cell>
          <cell r="N2074">
            <v>4.8402858443861102E-3</v>
          </cell>
          <cell r="O2074">
            <v>2212</v>
          </cell>
          <cell r="P2074">
            <v>54.38</v>
          </cell>
          <cell r="Q2074">
            <v>107</v>
          </cell>
        </row>
        <row r="2075">
          <cell r="B2075" t="str">
            <v>MOUNTAIN QUARRIES 21011346</v>
          </cell>
          <cell r="C2075">
            <v>152282101</v>
          </cell>
          <cell r="D2075" t="str">
            <v>MOUNTAIN QUARRIES 2101</v>
          </cell>
          <cell r="E2075">
            <v>1346</v>
          </cell>
          <cell r="F2075" t="b">
            <v>0</v>
          </cell>
          <cell r="G2075">
            <v>49591.662236873897</v>
          </cell>
          <cell r="H2075">
            <v>49591.662236873897</v>
          </cell>
          <cell r="I2075">
            <v>410</v>
          </cell>
          <cell r="J2075">
            <v>1.21990328328293E-4</v>
          </cell>
          <cell r="K2075">
            <v>1148</v>
          </cell>
          <cell r="L2075">
            <v>241.28512134109701</v>
          </cell>
          <cell r="M2075">
            <v>1564</v>
          </cell>
          <cell r="N2075">
            <v>3.5841047647752998E-2</v>
          </cell>
          <cell r="O2075">
            <v>1357</v>
          </cell>
          <cell r="P2075">
            <v>0.17</v>
          </cell>
          <cell r="Q2075">
            <v>1232</v>
          </cell>
        </row>
        <row r="2076">
          <cell r="B2076" t="str">
            <v>MOUNTAIN QUARRIES 21011350</v>
          </cell>
          <cell r="C2076">
            <v>152282101</v>
          </cell>
          <cell r="D2076" t="str">
            <v>MOUNTAIN QUARRIES 2101</v>
          </cell>
          <cell r="E2076">
            <v>1350</v>
          </cell>
          <cell r="F2076" t="b">
            <v>0</v>
          </cell>
          <cell r="G2076">
            <v>34999.9270745143</v>
          </cell>
          <cell r="H2076">
            <v>34999.9270745143</v>
          </cell>
          <cell r="I2076">
            <v>212</v>
          </cell>
          <cell r="J2076">
            <v>1.53706490417492E-4</v>
          </cell>
          <cell r="K2076">
            <v>714</v>
          </cell>
          <cell r="L2076">
            <v>2128.0484328505599</v>
          </cell>
          <cell r="M2076">
            <v>418</v>
          </cell>
          <cell r="N2076">
            <v>0.27537398929360501</v>
          </cell>
          <cell r="O2076">
            <v>169</v>
          </cell>
          <cell r="P2076">
            <v>0.14000000000000001</v>
          </cell>
          <cell r="Q2076">
            <v>1328</v>
          </cell>
        </row>
        <row r="2077">
          <cell r="B2077" t="str">
            <v>MOUNTAIN QUARRIES 21012422</v>
          </cell>
          <cell r="C2077">
            <v>152282101</v>
          </cell>
          <cell r="D2077" t="str">
            <v>MOUNTAIN QUARRIES 2101</v>
          </cell>
          <cell r="E2077">
            <v>2422</v>
          </cell>
          <cell r="F2077" t="b">
            <v>0</v>
          </cell>
          <cell r="G2077">
            <v>13951.5772444876</v>
          </cell>
          <cell r="H2077">
            <v>13951.5772444876</v>
          </cell>
          <cell r="I2077">
            <v>81</v>
          </cell>
          <cell r="J2077">
            <v>1.21991171772606E-4</v>
          </cell>
          <cell r="K2077">
            <v>1147</v>
          </cell>
          <cell r="L2077">
            <v>229.804514584967</v>
          </cell>
          <cell r="M2077">
            <v>1587</v>
          </cell>
          <cell r="N2077">
            <v>1.8042786763987601E-2</v>
          </cell>
          <cell r="O2077">
            <v>1706</v>
          </cell>
          <cell r="P2077">
            <v>7.0000000000000007E-2</v>
          </cell>
          <cell r="Q2077">
            <v>1676</v>
          </cell>
        </row>
        <row r="2078">
          <cell r="B2078" t="str">
            <v>MOUNTAIN QUARRIES 210135466</v>
          </cell>
          <cell r="C2078">
            <v>152282101</v>
          </cell>
          <cell r="D2078" t="str">
            <v>MOUNTAIN QUARRIES 2101</v>
          </cell>
          <cell r="E2078">
            <v>35466</v>
          </cell>
          <cell r="F2078" t="b">
            <v>0</v>
          </cell>
          <cell r="G2078">
            <v>11836.661808823101</v>
          </cell>
          <cell r="H2078">
            <v>11836.661808823101</v>
          </cell>
          <cell r="I2078">
            <v>82</v>
          </cell>
          <cell r="J2078">
            <v>1.67706787845129E-4</v>
          </cell>
          <cell r="K2078">
            <v>578</v>
          </cell>
          <cell r="L2078">
            <v>531.33581984936404</v>
          </cell>
          <cell r="M2078">
            <v>1171</v>
          </cell>
          <cell r="N2078">
            <v>9.5561967240755094E-2</v>
          </cell>
          <cell r="O2078">
            <v>787</v>
          </cell>
          <cell r="P2078">
            <v>0.06</v>
          </cell>
          <cell r="Q2078">
            <v>1799</v>
          </cell>
        </row>
        <row r="2079">
          <cell r="B2079" t="str">
            <v>MOUNTAIN QUARRIES 210151584</v>
          </cell>
          <cell r="C2079">
            <v>152282101</v>
          </cell>
          <cell r="D2079" t="str">
            <v>MOUNTAIN QUARRIES 2101</v>
          </cell>
          <cell r="E2079">
            <v>51584</v>
          </cell>
          <cell r="F2079" t="b">
            <v>0</v>
          </cell>
          <cell r="G2079">
            <v>35041.553426966799</v>
          </cell>
          <cell r="H2079">
            <v>35041.553426966799</v>
          </cell>
          <cell r="I2079">
            <v>224</v>
          </cell>
          <cell r="J2079">
            <v>7.7619126947021298E-5</v>
          </cell>
          <cell r="K2079">
            <v>2272</v>
          </cell>
          <cell r="L2079">
            <v>869.13680990747605</v>
          </cell>
          <cell r="M2079">
            <v>901</v>
          </cell>
          <cell r="N2079">
            <v>5.7318486917117398E-2</v>
          </cell>
          <cell r="O2079">
            <v>1090</v>
          </cell>
          <cell r="P2079">
            <v>0.08</v>
          </cell>
          <cell r="Q2079">
            <v>1655</v>
          </cell>
        </row>
        <row r="2080">
          <cell r="B2080" t="str">
            <v>MOUNTAIN QUARRIES 21016953</v>
          </cell>
          <cell r="C2080">
            <v>152282101</v>
          </cell>
          <cell r="D2080" t="str">
            <v>MOUNTAIN QUARRIES 2101</v>
          </cell>
          <cell r="E2080">
            <v>6953</v>
          </cell>
          <cell r="F2080" t="b">
            <v>0</v>
          </cell>
          <cell r="G2080">
            <v>9187.9729740039693</v>
          </cell>
          <cell r="H2080">
            <v>9187.9729740039693</v>
          </cell>
          <cell r="I2080">
            <v>58</v>
          </cell>
          <cell r="J2080">
            <v>1.11591422269E-4</v>
          </cell>
          <cell r="K2080">
            <v>1378</v>
          </cell>
          <cell r="L2080">
            <v>4228.1533489705498</v>
          </cell>
          <cell r="M2080">
            <v>135</v>
          </cell>
          <cell r="N2080">
            <v>0.43529892279356203</v>
          </cell>
          <cell r="O2080">
            <v>45</v>
          </cell>
          <cell r="P2080">
            <v>4.2</v>
          </cell>
          <cell r="Q2080">
            <v>525</v>
          </cell>
        </row>
        <row r="2081">
          <cell r="B2081" t="str">
            <v>MOUNTAIN QUARRIES 210192474</v>
          </cell>
          <cell r="C2081">
            <v>152282101</v>
          </cell>
          <cell r="D2081" t="str">
            <v>MOUNTAIN QUARRIES 2101</v>
          </cell>
          <cell r="E2081">
            <v>92474</v>
          </cell>
          <cell r="F2081" t="b">
            <v>0</v>
          </cell>
          <cell r="G2081">
            <v>25104.647719305001</v>
          </cell>
          <cell r="H2081">
            <v>24305.418103475102</v>
          </cell>
          <cell r="I2081">
            <v>173</v>
          </cell>
          <cell r="J2081">
            <v>1.3451540387042699E-4</v>
          </cell>
          <cell r="K2081">
            <v>934</v>
          </cell>
          <cell r="L2081">
            <v>428.27393616000597</v>
          </cell>
          <cell r="M2081">
            <v>1261</v>
          </cell>
          <cell r="N2081">
            <v>4.6936674040949998E-2</v>
          </cell>
          <cell r="O2081">
            <v>1212</v>
          </cell>
          <cell r="P2081">
            <v>0.26</v>
          </cell>
          <cell r="Q2081">
            <v>1060</v>
          </cell>
        </row>
        <row r="2082">
          <cell r="B2082" t="str">
            <v>MOUNTAIN QUARRIES 2101CB</v>
          </cell>
          <cell r="C2082">
            <v>152282101</v>
          </cell>
          <cell r="D2082" t="str">
            <v>MOUNTAIN QUARRIES 2101</v>
          </cell>
          <cell r="E2082" t="str">
            <v>CB</v>
          </cell>
          <cell r="F2082" t="b">
            <v>0</v>
          </cell>
          <cell r="G2082">
            <v>40215.546732118601</v>
          </cell>
          <cell r="H2082">
            <v>40215.546732118601</v>
          </cell>
          <cell r="I2082">
            <v>262</v>
          </cell>
          <cell r="J2082">
            <v>1.2901759293241201E-4</v>
          </cell>
          <cell r="K2082">
            <v>1029</v>
          </cell>
          <cell r="L2082">
            <v>2606.34252807043</v>
          </cell>
          <cell r="M2082">
            <v>328</v>
          </cell>
          <cell r="N2082">
            <v>0.38665329351740901</v>
          </cell>
          <cell r="O2082">
            <v>68</v>
          </cell>
          <cell r="P2082">
            <v>9.11</v>
          </cell>
          <cell r="Q2082">
            <v>412</v>
          </cell>
        </row>
        <row r="2083">
          <cell r="B2083" t="str">
            <v>NAPA 11025039</v>
          </cell>
          <cell r="C2083">
            <v>42021102</v>
          </cell>
          <cell r="D2083" t="str">
            <v>NAPA 1102</v>
          </cell>
          <cell r="E2083">
            <v>5039</v>
          </cell>
          <cell r="F2083" t="b">
            <v>1</v>
          </cell>
          <cell r="G2083">
            <v>4245.04624664107</v>
          </cell>
          <cell r="H2083">
            <v>0</v>
          </cell>
          <cell r="I2083">
            <v>28</v>
          </cell>
          <cell r="J2083">
            <v>7.2353810505124499E-5</v>
          </cell>
          <cell r="K2083">
            <v>2407</v>
          </cell>
          <cell r="L2083">
            <v>1.19514983064851</v>
          </cell>
          <cell r="M2083">
            <v>2880</v>
          </cell>
          <cell r="N2083">
            <v>4.5334451191901003E-5</v>
          </cell>
          <cell r="O2083">
            <v>2905</v>
          </cell>
          <cell r="Q2083">
            <v>3275</v>
          </cell>
        </row>
        <row r="2084">
          <cell r="B2084" t="str">
            <v>NAPA 1102561208</v>
          </cell>
          <cell r="C2084">
            <v>42021102</v>
          </cell>
          <cell r="D2084" t="str">
            <v>NAPA 1102</v>
          </cell>
          <cell r="E2084">
            <v>561208</v>
          </cell>
          <cell r="F2084" t="b">
            <v>0</v>
          </cell>
          <cell r="G2084">
            <v>4547.6852448438303</v>
          </cell>
          <cell r="H2084">
            <v>1347.5453714067401</v>
          </cell>
          <cell r="I2084">
            <v>15</v>
          </cell>
          <cell r="J2084">
            <v>1.1030057586529901E-4</v>
          </cell>
          <cell r="K2084">
            <v>1407</v>
          </cell>
          <cell r="L2084">
            <v>1867.3968000464199</v>
          </cell>
          <cell r="M2084">
            <v>484</v>
          </cell>
          <cell r="N2084">
            <v>0.16260173581641599</v>
          </cell>
          <cell r="O2084">
            <v>459</v>
          </cell>
          <cell r="Q2084">
            <v>3487</v>
          </cell>
        </row>
        <row r="2085">
          <cell r="B2085" t="str">
            <v>NAPA 11121302</v>
          </cell>
          <cell r="C2085">
            <v>42021112</v>
          </cell>
          <cell r="D2085" t="str">
            <v>NAPA 1112</v>
          </cell>
          <cell r="E2085">
            <v>1302</v>
          </cell>
          <cell r="F2085" t="b">
            <v>0</v>
          </cell>
          <cell r="G2085">
            <v>55353.029929693599</v>
          </cell>
          <cell r="H2085">
            <v>32333.736900328498</v>
          </cell>
          <cell r="I2085">
            <v>317</v>
          </cell>
          <cell r="J2085">
            <v>6.34595850255145E-5</v>
          </cell>
          <cell r="K2085">
            <v>2662</v>
          </cell>
          <cell r="L2085">
            <v>792.52984579766496</v>
          </cell>
          <cell r="M2085">
            <v>949</v>
          </cell>
          <cell r="N2085">
            <v>3.90529798948571E-2</v>
          </cell>
          <cell r="O2085">
            <v>1319</v>
          </cell>
          <cell r="P2085">
            <v>0.08</v>
          </cell>
          <cell r="Q2085">
            <v>1620</v>
          </cell>
        </row>
        <row r="2086">
          <cell r="B2086" t="str">
            <v>NAPA 1112CB</v>
          </cell>
          <cell r="C2086">
            <v>42021112</v>
          </cell>
          <cell r="D2086" t="str">
            <v>NAPA 1112</v>
          </cell>
          <cell r="E2086" t="str">
            <v>CB</v>
          </cell>
          <cell r="F2086" t="b">
            <v>1</v>
          </cell>
          <cell r="G2086">
            <v>26742.875334978598</v>
          </cell>
          <cell r="H2086">
            <v>940.99909734704204</v>
          </cell>
          <cell r="I2086">
            <v>226</v>
          </cell>
          <cell r="J2086">
            <v>4.1038780200653401E-5</v>
          </cell>
          <cell r="K2086">
            <v>3242</v>
          </cell>
          <cell r="L2086">
            <v>20.687200328354599</v>
          </cell>
          <cell r="M2086">
            <v>2439</v>
          </cell>
          <cell r="N2086">
            <v>1.1724346813382E-3</v>
          </cell>
          <cell r="O2086">
            <v>2603</v>
          </cell>
          <cell r="Q2086">
            <v>2752</v>
          </cell>
        </row>
        <row r="2087">
          <cell r="B2087" t="str">
            <v>NARROWS 21011202</v>
          </cell>
          <cell r="C2087">
            <v>153132101</v>
          </cell>
          <cell r="D2087" t="str">
            <v>NARROWS 2101</v>
          </cell>
          <cell r="E2087">
            <v>1202</v>
          </cell>
          <cell r="F2087" t="b">
            <v>0</v>
          </cell>
          <cell r="G2087">
            <v>73649.878866184998</v>
          </cell>
          <cell r="H2087">
            <v>73649.878866184998</v>
          </cell>
          <cell r="I2087">
            <v>459</v>
          </cell>
          <cell r="J2087">
            <v>9.3804812808691702E-5</v>
          </cell>
          <cell r="K2087">
            <v>1798</v>
          </cell>
          <cell r="L2087">
            <v>1469.35603071432</v>
          </cell>
          <cell r="M2087">
            <v>608</v>
          </cell>
          <cell r="N2087">
            <v>0.100872894239124</v>
          </cell>
          <cell r="O2087">
            <v>758</v>
          </cell>
          <cell r="P2087">
            <v>0.24</v>
          </cell>
          <cell r="Q2087">
            <v>1107</v>
          </cell>
        </row>
        <row r="2088">
          <cell r="B2088" t="str">
            <v>NARROWS 2101CB</v>
          </cell>
          <cell r="C2088">
            <v>153132101</v>
          </cell>
          <cell r="D2088" t="str">
            <v>NARROWS 2101</v>
          </cell>
          <cell r="E2088" t="str">
            <v>CB</v>
          </cell>
          <cell r="F2088" t="b">
            <v>0</v>
          </cell>
          <cell r="G2088">
            <v>25047.844847753498</v>
          </cell>
          <cell r="H2088">
            <v>25047.844847753498</v>
          </cell>
          <cell r="I2088">
            <v>65</v>
          </cell>
          <cell r="J2088">
            <v>1.3383882725293001E-4</v>
          </cell>
          <cell r="K2088">
            <v>945</v>
          </cell>
          <cell r="L2088">
            <v>2147.2351277866801</v>
          </cell>
          <cell r="M2088">
            <v>413</v>
          </cell>
          <cell r="N2088">
            <v>0.21823068902775999</v>
          </cell>
          <cell r="O2088">
            <v>287</v>
          </cell>
          <cell r="P2088">
            <v>0.06</v>
          </cell>
          <cell r="Q2088">
            <v>1867</v>
          </cell>
        </row>
        <row r="2089">
          <cell r="B2089" t="str">
            <v>NARROWS 21022220</v>
          </cell>
          <cell r="C2089">
            <v>153132102</v>
          </cell>
          <cell r="D2089" t="str">
            <v>NARROWS 2102</v>
          </cell>
          <cell r="E2089">
            <v>2220</v>
          </cell>
          <cell r="F2089" t="b">
            <v>0</v>
          </cell>
          <cell r="G2089">
            <v>45533.947729464402</v>
          </cell>
          <cell r="H2089">
            <v>44226.437278342499</v>
          </cell>
          <cell r="I2089">
            <v>266</v>
          </cell>
          <cell r="J2089">
            <v>1.5667202718176401E-4</v>
          </cell>
          <cell r="K2089">
            <v>676</v>
          </cell>
          <cell r="L2089">
            <v>1115.7949901540301</v>
          </cell>
          <cell r="M2089">
            <v>768</v>
          </cell>
          <cell r="N2089">
            <v>0.152347451838833</v>
          </cell>
          <cell r="O2089">
            <v>505</v>
          </cell>
          <cell r="P2089">
            <v>0.28000000000000003</v>
          </cell>
          <cell r="Q2089">
            <v>1037</v>
          </cell>
        </row>
        <row r="2090">
          <cell r="B2090" t="str">
            <v>NARROWS 21022718</v>
          </cell>
          <cell r="C2090">
            <v>153132102</v>
          </cell>
          <cell r="D2090" t="str">
            <v>NARROWS 2102</v>
          </cell>
          <cell r="E2090">
            <v>2718</v>
          </cell>
          <cell r="F2090" t="b">
            <v>1</v>
          </cell>
          <cell r="G2090">
            <v>11657.4654013248</v>
          </cell>
          <cell r="H2090">
            <v>495.64222847970501</v>
          </cell>
          <cell r="I2090">
            <v>114</v>
          </cell>
          <cell r="J2090">
            <v>2.27278604755062E-4</v>
          </cell>
          <cell r="K2090">
            <v>295</v>
          </cell>
          <cell r="L2090">
            <v>102.617789101913</v>
          </cell>
          <cell r="M2090">
            <v>1938</v>
          </cell>
          <cell r="N2090">
            <v>1.4275986895868001E-2</v>
          </cell>
          <cell r="O2090">
            <v>1812</v>
          </cell>
          <cell r="P2090">
            <v>0.04</v>
          </cell>
          <cell r="Q2090">
            <v>2074</v>
          </cell>
        </row>
        <row r="2091">
          <cell r="B2091" t="str">
            <v>NARROWS 210248484</v>
          </cell>
          <cell r="C2091">
            <v>153132102</v>
          </cell>
          <cell r="D2091" t="str">
            <v>NARROWS 2102</v>
          </cell>
          <cell r="E2091">
            <v>48484</v>
          </cell>
          <cell r="F2091" t="b">
            <v>0</v>
          </cell>
          <cell r="G2091">
            <v>67054.867197721207</v>
          </cell>
          <cell r="H2091">
            <v>67054.867197721207</v>
          </cell>
          <cell r="I2091">
            <v>450</v>
          </cell>
          <cell r="J2091">
            <v>1.3312747139126299E-4</v>
          </cell>
          <cell r="K2091">
            <v>956</v>
          </cell>
          <cell r="L2091">
            <v>878.67794553190595</v>
          </cell>
          <cell r="M2091">
            <v>893</v>
          </cell>
          <cell r="N2091">
            <v>9.9980070994747802E-2</v>
          </cell>
          <cell r="O2091">
            <v>764</v>
          </cell>
          <cell r="P2091">
            <v>0.43</v>
          </cell>
          <cell r="Q2091">
            <v>927</v>
          </cell>
        </row>
        <row r="2092">
          <cell r="B2092" t="str">
            <v>NARROWS 210276952</v>
          </cell>
          <cell r="C2092">
            <v>153132102</v>
          </cell>
          <cell r="D2092" t="str">
            <v>NARROWS 2102</v>
          </cell>
          <cell r="E2092">
            <v>76952</v>
          </cell>
          <cell r="F2092" t="b">
            <v>0</v>
          </cell>
          <cell r="G2092">
            <v>18206.8026400116</v>
          </cell>
          <cell r="H2092">
            <v>3648.44959459036</v>
          </cell>
          <cell r="I2092">
            <v>161</v>
          </cell>
          <cell r="J2092">
            <v>2.66982985200195E-4</v>
          </cell>
          <cell r="K2092">
            <v>179</v>
          </cell>
          <cell r="L2092">
            <v>39.534314191017103</v>
          </cell>
          <cell r="M2092">
            <v>2276</v>
          </cell>
          <cell r="N2092">
            <v>5.2382974342133097E-3</v>
          </cell>
          <cell r="O2092">
            <v>2195</v>
          </cell>
          <cell r="P2092">
            <v>0.06</v>
          </cell>
          <cell r="Q2092">
            <v>1785</v>
          </cell>
        </row>
        <row r="2093">
          <cell r="B2093" t="str">
            <v>NARROWS 2102CB</v>
          </cell>
          <cell r="C2093">
            <v>153132102</v>
          </cell>
          <cell r="D2093" t="str">
            <v>NARROWS 2102</v>
          </cell>
          <cell r="E2093" t="str">
            <v>CB</v>
          </cell>
          <cell r="F2093" t="b">
            <v>0</v>
          </cell>
          <cell r="G2093">
            <v>39248.315256525602</v>
          </cell>
          <cell r="H2093">
            <v>36287.640288092698</v>
          </cell>
          <cell r="I2093">
            <v>243</v>
          </cell>
          <cell r="J2093">
            <v>1.5785574020180299E-4</v>
          </cell>
          <cell r="K2093">
            <v>664</v>
          </cell>
          <cell r="L2093">
            <v>1177.1526102037201</v>
          </cell>
          <cell r="M2093">
            <v>742</v>
          </cell>
          <cell r="N2093">
            <v>0.118072745363592</v>
          </cell>
          <cell r="O2093">
            <v>658</v>
          </cell>
          <cell r="P2093">
            <v>0.1</v>
          </cell>
          <cell r="Q2093">
            <v>1491</v>
          </cell>
        </row>
        <row r="2094">
          <cell r="B2094" t="str">
            <v>NARROWS 2104CB</v>
          </cell>
          <cell r="C2094">
            <v>153132104</v>
          </cell>
          <cell r="D2094" t="str">
            <v>NARROWS 2104</v>
          </cell>
          <cell r="E2094" t="str">
            <v>CB</v>
          </cell>
          <cell r="F2094" t="b">
            <v>1</v>
          </cell>
          <cell r="G2094">
            <v>4.5719965862992797</v>
          </cell>
          <cell r="H2094">
            <v>4.5719965862992797</v>
          </cell>
          <cell r="I2094">
            <v>1</v>
          </cell>
          <cell r="J2094">
            <v>1.2263903045095501E-4</v>
          </cell>
          <cell r="K2094">
            <v>1138</v>
          </cell>
          <cell r="L2094">
            <v>1641.5431276714501</v>
          </cell>
          <cell r="M2094">
            <v>545</v>
          </cell>
          <cell r="N2094">
            <v>0.20131725762105501</v>
          </cell>
          <cell r="O2094">
            <v>323</v>
          </cell>
          <cell r="P2094">
            <v>0.02</v>
          </cell>
          <cell r="Q2094">
            <v>2423</v>
          </cell>
        </row>
        <row r="2095">
          <cell r="B2095" t="str">
            <v>NARROWS 21052216</v>
          </cell>
          <cell r="C2095">
            <v>153132105</v>
          </cell>
          <cell r="D2095" t="str">
            <v>NARROWS 2105</v>
          </cell>
          <cell r="E2095">
            <v>2216</v>
          </cell>
          <cell r="F2095" t="b">
            <v>0</v>
          </cell>
          <cell r="G2095">
            <v>93046.013208628603</v>
          </cell>
          <cell r="H2095">
            <v>91192.076764327503</v>
          </cell>
          <cell r="I2095">
            <v>663</v>
          </cell>
          <cell r="J2095">
            <v>1.7534382850457899E-4</v>
          </cell>
          <cell r="K2095">
            <v>526</v>
          </cell>
          <cell r="L2095">
            <v>744.583829070447</v>
          </cell>
          <cell r="M2095">
            <v>980</v>
          </cell>
          <cell r="N2095">
            <v>0.104384274760931</v>
          </cell>
          <cell r="O2095">
            <v>737</v>
          </cell>
          <cell r="P2095">
            <v>0.89</v>
          </cell>
          <cell r="Q2095">
            <v>752</v>
          </cell>
        </row>
        <row r="2096">
          <cell r="B2096" t="str">
            <v>NARROWS 21052228</v>
          </cell>
          <cell r="C2096">
            <v>153132105</v>
          </cell>
          <cell r="D2096" t="str">
            <v>NARROWS 2105</v>
          </cell>
          <cell r="E2096">
            <v>2228</v>
          </cell>
          <cell r="F2096" t="b">
            <v>0</v>
          </cell>
          <cell r="G2096">
            <v>34201.724138163503</v>
          </cell>
          <cell r="H2096">
            <v>33727.147124967101</v>
          </cell>
          <cell r="I2096">
            <v>199</v>
          </cell>
          <cell r="J2096">
            <v>1.09398632682286E-4</v>
          </cell>
          <cell r="K2096">
            <v>1423</v>
          </cell>
          <cell r="L2096">
            <v>1826.29018501067</v>
          </cell>
          <cell r="M2096">
            <v>498</v>
          </cell>
          <cell r="N2096">
            <v>0.165951369838404</v>
          </cell>
          <cell r="O2096">
            <v>447</v>
          </cell>
          <cell r="P2096">
            <v>0.19</v>
          </cell>
          <cell r="Q2096">
            <v>1187</v>
          </cell>
        </row>
        <row r="2097">
          <cell r="B2097" t="str">
            <v>NARROWS 21052426</v>
          </cell>
          <cell r="C2097">
            <v>153132105</v>
          </cell>
          <cell r="D2097" t="str">
            <v>NARROWS 2105</v>
          </cell>
          <cell r="E2097">
            <v>2426</v>
          </cell>
          <cell r="F2097" t="b">
            <v>0</v>
          </cell>
          <cell r="G2097">
            <v>27934.498925169999</v>
          </cell>
          <cell r="H2097">
            <v>13782.7728152216</v>
          </cell>
          <cell r="I2097">
            <v>226</v>
          </cell>
          <cell r="J2097">
            <v>1.7076075285097701E-4</v>
          </cell>
          <cell r="K2097">
            <v>559</v>
          </cell>
          <cell r="L2097">
            <v>240.37437462774</v>
          </cell>
          <cell r="M2097">
            <v>1566</v>
          </cell>
          <cell r="N2097">
            <v>3.6874042224294898E-2</v>
          </cell>
          <cell r="O2097">
            <v>1341</v>
          </cell>
          <cell r="P2097">
            <v>0.09</v>
          </cell>
          <cell r="Q2097">
            <v>1513</v>
          </cell>
        </row>
        <row r="2098">
          <cell r="B2098" t="str">
            <v>NARROWS 21052748</v>
          </cell>
          <cell r="C2098">
            <v>153132105</v>
          </cell>
          <cell r="D2098" t="str">
            <v>NARROWS 2105</v>
          </cell>
          <cell r="E2098">
            <v>2748</v>
          </cell>
          <cell r="F2098" t="b">
            <v>0</v>
          </cell>
          <cell r="G2098">
            <v>31538.407634040599</v>
          </cell>
          <cell r="H2098">
            <v>20831.4864473333</v>
          </cell>
          <cell r="I2098">
            <v>245</v>
          </cell>
          <cell r="J2098">
            <v>1.8392734318319301E-4</v>
          </cell>
          <cell r="K2098">
            <v>480</v>
          </cell>
          <cell r="L2098">
            <v>692.286089198318</v>
          </cell>
          <cell r="M2098">
            <v>1029</v>
          </cell>
          <cell r="N2098">
            <v>8.4145293412452804E-2</v>
          </cell>
          <cell r="O2098">
            <v>869</v>
          </cell>
          <cell r="P2098">
            <v>0.1</v>
          </cell>
          <cell r="Q2098">
            <v>1477</v>
          </cell>
        </row>
        <row r="2099">
          <cell r="B2099" t="str">
            <v>NARROWS 210534069</v>
          </cell>
          <cell r="C2099">
            <v>153132105</v>
          </cell>
          <cell r="D2099" t="str">
            <v>NARROWS 2105</v>
          </cell>
          <cell r="E2099">
            <v>34069</v>
          </cell>
          <cell r="F2099" t="b">
            <v>0</v>
          </cell>
          <cell r="G2099">
            <v>25331.847305003099</v>
          </cell>
          <cell r="H2099">
            <v>25331.847305003099</v>
          </cell>
          <cell r="I2099">
            <v>156</v>
          </cell>
          <cell r="J2099">
            <v>6.2676496834742002E-5</v>
          </cell>
          <cell r="K2099">
            <v>2694</v>
          </cell>
          <cell r="L2099">
            <v>2622.4246038869701</v>
          </cell>
          <cell r="M2099">
            <v>326</v>
          </cell>
          <cell r="N2099">
            <v>0.16138319185984501</v>
          </cell>
          <cell r="O2099">
            <v>463</v>
          </cell>
          <cell r="P2099">
            <v>0.09</v>
          </cell>
          <cell r="Q2099">
            <v>1525</v>
          </cell>
        </row>
        <row r="2100">
          <cell r="B2100" t="str">
            <v>NARROWS 210551582</v>
          </cell>
          <cell r="C2100">
            <v>153132105</v>
          </cell>
          <cell r="D2100" t="str">
            <v>NARROWS 2105</v>
          </cell>
          <cell r="E2100">
            <v>51582</v>
          </cell>
          <cell r="F2100" t="b">
            <v>0</v>
          </cell>
          <cell r="G2100">
            <v>15330.267117533</v>
          </cell>
          <cell r="H2100">
            <v>15330.267117533</v>
          </cell>
          <cell r="I2100">
            <v>105</v>
          </cell>
          <cell r="J2100">
            <v>1.4184515107661401E-4</v>
          </cell>
          <cell r="K2100">
            <v>842</v>
          </cell>
          <cell r="L2100">
            <v>981.24654732136401</v>
          </cell>
          <cell r="M2100">
            <v>843</v>
          </cell>
          <cell r="N2100">
            <v>0.13573651207225301</v>
          </cell>
          <cell r="O2100">
            <v>582</v>
          </cell>
          <cell r="P2100">
            <v>0.04</v>
          </cell>
          <cell r="Q2100">
            <v>2150</v>
          </cell>
        </row>
        <row r="2101">
          <cell r="B2101" t="str">
            <v>NARROWS 21057203</v>
          </cell>
          <cell r="C2101">
            <v>153132105</v>
          </cell>
          <cell r="D2101" t="str">
            <v>NARROWS 2105</v>
          </cell>
          <cell r="E2101">
            <v>7203</v>
          </cell>
          <cell r="F2101" t="b">
            <v>0</v>
          </cell>
          <cell r="G2101">
            <v>30305.2229144306</v>
          </cell>
          <cell r="H2101">
            <v>29904.6732687078</v>
          </cell>
          <cell r="I2101">
            <v>197</v>
          </cell>
          <cell r="J2101">
            <v>9.5139320147992506E-5</v>
          </cell>
          <cell r="K2101">
            <v>1761</v>
          </cell>
          <cell r="L2101">
            <v>1859.3117756225599</v>
          </cell>
          <cell r="M2101">
            <v>489</v>
          </cell>
          <cell r="N2101">
            <v>0.160431797172261</v>
          </cell>
          <cell r="O2101">
            <v>467</v>
          </cell>
          <cell r="P2101">
            <v>0.19</v>
          </cell>
          <cell r="Q2101">
            <v>1194</v>
          </cell>
        </row>
        <row r="2102">
          <cell r="B2102" t="str">
            <v>NARROWS 2105CB</v>
          </cell>
          <cell r="C2102">
            <v>153132105</v>
          </cell>
          <cell r="D2102" t="str">
            <v>NARROWS 2105</v>
          </cell>
          <cell r="E2102" t="str">
            <v>CB</v>
          </cell>
          <cell r="F2102" t="b">
            <v>0</v>
          </cell>
          <cell r="G2102">
            <v>58448.722746324202</v>
          </cell>
          <cell r="H2102">
            <v>58073.640204797499</v>
          </cell>
          <cell r="I2102">
            <v>382</v>
          </cell>
          <cell r="J2102">
            <v>1.08067076584311E-4</v>
          </cell>
          <cell r="K2102">
            <v>1450</v>
          </cell>
          <cell r="L2102">
            <v>1111.27120999666</v>
          </cell>
          <cell r="M2102">
            <v>769</v>
          </cell>
          <cell r="N2102">
            <v>0.105674700447435</v>
          </cell>
          <cell r="O2102">
            <v>730</v>
          </cell>
          <cell r="P2102">
            <v>0.26</v>
          </cell>
          <cell r="Q2102">
            <v>1065</v>
          </cell>
        </row>
        <row r="2103">
          <cell r="B2103" t="str">
            <v>NARROWS PH 1151CB</v>
          </cell>
          <cell r="C2103">
            <v>153131151</v>
          </cell>
          <cell r="D2103" t="str">
            <v>NARROWS PH 1151</v>
          </cell>
          <cell r="E2103" t="str">
            <v>CB</v>
          </cell>
          <cell r="F2103" t="b">
            <v>1</v>
          </cell>
          <cell r="G2103">
            <v>286.989068642012</v>
          </cell>
          <cell r="H2103">
            <v>286.989068642012</v>
          </cell>
          <cell r="I2103">
            <v>2</v>
          </cell>
          <cell r="J2103">
            <v>3.4143090306315501E-4</v>
          </cell>
          <cell r="K2103">
            <v>96</v>
          </cell>
          <cell r="L2103">
            <v>952.18772666723498</v>
          </cell>
          <cell r="M2103">
            <v>859</v>
          </cell>
          <cell r="N2103">
            <v>0.27613310639530197</v>
          </cell>
          <cell r="O2103">
            <v>167</v>
          </cell>
          <cell r="Q2103">
            <v>3629</v>
          </cell>
        </row>
        <row r="2104">
          <cell r="B2104" t="str">
            <v>NEWBURG 11313446</v>
          </cell>
          <cell r="C2104">
            <v>192151131</v>
          </cell>
          <cell r="D2104" t="str">
            <v>NEWBURG 1131</v>
          </cell>
          <cell r="E2104">
            <v>3446</v>
          </cell>
          <cell r="F2104" t="b">
            <v>1</v>
          </cell>
          <cell r="G2104">
            <v>13148.5405296032</v>
          </cell>
          <cell r="H2104">
            <v>475.01262233861399</v>
          </cell>
          <cell r="I2104">
            <v>87</v>
          </cell>
          <cell r="J2104">
            <v>1.4693115681015901E-4</v>
          </cell>
          <cell r="K2104">
            <v>773</v>
          </cell>
          <cell r="L2104">
            <v>117.90704178386601</v>
          </cell>
          <cell r="M2104">
            <v>1882</v>
          </cell>
          <cell r="N2104">
            <v>2.63723711782731E-2</v>
          </cell>
          <cell r="O2104">
            <v>1527</v>
          </cell>
          <cell r="P2104">
            <v>0.23</v>
          </cell>
          <cell r="Q2104">
            <v>1108</v>
          </cell>
        </row>
        <row r="2105">
          <cell r="B2105" t="str">
            <v>NEWBURG 1131380686</v>
          </cell>
          <cell r="C2105">
            <v>192151131</v>
          </cell>
          <cell r="D2105" t="str">
            <v>NEWBURG 1131</v>
          </cell>
          <cell r="E2105">
            <v>380686</v>
          </cell>
          <cell r="F2105" t="b">
            <v>0</v>
          </cell>
          <cell r="G2105">
            <v>4931.6119295636199</v>
          </cell>
          <cell r="H2105">
            <v>3014.5330959911498</v>
          </cell>
          <cell r="I2105">
            <v>34</v>
          </cell>
          <cell r="J2105">
            <v>1.7304206159999801E-4</v>
          </cell>
          <cell r="K2105">
            <v>543</v>
          </cell>
          <cell r="L2105">
            <v>55.738815920652101</v>
          </cell>
          <cell r="M2105">
            <v>2176</v>
          </cell>
          <cell r="N2105">
            <v>9.5954217342928798E-3</v>
          </cell>
          <cell r="O2105">
            <v>1978</v>
          </cell>
          <cell r="Q2105">
            <v>2938</v>
          </cell>
        </row>
        <row r="2106">
          <cell r="B2106" t="str">
            <v>NEWBURG 1131557468</v>
          </cell>
          <cell r="C2106">
            <v>192151131</v>
          </cell>
          <cell r="D2106" t="str">
            <v>NEWBURG 1131</v>
          </cell>
          <cell r="E2106">
            <v>557468</v>
          </cell>
          <cell r="F2106" t="b">
            <v>0</v>
          </cell>
          <cell r="G2106">
            <v>3768.3144026042301</v>
          </cell>
          <cell r="H2106">
            <v>1423.67318422686</v>
          </cell>
          <cell r="I2106">
            <v>28</v>
          </cell>
          <cell r="J2106">
            <v>1.7510283578303599E-4</v>
          </cell>
          <cell r="K2106">
            <v>528</v>
          </cell>
          <cell r="L2106">
            <v>10.8129559168048</v>
          </cell>
          <cell r="M2106">
            <v>2614</v>
          </cell>
          <cell r="N2106">
            <v>1.6474679453974499E-3</v>
          </cell>
          <cell r="O2106">
            <v>2530</v>
          </cell>
          <cell r="Q2106">
            <v>3042</v>
          </cell>
        </row>
        <row r="2107">
          <cell r="B2107" t="str">
            <v>NEWBURG 113190242</v>
          </cell>
          <cell r="C2107">
            <v>192151131</v>
          </cell>
          <cell r="D2107" t="str">
            <v>NEWBURG 1131</v>
          </cell>
          <cell r="E2107">
            <v>90242</v>
          </cell>
          <cell r="F2107" t="b">
            <v>0</v>
          </cell>
          <cell r="G2107">
            <v>7016.5204255860799</v>
          </cell>
          <cell r="H2107">
            <v>6652.6427316052996</v>
          </cell>
          <cell r="I2107">
            <v>51</v>
          </cell>
          <cell r="J2107">
            <v>1.3965069813946001E-4</v>
          </cell>
          <cell r="K2107">
            <v>876</v>
          </cell>
          <cell r="L2107">
            <v>54.884655242161699</v>
          </cell>
          <cell r="M2107">
            <v>2183</v>
          </cell>
          <cell r="N2107">
            <v>8.9933553870250506E-3</v>
          </cell>
          <cell r="O2107">
            <v>2003</v>
          </cell>
          <cell r="P2107">
            <v>0.05</v>
          </cell>
          <cell r="Q2107">
            <v>1980</v>
          </cell>
        </row>
        <row r="2108">
          <cell r="B2108" t="str">
            <v>NEWBURG 1131987158</v>
          </cell>
          <cell r="C2108">
            <v>192151131</v>
          </cell>
          <cell r="D2108" t="str">
            <v>NEWBURG 1131</v>
          </cell>
          <cell r="E2108">
            <v>987158</v>
          </cell>
          <cell r="F2108" t="b">
            <v>1</v>
          </cell>
          <cell r="G2108">
            <v>443.41394702120999</v>
          </cell>
          <cell r="H2108">
            <v>397.68307839467502</v>
          </cell>
          <cell r="I2108">
            <v>2</v>
          </cell>
          <cell r="J2108">
            <v>8.4891242295270704E-5</v>
          </cell>
          <cell r="K2108">
            <v>2066</v>
          </cell>
          <cell r="L2108">
            <v>6.5789712084932894E-2</v>
          </cell>
          <cell r="M2108">
            <v>3277</v>
          </cell>
          <cell r="N2108">
            <v>5.6214765378887504E-6</v>
          </cell>
          <cell r="O2108">
            <v>3235</v>
          </cell>
          <cell r="Q2108">
            <v>3339</v>
          </cell>
        </row>
        <row r="2109">
          <cell r="B2109" t="str">
            <v>NEWBURG 1131CB</v>
          </cell>
          <cell r="C2109">
            <v>192151131</v>
          </cell>
          <cell r="D2109" t="str">
            <v>NEWBURG 1131</v>
          </cell>
          <cell r="E2109" t="str">
            <v>CB</v>
          </cell>
          <cell r="F2109" t="b">
            <v>1</v>
          </cell>
          <cell r="G2109">
            <v>10978.5427758691</v>
          </cell>
          <cell r="H2109">
            <v>257.32328498610201</v>
          </cell>
          <cell r="I2109">
            <v>91</v>
          </cell>
          <cell r="J2109">
            <v>7.4003495001306806E-5</v>
          </cell>
          <cell r="K2109">
            <v>2358</v>
          </cell>
          <cell r="L2109">
            <v>0.23909818461846299</v>
          </cell>
          <cell r="M2109">
            <v>2928</v>
          </cell>
          <cell r="N2109">
            <v>4.8414072329191103E-6</v>
          </cell>
          <cell r="O2109">
            <v>3274</v>
          </cell>
          <cell r="P2109">
            <v>0.04</v>
          </cell>
          <cell r="Q2109">
            <v>2111</v>
          </cell>
        </row>
        <row r="2110">
          <cell r="B2110" t="str">
            <v>NEWBURG 1132665674</v>
          </cell>
          <cell r="C2110">
            <v>192151132</v>
          </cell>
          <cell r="D2110" t="str">
            <v>NEWBURG 1132</v>
          </cell>
          <cell r="E2110">
            <v>665674</v>
          </cell>
          <cell r="F2110" t="b">
            <v>1</v>
          </cell>
          <cell r="G2110">
            <v>2469.7606202855</v>
          </cell>
          <cell r="H2110">
            <v>698.79825229523203</v>
          </cell>
          <cell r="I2110">
            <v>20</v>
          </cell>
          <cell r="J2110">
            <v>1.6815260423754799E-4</v>
          </cell>
          <cell r="K2110">
            <v>574</v>
          </cell>
          <cell r="L2110">
            <v>82.792879244836101</v>
          </cell>
          <cell r="M2110">
            <v>2037</v>
          </cell>
          <cell r="N2110">
            <v>1.4721679314963401E-2</v>
          </cell>
          <cell r="O2110">
            <v>1792</v>
          </cell>
          <cell r="Q2110">
            <v>2823</v>
          </cell>
        </row>
        <row r="2111">
          <cell r="B2111" t="str">
            <v>NEWBURG 1132910230</v>
          </cell>
          <cell r="C2111">
            <v>192151132</v>
          </cell>
          <cell r="D2111" t="str">
            <v>NEWBURG 1132</v>
          </cell>
          <cell r="E2111">
            <v>910230</v>
          </cell>
          <cell r="F2111" t="b">
            <v>0</v>
          </cell>
          <cell r="G2111">
            <v>3166.5297195425201</v>
          </cell>
          <cell r="H2111">
            <v>1560.5068819688699</v>
          </cell>
          <cell r="I2111">
            <v>27</v>
          </cell>
          <cell r="J2111">
            <v>2.39345362178238E-4</v>
          </cell>
          <cell r="K2111">
            <v>248</v>
          </cell>
          <cell r="L2111">
            <v>37.009116672877198</v>
          </cell>
          <cell r="M2111">
            <v>2298</v>
          </cell>
          <cell r="N2111">
            <v>9.0946845795232597E-3</v>
          </cell>
          <cell r="O2111">
            <v>1998</v>
          </cell>
          <cell r="Q2111">
            <v>3058</v>
          </cell>
        </row>
        <row r="2112">
          <cell r="B2112" t="str">
            <v>NEWBURG 1133CB</v>
          </cell>
          <cell r="C2112">
            <v>192151133</v>
          </cell>
          <cell r="D2112" t="str">
            <v>NEWBURG 1133</v>
          </cell>
          <cell r="E2112" t="str">
            <v>CB</v>
          </cell>
          <cell r="F2112" t="b">
            <v>0</v>
          </cell>
          <cell r="G2112">
            <v>14786.855477933101</v>
          </cell>
          <cell r="H2112">
            <v>5089.2485035080299</v>
          </cell>
          <cell r="I2112">
            <v>92</v>
          </cell>
          <cell r="J2112">
            <v>1.8939401925308601E-4</v>
          </cell>
          <cell r="K2112">
            <v>445</v>
          </cell>
          <cell r="L2112">
            <v>47.052278478908001</v>
          </cell>
          <cell r="M2112">
            <v>2232</v>
          </cell>
          <cell r="N2112">
            <v>7.53384676542197E-3</v>
          </cell>
          <cell r="O2112">
            <v>2071</v>
          </cell>
          <cell r="P2112">
            <v>0.06</v>
          </cell>
          <cell r="Q2112">
            <v>1839</v>
          </cell>
        </row>
        <row r="2113">
          <cell r="B2113" t="str">
            <v>NORTH BRANCH 110111158</v>
          </cell>
          <cell r="C2113">
            <v>163231101</v>
          </cell>
          <cell r="D2113" t="str">
            <v>NORTH BRANCH 1101</v>
          </cell>
          <cell r="E2113">
            <v>11158</v>
          </cell>
          <cell r="F2113" t="b">
            <v>0</v>
          </cell>
          <cell r="G2113">
            <v>47609.492899980301</v>
          </cell>
          <cell r="H2113">
            <v>20499.893494219199</v>
          </cell>
          <cell r="I2113">
            <v>229</v>
          </cell>
          <cell r="J2113">
            <v>9.6417803258207205E-5</v>
          </cell>
          <cell r="K2113">
            <v>1721</v>
          </cell>
          <cell r="L2113">
            <v>2379.61963181992</v>
          </cell>
          <cell r="M2113">
            <v>364</v>
          </cell>
          <cell r="N2113">
            <v>0.20007652374219001</v>
          </cell>
          <cell r="O2113">
            <v>326</v>
          </cell>
          <cell r="P2113">
            <v>0.06</v>
          </cell>
          <cell r="Q2113">
            <v>1777</v>
          </cell>
        </row>
        <row r="2114">
          <cell r="B2114" t="str">
            <v>NORTH BRANCH 110111206</v>
          </cell>
          <cell r="C2114">
            <v>163231101</v>
          </cell>
          <cell r="D2114" t="str">
            <v>NORTH BRANCH 1101</v>
          </cell>
          <cell r="E2114">
            <v>11206</v>
          </cell>
          <cell r="F2114" t="b">
            <v>0</v>
          </cell>
          <cell r="G2114">
            <v>28786.4552265276</v>
          </cell>
          <cell r="H2114">
            <v>28782.167776861701</v>
          </cell>
          <cell r="I2114">
            <v>146</v>
          </cell>
          <cell r="J2114">
            <v>5.7399194125716502E-5</v>
          </cell>
          <cell r="K2114">
            <v>2853</v>
          </cell>
          <cell r="L2114">
            <v>3353.7714337689799</v>
          </cell>
          <cell r="M2114">
            <v>217</v>
          </cell>
          <cell r="N2114">
            <v>0.14787172154956599</v>
          </cell>
          <cell r="O2114">
            <v>531</v>
          </cell>
          <cell r="P2114">
            <v>7.09</v>
          </cell>
          <cell r="Q2114">
            <v>451</v>
          </cell>
        </row>
        <row r="2115">
          <cell r="B2115" t="str">
            <v>NORTH BRANCH 110113496</v>
          </cell>
          <cell r="C2115">
            <v>163231101</v>
          </cell>
          <cell r="D2115" t="str">
            <v>NORTH BRANCH 1101</v>
          </cell>
          <cell r="E2115">
            <v>13496</v>
          </cell>
          <cell r="F2115" t="b">
            <v>0</v>
          </cell>
          <cell r="G2115">
            <v>8111.7844879552704</v>
          </cell>
          <cell r="H2115">
            <v>3211.8845450173299</v>
          </cell>
          <cell r="I2115">
            <v>58</v>
          </cell>
          <cell r="J2115">
            <v>8.2906585232884596E-5</v>
          </cell>
          <cell r="K2115">
            <v>2132</v>
          </cell>
          <cell r="L2115">
            <v>168.116884738377</v>
          </cell>
          <cell r="M2115">
            <v>1725</v>
          </cell>
          <cell r="N2115">
            <v>1.650590700734E-2</v>
          </cell>
          <cell r="O2115">
            <v>1754</v>
          </cell>
          <cell r="P2115">
            <v>0.04</v>
          </cell>
          <cell r="Q2115">
            <v>2107</v>
          </cell>
        </row>
        <row r="2116">
          <cell r="B2116" t="str">
            <v>NORTH BRANCH 1101CB</v>
          </cell>
          <cell r="C2116">
            <v>163231101</v>
          </cell>
          <cell r="D2116" t="str">
            <v>NORTH BRANCH 1101</v>
          </cell>
          <cell r="E2116" t="str">
            <v>CB</v>
          </cell>
          <cell r="F2116" t="b">
            <v>0</v>
          </cell>
          <cell r="G2116">
            <v>32934.795715166103</v>
          </cell>
          <cell r="H2116">
            <v>25410.311875499501</v>
          </cell>
          <cell r="I2116">
            <v>114</v>
          </cell>
          <cell r="J2116">
            <v>1.11565701381391E-4</v>
          </cell>
          <cell r="K2116">
            <v>1381</v>
          </cell>
          <cell r="L2116">
            <v>1859.3886234750501</v>
          </cell>
          <cell r="M2116">
            <v>488</v>
          </cell>
          <cell r="N2116">
            <v>0.20131835774729601</v>
          </cell>
          <cell r="O2116">
            <v>322</v>
          </cell>
          <cell r="P2116">
            <v>0.04</v>
          </cell>
          <cell r="Q2116">
            <v>2202</v>
          </cell>
        </row>
        <row r="2117">
          <cell r="B2117" t="str">
            <v>NORTH BRANCH 1101TS1115</v>
          </cell>
          <cell r="C2117">
            <v>163231101</v>
          </cell>
          <cell r="D2117" t="str">
            <v>NORTH BRANCH 1101</v>
          </cell>
          <cell r="E2117" t="str">
            <v>TS1115</v>
          </cell>
          <cell r="F2117" t="b">
            <v>0</v>
          </cell>
          <cell r="G2117">
            <v>28340.508263332798</v>
          </cell>
          <cell r="H2117">
            <v>28340.508263332798</v>
          </cell>
          <cell r="I2117">
            <v>147</v>
          </cell>
          <cell r="J2117">
            <v>6.6141569565230797E-5</v>
          </cell>
          <cell r="K2117">
            <v>2584</v>
          </cell>
          <cell r="L2117">
            <v>2220.2472062319298</v>
          </cell>
          <cell r="M2117">
            <v>396</v>
          </cell>
          <cell r="N2117">
            <v>0.16462324632272901</v>
          </cell>
          <cell r="O2117">
            <v>451</v>
          </cell>
          <cell r="P2117">
            <v>0.06</v>
          </cell>
          <cell r="Q2117">
            <v>1872</v>
          </cell>
        </row>
        <row r="2118">
          <cell r="B2118" t="str">
            <v>NORTH DUBLIN 2101CB</v>
          </cell>
          <cell r="C2118">
            <v>14052101</v>
          </cell>
          <cell r="D2118" t="str">
            <v>NORTH DUBLIN 2101</v>
          </cell>
          <cell r="E2118" t="str">
            <v>CB</v>
          </cell>
          <cell r="F2118" t="b">
            <v>0</v>
          </cell>
          <cell r="G2118">
            <v>2942.9352105880698</v>
          </cell>
          <cell r="H2118">
            <v>2836.5864163709698</v>
          </cell>
          <cell r="I2118">
            <v>23</v>
          </cell>
          <cell r="J2118">
            <v>1.80492861711007E-4</v>
          </cell>
          <cell r="K2118">
            <v>510</v>
          </cell>
          <cell r="L2118">
            <v>2272.2760302842498</v>
          </cell>
          <cell r="M2118">
            <v>388</v>
          </cell>
          <cell r="N2118">
            <v>0.42859050973238</v>
          </cell>
          <cell r="O2118">
            <v>47</v>
          </cell>
          <cell r="P2118">
            <v>7.0000000000000007E-2</v>
          </cell>
          <cell r="Q2118">
            <v>1708</v>
          </cell>
        </row>
        <row r="2119">
          <cell r="B2119" t="str">
            <v>NORTH DUBLIN 2101MR765</v>
          </cell>
          <cell r="C2119">
            <v>14052101</v>
          </cell>
          <cell r="D2119" t="str">
            <v>NORTH DUBLIN 2101</v>
          </cell>
          <cell r="E2119" t="str">
            <v>MR765</v>
          </cell>
          <cell r="F2119" t="b">
            <v>0</v>
          </cell>
          <cell r="G2119">
            <v>3411.70786375753</v>
          </cell>
          <cell r="H2119">
            <v>3330.9197097032902</v>
          </cell>
          <cell r="I2119">
            <v>15</v>
          </cell>
          <cell r="J2119">
            <v>1.6258384712273201E-4</v>
          </cell>
          <cell r="K2119">
            <v>618</v>
          </cell>
          <cell r="L2119">
            <v>1924.38530693499</v>
          </cell>
          <cell r="M2119">
            <v>466</v>
          </cell>
          <cell r="N2119">
            <v>0.27360155322525898</v>
          </cell>
          <cell r="O2119">
            <v>170</v>
          </cell>
          <cell r="Q2119">
            <v>3219</v>
          </cell>
        </row>
        <row r="2120">
          <cell r="B2120" t="str">
            <v>NORTH DUBLIN 210311101</v>
          </cell>
          <cell r="C2120">
            <v>14052103</v>
          </cell>
          <cell r="D2120" t="str">
            <v>NORTH DUBLIN 2103</v>
          </cell>
          <cell r="E2120">
            <v>11101</v>
          </cell>
          <cell r="F2120" t="b">
            <v>0</v>
          </cell>
          <cell r="G2120">
            <v>5931.2677788132596</v>
          </cell>
          <cell r="H2120">
            <v>5931.2677788132596</v>
          </cell>
          <cell r="I2120">
            <v>37</v>
          </cell>
          <cell r="J2120">
            <v>6.6474547566031106E-5</v>
          </cell>
          <cell r="K2120">
            <v>2575</v>
          </cell>
          <cell r="L2120">
            <v>6042.3196960475298</v>
          </cell>
          <cell r="M2120">
            <v>28</v>
          </cell>
          <cell r="N2120">
            <v>0.36793158814153099</v>
          </cell>
          <cell r="O2120">
            <v>79</v>
          </cell>
          <cell r="P2120">
            <v>5.36</v>
          </cell>
          <cell r="Q2120">
            <v>488</v>
          </cell>
        </row>
        <row r="2121">
          <cell r="B2121" t="str">
            <v>NORTH DUBLIN 21039473</v>
          </cell>
          <cell r="C2121">
            <v>14052103</v>
          </cell>
          <cell r="D2121" t="str">
            <v>NORTH DUBLIN 2103</v>
          </cell>
          <cell r="E2121">
            <v>9473</v>
          </cell>
          <cell r="F2121" t="b">
            <v>0</v>
          </cell>
          <cell r="G2121">
            <v>4735.3385953027</v>
          </cell>
          <cell r="H2121">
            <v>3890.4789532640598</v>
          </cell>
          <cell r="I2121">
            <v>27</v>
          </cell>
          <cell r="J2121">
            <v>9.0945701365988606E-5</v>
          </cell>
          <cell r="K2121">
            <v>1883</v>
          </cell>
          <cell r="L2121">
            <v>3855.2970061054498</v>
          </cell>
          <cell r="M2121">
            <v>162</v>
          </cell>
          <cell r="N2121">
            <v>0.36547308333223799</v>
          </cell>
          <cell r="O2121">
            <v>80</v>
          </cell>
          <cell r="P2121">
            <v>1.5</v>
          </cell>
          <cell r="Q2121">
            <v>669</v>
          </cell>
        </row>
        <row r="2122">
          <cell r="B2122" t="str">
            <v>NORTH DUBLIN 2103CB</v>
          </cell>
          <cell r="C2122">
            <v>14052103</v>
          </cell>
          <cell r="D2122" t="str">
            <v>NORTH DUBLIN 2103</v>
          </cell>
          <cell r="E2122" t="str">
            <v>CB</v>
          </cell>
          <cell r="F2122" t="b">
            <v>0</v>
          </cell>
          <cell r="G2122">
            <v>24190.4570541746</v>
          </cell>
          <cell r="H2122">
            <v>22339.311726953401</v>
          </cell>
          <cell r="I2122">
            <v>147</v>
          </cell>
          <cell r="J2122">
            <v>1.2221582372759501E-4</v>
          </cell>
          <cell r="K2122">
            <v>1145</v>
          </cell>
          <cell r="L2122">
            <v>2373.5411764583901</v>
          </cell>
          <cell r="M2122">
            <v>366</v>
          </cell>
          <cell r="N2122">
            <v>0.303492732682628</v>
          </cell>
          <cell r="O2122">
            <v>135</v>
          </cell>
          <cell r="P2122">
            <v>0.16</v>
          </cell>
          <cell r="Q2122">
            <v>1273</v>
          </cell>
        </row>
        <row r="2123">
          <cell r="B2123" t="str">
            <v>NORTH TOWER 2101CB</v>
          </cell>
          <cell r="C2123">
            <v>42042101</v>
          </cell>
          <cell r="D2123" t="str">
            <v>NORTH TOWER 2101</v>
          </cell>
          <cell r="E2123" t="str">
            <v>CB</v>
          </cell>
          <cell r="F2123" t="b">
            <v>0</v>
          </cell>
          <cell r="G2123">
            <v>7077.2532137504504</v>
          </cell>
          <cell r="H2123">
            <v>2179.35428005024</v>
          </cell>
          <cell r="I2123">
            <v>22</v>
          </cell>
          <cell r="J2123">
            <v>7.8613620384463203E-5</v>
          </cell>
          <cell r="K2123">
            <v>2246</v>
          </cell>
          <cell r="L2123">
            <v>23.816549175574099</v>
          </cell>
          <cell r="M2123">
            <v>2407</v>
          </cell>
          <cell r="N2123">
            <v>2.3846558361713698E-3</v>
          </cell>
          <cell r="O2123">
            <v>2423</v>
          </cell>
          <cell r="P2123">
            <v>0.16</v>
          </cell>
          <cell r="Q2123">
            <v>1259</v>
          </cell>
        </row>
        <row r="2124">
          <cell r="B2124" t="str">
            <v>NOTRE DAME 1103317782</v>
          </cell>
          <cell r="C2124">
            <v>102041103</v>
          </cell>
          <cell r="D2124" t="str">
            <v>NOTRE DAME 1103</v>
          </cell>
          <cell r="E2124">
            <v>317782</v>
          </cell>
          <cell r="F2124" t="b">
            <v>1</v>
          </cell>
          <cell r="G2124">
            <v>6689.8141520583104</v>
          </cell>
          <cell r="H2124">
            <v>874.19289276571305</v>
          </cell>
          <cell r="I2124">
            <v>53</v>
          </cell>
          <cell r="J2124">
            <v>1.25343508303698E-4</v>
          </cell>
          <cell r="K2124">
            <v>1092</v>
          </cell>
          <cell r="L2124">
            <v>127.093964858441</v>
          </cell>
          <cell r="M2124">
            <v>1852</v>
          </cell>
          <cell r="N2124">
            <v>1.21413737910129E-2</v>
          </cell>
          <cell r="O2124">
            <v>1877</v>
          </cell>
          <cell r="Q2124">
            <v>2852</v>
          </cell>
        </row>
        <row r="2125">
          <cell r="B2125" t="str">
            <v>NOTRE DAME 11042028</v>
          </cell>
          <cell r="C2125">
            <v>102041104</v>
          </cell>
          <cell r="D2125" t="str">
            <v>NOTRE DAME 1104</v>
          </cell>
          <cell r="E2125">
            <v>2028</v>
          </cell>
          <cell r="F2125" t="b">
            <v>0</v>
          </cell>
          <cell r="G2125">
            <v>17437.718265256499</v>
          </cell>
          <cell r="H2125">
            <v>17437.718265256499</v>
          </cell>
          <cell r="I2125">
            <v>86</v>
          </cell>
          <cell r="J2125">
            <v>1.54228517182191E-4</v>
          </cell>
          <cell r="K2125">
            <v>702</v>
          </cell>
          <cell r="L2125">
            <v>243.28502219920699</v>
          </cell>
          <cell r="M2125">
            <v>1559</v>
          </cell>
          <cell r="N2125">
            <v>6.2014946309705499E-2</v>
          </cell>
          <cell r="O2125">
            <v>1043</v>
          </cell>
          <cell r="P2125">
            <v>0.41</v>
          </cell>
          <cell r="Q2125">
            <v>939</v>
          </cell>
        </row>
        <row r="2126">
          <cell r="B2126" t="str">
            <v>NOTRE DAME 11042408</v>
          </cell>
          <cell r="C2126">
            <v>102041104</v>
          </cell>
          <cell r="D2126" t="str">
            <v>NOTRE DAME 1104</v>
          </cell>
          <cell r="E2126">
            <v>2408</v>
          </cell>
          <cell r="F2126" t="b">
            <v>0</v>
          </cell>
          <cell r="G2126">
            <v>22439.086505777799</v>
          </cell>
          <cell r="H2126">
            <v>18541.241281960502</v>
          </cell>
          <cell r="I2126">
            <v>76</v>
          </cell>
          <cell r="J2126">
            <v>2.75659568246369E-4</v>
          </cell>
          <cell r="K2126">
            <v>167</v>
          </cell>
          <cell r="L2126">
            <v>1710.6647102766401</v>
          </cell>
          <cell r="M2126">
            <v>521</v>
          </cell>
          <cell r="N2126">
            <v>0.37814903027684399</v>
          </cell>
          <cell r="O2126">
            <v>73</v>
          </cell>
          <cell r="P2126">
            <v>0.15</v>
          </cell>
          <cell r="Q2126">
            <v>1306</v>
          </cell>
        </row>
        <row r="2127">
          <cell r="B2127" t="str">
            <v>NOTRE DAME 11042537</v>
          </cell>
          <cell r="C2127">
            <v>102041104</v>
          </cell>
          <cell r="D2127" t="str">
            <v>NOTRE DAME 1104</v>
          </cell>
          <cell r="E2127">
            <v>2537</v>
          </cell>
          <cell r="F2127" t="b">
            <v>0</v>
          </cell>
          <cell r="G2127">
            <v>8030.1143441623299</v>
          </cell>
          <cell r="H2127">
            <v>8030.1143441623299</v>
          </cell>
          <cell r="I2127">
            <v>37</v>
          </cell>
          <cell r="J2127">
            <v>9.2030922739164996E-5</v>
          </cell>
          <cell r="K2127">
            <v>1844</v>
          </cell>
          <cell r="L2127">
            <v>618.69710896197898</v>
          </cell>
          <cell r="M2127">
            <v>1083</v>
          </cell>
          <cell r="N2127">
            <v>6.17617809967815E-2</v>
          </cell>
          <cell r="O2127">
            <v>1045</v>
          </cell>
          <cell r="P2127">
            <v>0.2</v>
          </cell>
          <cell r="Q2127">
            <v>1156</v>
          </cell>
        </row>
        <row r="2128">
          <cell r="B2128" t="str">
            <v>NOTRE DAME 1104937710</v>
          </cell>
          <cell r="C2128">
            <v>102041104</v>
          </cell>
          <cell r="D2128" t="str">
            <v>NOTRE DAME 1104</v>
          </cell>
          <cell r="E2128">
            <v>937710</v>
          </cell>
          <cell r="F2128" t="b">
            <v>0</v>
          </cell>
          <cell r="G2128">
            <v>2292.7758169434001</v>
          </cell>
          <cell r="H2128">
            <v>1372.1379392482199</v>
          </cell>
          <cell r="I2128">
            <v>8</v>
          </cell>
          <cell r="J2128">
            <v>9.5376821263926104E-5</v>
          </cell>
          <cell r="K2128">
            <v>1748</v>
          </cell>
          <cell r="L2128">
            <v>1144.50702766832</v>
          </cell>
          <cell r="M2128">
            <v>756</v>
          </cell>
          <cell r="N2128">
            <v>0.107327182276008</v>
          </cell>
          <cell r="O2128">
            <v>723</v>
          </cell>
          <cell r="Q2128">
            <v>3387</v>
          </cell>
        </row>
        <row r="2129">
          <cell r="B2129" t="str">
            <v>NOVATO 11041282</v>
          </cell>
          <cell r="C2129">
            <v>42211104</v>
          </cell>
          <cell r="D2129" t="str">
            <v>NOVATO 1104</v>
          </cell>
          <cell r="E2129">
            <v>1282</v>
          </cell>
          <cell r="F2129" t="b">
            <v>1</v>
          </cell>
          <cell r="G2129">
            <v>5984.1771176648299</v>
          </cell>
          <cell r="H2129">
            <v>0</v>
          </cell>
          <cell r="I2129">
            <v>56</v>
          </cell>
          <cell r="J2129">
            <v>9.9729663253872905E-5</v>
          </cell>
          <cell r="K2129">
            <v>1654</v>
          </cell>
          <cell r="L2129">
            <v>1.1951498159961</v>
          </cell>
          <cell r="M2129">
            <v>2881</v>
          </cell>
          <cell r="N2129">
            <v>1.20291478446997E-4</v>
          </cell>
          <cell r="O2129">
            <v>2865</v>
          </cell>
          <cell r="P2129">
            <v>0.03</v>
          </cell>
          <cell r="Q2129">
            <v>2326</v>
          </cell>
        </row>
        <row r="2130">
          <cell r="B2130" t="str">
            <v>NOVATO 110455398</v>
          </cell>
          <cell r="C2130">
            <v>42211104</v>
          </cell>
          <cell r="D2130" t="str">
            <v>NOVATO 1104</v>
          </cell>
          <cell r="E2130">
            <v>55398</v>
          </cell>
          <cell r="F2130" t="b">
            <v>0</v>
          </cell>
          <cell r="G2130">
            <v>18355.850085463499</v>
          </cell>
          <cell r="H2130">
            <v>5879.4418289755204</v>
          </cell>
          <cell r="I2130">
            <v>82</v>
          </cell>
          <cell r="J2130">
            <v>9.92953529378069E-5</v>
          </cell>
          <cell r="K2130">
            <v>1661</v>
          </cell>
          <cell r="L2130">
            <v>371.66066189000401</v>
          </cell>
          <cell r="M2130">
            <v>1336</v>
          </cell>
          <cell r="N2130">
            <v>3.5221256006532101E-2</v>
          </cell>
          <cell r="O2130">
            <v>1370</v>
          </cell>
          <cell r="P2130">
            <v>0.05</v>
          </cell>
          <cell r="Q2130">
            <v>2019</v>
          </cell>
        </row>
        <row r="2131">
          <cell r="B2131" t="str">
            <v>NOVATO 1104676060</v>
          </cell>
          <cell r="C2131">
            <v>42211104</v>
          </cell>
          <cell r="D2131" t="str">
            <v>NOVATO 1104</v>
          </cell>
          <cell r="E2131">
            <v>676060</v>
          </cell>
          <cell r="F2131" t="b">
            <v>1</v>
          </cell>
          <cell r="G2131">
            <v>1407.16202532289</v>
          </cell>
          <cell r="H2131">
            <v>722.77707429730197</v>
          </cell>
          <cell r="I2131">
            <v>9</v>
          </cell>
          <cell r="J2131">
            <v>2.5905260877657799E-4</v>
          </cell>
          <cell r="K2131">
            <v>197</v>
          </cell>
          <cell r="L2131">
            <v>109.100031369577</v>
          </cell>
          <cell r="M2131">
            <v>1913</v>
          </cell>
          <cell r="N2131">
            <v>2.6045803468697001E-2</v>
          </cell>
          <cell r="O2131">
            <v>1533</v>
          </cell>
          <cell r="Q2131">
            <v>3446</v>
          </cell>
        </row>
        <row r="2132">
          <cell r="B2132" t="str">
            <v>OAK 0401CB</v>
          </cell>
          <cell r="C2132">
            <v>12600401</v>
          </cell>
          <cell r="D2132" t="str">
            <v>OAK 0401</v>
          </cell>
          <cell r="E2132" t="str">
            <v>CB</v>
          </cell>
          <cell r="F2132" t="b">
            <v>0</v>
          </cell>
          <cell r="G2132">
            <v>8716.4726115673093</v>
          </cell>
          <cell r="H2132">
            <v>5585.5806229500704</v>
          </cell>
          <cell r="I2132">
            <v>68</v>
          </cell>
          <cell r="J2132">
            <v>3.1529514264066697E-5</v>
          </cell>
          <cell r="K2132">
            <v>3408</v>
          </cell>
          <cell r="L2132">
            <v>6.5959512858706298E-2</v>
          </cell>
          <cell r="M2132">
            <v>3231</v>
          </cell>
          <cell r="N2132">
            <v>2.0870953239482999E-6</v>
          </cell>
          <cell r="O2132">
            <v>3503</v>
          </cell>
          <cell r="P2132">
            <v>0.09</v>
          </cell>
          <cell r="Q2132">
            <v>1539</v>
          </cell>
        </row>
        <row r="2133">
          <cell r="B2133" t="str">
            <v>OAKHURST 110110090</v>
          </cell>
          <cell r="C2133">
            <v>254421101</v>
          </cell>
          <cell r="D2133" t="str">
            <v>OAKHURST 1101</v>
          </cell>
          <cell r="E2133">
            <v>10090</v>
          </cell>
          <cell r="F2133" t="b">
            <v>0</v>
          </cell>
          <cell r="G2133">
            <v>70938.540557421802</v>
          </cell>
          <cell r="H2133">
            <v>70938.540557421802</v>
          </cell>
          <cell r="I2133">
            <v>435</v>
          </cell>
          <cell r="J2133">
            <v>5.7013596808413999E-5</v>
          </cell>
          <cell r="K2133">
            <v>2861</v>
          </cell>
          <cell r="L2133">
            <v>3810.3635574991599</v>
          </cell>
          <cell r="M2133">
            <v>167</v>
          </cell>
          <cell r="N2133">
            <v>0.174369116723151</v>
          </cell>
          <cell r="O2133">
            <v>421</v>
          </cell>
          <cell r="P2133">
            <v>0.3</v>
          </cell>
          <cell r="Q2133">
            <v>1021</v>
          </cell>
        </row>
        <row r="2134">
          <cell r="B2134" t="str">
            <v>OAKHURST 11015490</v>
          </cell>
          <cell r="C2134">
            <v>254421101</v>
          </cell>
          <cell r="D2134" t="str">
            <v>OAKHURST 1101</v>
          </cell>
          <cell r="E2134">
            <v>5490</v>
          </cell>
          <cell r="F2134" t="b">
            <v>0</v>
          </cell>
          <cell r="G2134">
            <v>40241.339141113902</v>
          </cell>
          <cell r="H2134">
            <v>40241.339141113902</v>
          </cell>
          <cell r="I2134">
            <v>276</v>
          </cell>
          <cell r="J2134">
            <v>5.4814555530843997E-5</v>
          </cell>
          <cell r="K2134">
            <v>2921</v>
          </cell>
          <cell r="L2134">
            <v>3287.8024671479898</v>
          </cell>
          <cell r="M2134">
            <v>227</v>
          </cell>
          <cell r="N2134">
            <v>0.14656557615825999</v>
          </cell>
          <cell r="O2134">
            <v>541</v>
          </cell>
          <cell r="P2134">
            <v>31.17</v>
          </cell>
          <cell r="Q2134">
            <v>233</v>
          </cell>
        </row>
        <row r="2135">
          <cell r="B2135" t="str">
            <v>OAKHURST 1101636114</v>
          </cell>
          <cell r="C2135">
            <v>254421101</v>
          </cell>
          <cell r="D2135" t="str">
            <v>OAKHURST 1101</v>
          </cell>
          <cell r="E2135">
            <v>636114</v>
          </cell>
          <cell r="F2135" t="b">
            <v>0</v>
          </cell>
          <cell r="G2135">
            <v>32974.164320361</v>
          </cell>
          <cell r="H2135">
            <v>32974.164320361</v>
          </cell>
          <cell r="I2135">
            <v>153</v>
          </cell>
          <cell r="J2135">
            <v>5.0431339727047497E-5</v>
          </cell>
          <cell r="K2135">
            <v>3029</v>
          </cell>
          <cell r="L2135">
            <v>5596.4616326832802</v>
          </cell>
          <cell r="M2135">
            <v>45</v>
          </cell>
          <cell r="N2135">
            <v>0.26702384086054198</v>
          </cell>
          <cell r="O2135">
            <v>183</v>
          </cell>
          <cell r="Q2135">
            <v>3171</v>
          </cell>
        </row>
        <row r="2136">
          <cell r="B2136" t="str">
            <v>OAKHURST 1101CB</v>
          </cell>
          <cell r="C2136">
            <v>254421101</v>
          </cell>
          <cell r="D2136" t="str">
            <v>OAKHURST 1101</v>
          </cell>
          <cell r="E2136" t="str">
            <v>CB</v>
          </cell>
          <cell r="F2136" t="b">
            <v>0</v>
          </cell>
          <cell r="G2136">
            <v>4772.9739324101301</v>
          </cell>
          <cell r="H2136">
            <v>3724.6765585547901</v>
          </cell>
          <cell r="I2136">
            <v>47</v>
          </cell>
          <cell r="J2136">
            <v>1.2677348921839499E-4</v>
          </cell>
          <cell r="K2136">
            <v>1067</v>
          </cell>
          <cell r="L2136">
            <v>1037.42580417718</v>
          </cell>
          <cell r="M2136">
            <v>802</v>
          </cell>
          <cell r="N2136">
            <v>8.6582663262820603E-2</v>
          </cell>
          <cell r="O2136">
            <v>847</v>
          </cell>
          <cell r="P2136">
            <v>3.02</v>
          </cell>
          <cell r="Q2136">
            <v>568</v>
          </cell>
        </row>
        <row r="2137">
          <cell r="B2137" t="str">
            <v>OAKHURST 110210100</v>
          </cell>
          <cell r="C2137">
            <v>254421102</v>
          </cell>
          <cell r="D2137" t="str">
            <v>OAKHURST 1102</v>
          </cell>
          <cell r="E2137">
            <v>10100</v>
          </cell>
          <cell r="F2137" t="b">
            <v>0</v>
          </cell>
          <cell r="G2137">
            <v>18902.686907326999</v>
          </cell>
          <cell r="H2137">
            <v>16723.3035318566</v>
          </cell>
          <cell r="I2137">
            <v>142</v>
          </cell>
          <cell r="J2137">
            <v>1.0559779212988799E-4</v>
          </cell>
          <cell r="K2137">
            <v>1504</v>
          </cell>
          <cell r="L2137">
            <v>1406.80106797242</v>
          </cell>
          <cell r="M2137">
            <v>635</v>
          </cell>
          <cell r="N2137">
            <v>9.4732846865349801E-2</v>
          </cell>
          <cell r="O2137">
            <v>796</v>
          </cell>
          <cell r="P2137">
            <v>0.13</v>
          </cell>
          <cell r="Q2137">
            <v>1337</v>
          </cell>
        </row>
        <row r="2138">
          <cell r="B2138" t="str">
            <v>OAKHURST 1102CB</v>
          </cell>
          <cell r="C2138">
            <v>254421102</v>
          </cell>
          <cell r="D2138" t="str">
            <v>OAKHURST 1102</v>
          </cell>
          <cell r="E2138" t="str">
            <v>CB</v>
          </cell>
          <cell r="F2138" t="b">
            <v>0</v>
          </cell>
          <cell r="G2138">
            <v>7703.93545220958</v>
          </cell>
          <cell r="H2138">
            <v>4253.8821942232598</v>
          </cell>
          <cell r="I2138">
            <v>61</v>
          </cell>
          <cell r="J2138">
            <v>1.19051574223644E-4</v>
          </cell>
          <cell r="K2138">
            <v>1206</v>
          </cell>
          <cell r="L2138">
            <v>11.7499593098144</v>
          </cell>
          <cell r="M2138">
            <v>2592</v>
          </cell>
          <cell r="N2138">
            <v>1.49965024917953E-3</v>
          </cell>
          <cell r="O2138">
            <v>2557</v>
          </cell>
          <cell r="P2138">
            <v>1.94</v>
          </cell>
          <cell r="Q2138">
            <v>628</v>
          </cell>
        </row>
        <row r="2139">
          <cell r="B2139" t="str">
            <v>OAKHURST 110310140</v>
          </cell>
          <cell r="C2139">
            <v>254421103</v>
          </cell>
          <cell r="D2139" t="str">
            <v>OAKHURST 1103</v>
          </cell>
          <cell r="E2139">
            <v>10140</v>
          </cell>
          <cell r="F2139" t="b">
            <v>0</v>
          </cell>
          <cell r="G2139">
            <v>26724.084181270999</v>
          </cell>
          <cell r="H2139">
            <v>26724.084181270999</v>
          </cell>
          <cell r="I2139">
            <v>188</v>
          </cell>
          <cell r="J2139">
            <v>8.9340287617078302E-5</v>
          </cell>
          <cell r="K2139">
            <v>1937</v>
          </cell>
          <cell r="L2139">
            <v>119.513612673753</v>
          </cell>
          <cell r="M2139">
            <v>1871</v>
          </cell>
          <cell r="N2139">
            <v>1.26960435488925E-2</v>
          </cell>
          <cell r="O2139">
            <v>1854</v>
          </cell>
          <cell r="P2139">
            <v>1.03</v>
          </cell>
          <cell r="Q2139">
            <v>724</v>
          </cell>
        </row>
        <row r="2140">
          <cell r="B2140" t="str">
            <v>OAKHURST 110310190</v>
          </cell>
          <cell r="C2140">
            <v>254421103</v>
          </cell>
          <cell r="D2140" t="str">
            <v>OAKHURST 1103</v>
          </cell>
          <cell r="E2140">
            <v>10190</v>
          </cell>
          <cell r="F2140" t="b">
            <v>0</v>
          </cell>
          <cell r="G2140">
            <v>13591.0884171087</v>
          </cell>
          <cell r="H2140">
            <v>13591.0884171087</v>
          </cell>
          <cell r="I2140">
            <v>61</v>
          </cell>
          <cell r="J2140">
            <v>6.3641520803988297E-5</v>
          </cell>
          <cell r="K2140">
            <v>2659</v>
          </cell>
          <cell r="L2140">
            <v>28.503908318210701</v>
          </cell>
          <cell r="M2140">
            <v>2355</v>
          </cell>
          <cell r="N2140">
            <v>1.75825125901874E-3</v>
          </cell>
          <cell r="O2140">
            <v>2508</v>
          </cell>
          <cell r="P2140">
            <v>52.84</v>
          </cell>
          <cell r="Q2140">
            <v>111</v>
          </cell>
        </row>
        <row r="2141">
          <cell r="B2141" t="str">
            <v>OAKHURST 110310570</v>
          </cell>
          <cell r="C2141">
            <v>254421103</v>
          </cell>
          <cell r="D2141" t="str">
            <v>OAKHURST 1103</v>
          </cell>
          <cell r="E2141">
            <v>10570</v>
          </cell>
          <cell r="F2141" t="b">
            <v>0</v>
          </cell>
          <cell r="G2141">
            <v>15440.8056130641</v>
          </cell>
          <cell r="H2141">
            <v>15440.8056130641</v>
          </cell>
          <cell r="I2141">
            <v>92</v>
          </cell>
          <cell r="J2141">
            <v>5.2245510372673498E-5</v>
          </cell>
          <cell r="K2141">
            <v>2985</v>
          </cell>
          <cell r="L2141">
            <v>3374.5233374570198</v>
          </cell>
          <cell r="M2141">
            <v>214</v>
          </cell>
          <cell r="N2141">
            <v>0.170527396036118</v>
          </cell>
          <cell r="O2141">
            <v>433</v>
          </cell>
          <cell r="P2141">
            <v>0.28000000000000003</v>
          </cell>
          <cell r="Q2141">
            <v>1043</v>
          </cell>
        </row>
        <row r="2142">
          <cell r="B2142" t="str">
            <v>OAKHURST 110310723</v>
          </cell>
          <cell r="C2142">
            <v>254421103</v>
          </cell>
          <cell r="D2142" t="str">
            <v>OAKHURST 1103</v>
          </cell>
          <cell r="E2142">
            <v>10723</v>
          </cell>
          <cell r="F2142" t="b">
            <v>1</v>
          </cell>
          <cell r="G2142">
            <v>6.3414572026027498</v>
          </cell>
          <cell r="H2142">
            <v>6.3414572026027498</v>
          </cell>
          <cell r="I2142">
            <v>1</v>
          </cell>
          <cell r="J2142">
            <v>9.0549307060427896E-5</v>
          </cell>
          <cell r="K2142">
            <v>1895</v>
          </cell>
          <cell r="L2142">
            <v>47.5920790176704</v>
          </cell>
          <cell r="M2142">
            <v>2226</v>
          </cell>
          <cell r="N2142">
            <v>4.3094297766151897E-3</v>
          </cell>
          <cell r="O2142">
            <v>2240</v>
          </cell>
          <cell r="P2142">
            <v>48.3</v>
          </cell>
          <cell r="Q2142">
            <v>130</v>
          </cell>
        </row>
        <row r="2143">
          <cell r="B2143" t="str">
            <v>OAKHURST 11035120</v>
          </cell>
          <cell r="C2143">
            <v>254421103</v>
          </cell>
          <cell r="D2143" t="str">
            <v>OAKHURST 1103</v>
          </cell>
          <cell r="E2143">
            <v>5120</v>
          </cell>
          <cell r="F2143" t="b">
            <v>0</v>
          </cell>
          <cell r="G2143">
            <v>9912.3897459800392</v>
          </cell>
          <cell r="H2143">
            <v>9912.3897459800392</v>
          </cell>
          <cell r="I2143">
            <v>19</v>
          </cell>
          <cell r="J2143">
            <v>7.7594230384016094E-5</v>
          </cell>
          <cell r="K2143">
            <v>2273</v>
          </cell>
          <cell r="L2143">
            <v>140.14202441395599</v>
          </cell>
          <cell r="M2143">
            <v>1809</v>
          </cell>
          <cell r="N2143">
            <v>9.6487748631600301E-3</v>
          </cell>
          <cell r="O2143">
            <v>1975</v>
          </cell>
          <cell r="P2143">
            <v>15.79</v>
          </cell>
          <cell r="Q2143">
            <v>345</v>
          </cell>
        </row>
        <row r="2144">
          <cell r="B2144" t="str">
            <v>OAKHURST 11035470</v>
          </cell>
          <cell r="C2144">
            <v>254421103</v>
          </cell>
          <cell r="D2144" t="str">
            <v>OAKHURST 1103</v>
          </cell>
          <cell r="E2144">
            <v>5470</v>
          </cell>
          <cell r="F2144" t="b">
            <v>0</v>
          </cell>
          <cell r="G2144">
            <v>14989.8273241802</v>
          </cell>
          <cell r="H2144">
            <v>14989.8273241802</v>
          </cell>
          <cell r="I2144">
            <v>104</v>
          </cell>
          <cell r="J2144">
            <v>1.01428905677008E-4</v>
          </cell>
          <cell r="K2144">
            <v>1618</v>
          </cell>
          <cell r="L2144">
            <v>96.948813244955304</v>
          </cell>
          <cell r="M2144">
            <v>1973</v>
          </cell>
          <cell r="N2144">
            <v>5.9093066294797197E-3</v>
          </cell>
          <cell r="O2144">
            <v>2158</v>
          </cell>
          <cell r="P2144">
            <v>14.88</v>
          </cell>
          <cell r="Q2144">
            <v>353</v>
          </cell>
        </row>
        <row r="2145">
          <cell r="B2145" t="str">
            <v>OAKHURST 11035480</v>
          </cell>
          <cell r="C2145">
            <v>254421103</v>
          </cell>
          <cell r="D2145" t="str">
            <v>OAKHURST 1103</v>
          </cell>
          <cell r="E2145">
            <v>5480</v>
          </cell>
          <cell r="F2145" t="b">
            <v>0</v>
          </cell>
          <cell r="G2145">
            <v>27352.068709616098</v>
          </cell>
          <cell r="H2145">
            <v>27352.068709616098</v>
          </cell>
          <cell r="I2145">
            <v>180</v>
          </cell>
          <cell r="J2145">
            <v>7.0805215229951399E-5</v>
          </cell>
          <cell r="K2145">
            <v>2447</v>
          </cell>
          <cell r="L2145">
            <v>169.23634819305201</v>
          </cell>
          <cell r="M2145">
            <v>1720</v>
          </cell>
          <cell r="N2145">
            <v>1.15048418346274E-2</v>
          </cell>
          <cell r="O2145">
            <v>1903</v>
          </cell>
          <cell r="P2145">
            <v>0.6</v>
          </cell>
          <cell r="Q2145">
            <v>854</v>
          </cell>
        </row>
        <row r="2146">
          <cell r="B2146" t="str">
            <v>OAKHURST 11035732</v>
          </cell>
          <cell r="C2146">
            <v>254421103</v>
          </cell>
          <cell r="D2146" t="str">
            <v>OAKHURST 1103</v>
          </cell>
          <cell r="E2146">
            <v>5732</v>
          </cell>
          <cell r="F2146" t="b">
            <v>0</v>
          </cell>
          <cell r="G2146">
            <v>5445.3198425173596</v>
          </cell>
          <cell r="H2146">
            <v>5445.3198425173596</v>
          </cell>
          <cell r="I2146">
            <v>37</v>
          </cell>
          <cell r="J2146">
            <v>5.3284605078137998E-5</v>
          </cell>
          <cell r="K2146">
            <v>2956</v>
          </cell>
          <cell r="L2146">
            <v>4484.98278660085</v>
          </cell>
          <cell r="M2146">
            <v>109</v>
          </cell>
          <cell r="N2146">
            <v>0.24719105755144</v>
          </cell>
          <cell r="O2146">
            <v>222</v>
          </cell>
          <cell r="P2146">
            <v>0.14000000000000001</v>
          </cell>
          <cell r="Q2146">
            <v>1324</v>
          </cell>
        </row>
        <row r="2147">
          <cell r="B2147" t="str">
            <v>OAKHURST 110363334</v>
          </cell>
          <cell r="C2147">
            <v>254421103</v>
          </cell>
          <cell r="D2147" t="str">
            <v>OAKHURST 1103</v>
          </cell>
          <cell r="E2147">
            <v>63334</v>
          </cell>
          <cell r="F2147" t="b">
            <v>0</v>
          </cell>
          <cell r="G2147">
            <v>27819.9713092735</v>
          </cell>
          <cell r="H2147">
            <v>27819.9713092735</v>
          </cell>
          <cell r="I2147">
            <v>154</v>
          </cell>
          <cell r="J2147">
            <v>5.0298212180997001E-5</v>
          </cell>
          <cell r="K2147">
            <v>3032</v>
          </cell>
          <cell r="L2147">
            <v>5273.9392087022597</v>
          </cell>
          <cell r="M2147">
            <v>55</v>
          </cell>
          <cell r="N2147">
            <v>0.244459185575614</v>
          </cell>
          <cell r="O2147">
            <v>224</v>
          </cell>
          <cell r="P2147">
            <v>10.23</v>
          </cell>
          <cell r="Q2147">
            <v>400</v>
          </cell>
        </row>
        <row r="2148">
          <cell r="B2148" t="str">
            <v>OAKHURST 1103719490</v>
          </cell>
          <cell r="C2148">
            <v>254421103</v>
          </cell>
          <cell r="D2148" t="str">
            <v>OAKHURST 1103</v>
          </cell>
          <cell r="E2148">
            <v>719490</v>
          </cell>
          <cell r="F2148" t="b">
            <v>0</v>
          </cell>
          <cell r="G2148">
            <v>4856.6254064547802</v>
          </cell>
          <cell r="H2148">
            <v>4856.6254064547802</v>
          </cell>
          <cell r="I2148">
            <v>44</v>
          </cell>
          <cell r="J2148">
            <v>6.7665436993345098E-5</v>
          </cell>
          <cell r="K2148">
            <v>2542</v>
          </cell>
          <cell r="L2148">
            <v>6.5472017741859299</v>
          </cell>
          <cell r="M2148">
            <v>2695</v>
          </cell>
          <cell r="N2148">
            <v>5.4846564850825701E-4</v>
          </cell>
          <cell r="O2148">
            <v>2722</v>
          </cell>
          <cell r="Q2148">
            <v>2777</v>
          </cell>
        </row>
        <row r="2149">
          <cell r="B2149" t="str">
            <v>OAKHURST 110377384</v>
          </cell>
          <cell r="C2149">
            <v>254421103</v>
          </cell>
          <cell r="D2149" t="str">
            <v>OAKHURST 1103</v>
          </cell>
          <cell r="E2149">
            <v>77384</v>
          </cell>
          <cell r="F2149" t="b">
            <v>0</v>
          </cell>
          <cell r="G2149">
            <v>7595.6345520187397</v>
          </cell>
          <cell r="H2149">
            <v>7595.6345520187397</v>
          </cell>
          <cell r="I2149">
            <v>61</v>
          </cell>
          <cell r="J2149">
            <v>1.7011110709272E-4</v>
          </cell>
          <cell r="K2149">
            <v>562</v>
          </cell>
          <cell r="L2149">
            <v>62.784697392644802</v>
          </cell>
          <cell r="M2149">
            <v>2138</v>
          </cell>
          <cell r="N2149">
            <v>6.51449046869581E-3</v>
          </cell>
          <cell r="O2149">
            <v>2124</v>
          </cell>
          <cell r="P2149">
            <v>0.65</v>
          </cell>
          <cell r="Q2149">
            <v>823</v>
          </cell>
        </row>
        <row r="2150">
          <cell r="B2150" t="str">
            <v>OAKHURST 1103CB</v>
          </cell>
          <cell r="C2150">
            <v>254421103</v>
          </cell>
          <cell r="D2150" t="str">
            <v>OAKHURST 1103</v>
          </cell>
          <cell r="E2150" t="str">
            <v>CB</v>
          </cell>
          <cell r="F2150" t="b">
            <v>0</v>
          </cell>
          <cell r="G2150">
            <v>53866.952763098998</v>
          </cell>
          <cell r="H2150">
            <v>51789.177672875398</v>
          </cell>
          <cell r="I2150">
            <v>417</v>
          </cell>
          <cell r="J2150">
            <v>1.10562223177129E-4</v>
          </cell>
          <cell r="K2150">
            <v>1401</v>
          </cell>
          <cell r="L2150">
            <v>1269.8549946835899</v>
          </cell>
          <cell r="M2150">
            <v>691</v>
          </cell>
          <cell r="N2150">
            <v>0.11043772081155299</v>
          </cell>
          <cell r="O2150">
            <v>711</v>
          </cell>
          <cell r="P2150">
            <v>0.78</v>
          </cell>
          <cell r="Q2150">
            <v>780</v>
          </cell>
        </row>
        <row r="2151">
          <cell r="B2151" t="str">
            <v>OAKLAND D 1112CR192</v>
          </cell>
          <cell r="C2151">
            <v>12041112</v>
          </cell>
          <cell r="D2151" t="str">
            <v>OAKLAND D 1112</v>
          </cell>
          <cell r="E2151" t="str">
            <v>CR192</v>
          </cell>
          <cell r="F2151" t="b">
            <v>0</v>
          </cell>
          <cell r="G2151">
            <v>6810.4625329966602</v>
          </cell>
          <cell r="H2151">
            <v>3963.0316217447498</v>
          </cell>
          <cell r="I2151">
            <v>54</v>
          </cell>
          <cell r="J2151">
            <v>8.0733191823498899E-5</v>
          </cell>
          <cell r="K2151">
            <v>2188</v>
          </cell>
          <cell r="L2151">
            <v>1.3873111401837099</v>
          </cell>
          <cell r="M2151">
            <v>2872</v>
          </cell>
          <cell r="N2151">
            <v>2.0828226322957999E-4</v>
          </cell>
          <cell r="O2151">
            <v>2833</v>
          </cell>
          <cell r="P2151">
            <v>0.21</v>
          </cell>
          <cell r="Q2151">
            <v>1135</v>
          </cell>
        </row>
        <row r="2152">
          <cell r="B2152" t="str">
            <v>OAKLAND J 1102951816</v>
          </cell>
          <cell r="C2152">
            <v>12091102</v>
          </cell>
          <cell r="D2152" t="str">
            <v>OAKLAND J 1102</v>
          </cell>
          <cell r="E2152">
            <v>951816</v>
          </cell>
          <cell r="F2152" t="b">
            <v>1</v>
          </cell>
          <cell r="G2152">
            <v>539.17339382060402</v>
          </cell>
          <cell r="H2152">
            <v>539.17339382060402</v>
          </cell>
          <cell r="I2152">
            <v>6</v>
          </cell>
          <cell r="J2152">
            <v>5.10652789671439E-5</v>
          </cell>
          <cell r="K2152">
            <v>3013</v>
          </cell>
          <cell r="L2152">
            <v>6.6430549658656704E-2</v>
          </cell>
          <cell r="M2152">
            <v>3112</v>
          </cell>
          <cell r="N2152">
            <v>3.3922945502600099E-6</v>
          </cell>
          <cell r="O2152">
            <v>3376</v>
          </cell>
          <cell r="Q2152">
            <v>3551</v>
          </cell>
        </row>
        <row r="2153">
          <cell r="B2153" t="str">
            <v>OAKLAND J 1102CR102</v>
          </cell>
          <cell r="C2153">
            <v>12091102</v>
          </cell>
          <cell r="D2153" t="str">
            <v>OAKLAND J 1102</v>
          </cell>
          <cell r="E2153" t="str">
            <v>CR102</v>
          </cell>
          <cell r="F2153" t="b">
            <v>1</v>
          </cell>
          <cell r="G2153">
            <v>316.33221389850303</v>
          </cell>
          <cell r="H2153">
            <v>316.33221389850303</v>
          </cell>
          <cell r="I2153">
            <v>6</v>
          </cell>
          <cell r="J2153">
            <v>1.2168381363153399E-4</v>
          </cell>
          <cell r="K2153">
            <v>1153</v>
          </cell>
          <cell r="L2153">
            <v>6.6430776348809895E-2</v>
          </cell>
          <cell r="M2153">
            <v>3101</v>
          </cell>
          <cell r="N2153">
            <v>8.0835455884948201E-6</v>
          </cell>
          <cell r="O2153">
            <v>3121</v>
          </cell>
          <cell r="P2153">
            <v>0.08</v>
          </cell>
          <cell r="Q2153">
            <v>1651</v>
          </cell>
        </row>
        <row r="2154">
          <cell r="B2154" t="str">
            <v>OAKLAND J 1102CR184</v>
          </cell>
          <cell r="C2154">
            <v>12091102</v>
          </cell>
          <cell r="D2154" t="str">
            <v>OAKLAND J 1102</v>
          </cell>
          <cell r="E2154" t="str">
            <v>CR184</v>
          </cell>
          <cell r="F2154" t="b">
            <v>0</v>
          </cell>
          <cell r="G2154">
            <v>5568.99059492996</v>
          </cell>
          <cell r="H2154">
            <v>5568.99059492996</v>
          </cell>
          <cell r="I2154">
            <v>43</v>
          </cell>
          <cell r="J2154">
            <v>5.78714337089602E-5</v>
          </cell>
          <cell r="K2154">
            <v>2839</v>
          </cell>
          <cell r="L2154">
            <v>6.6431909799575806E-2</v>
          </cell>
          <cell r="M2154">
            <v>2949</v>
          </cell>
          <cell r="N2154">
            <v>3.8445098641257704E-6</v>
          </cell>
          <cell r="O2154">
            <v>3345</v>
          </cell>
          <cell r="P2154">
            <v>0.05</v>
          </cell>
          <cell r="Q2154">
            <v>2043</v>
          </cell>
        </row>
        <row r="2155">
          <cell r="B2155" t="str">
            <v>OAKLAND J 1102CR252</v>
          </cell>
          <cell r="C2155">
            <v>12091102</v>
          </cell>
          <cell r="D2155" t="str">
            <v>OAKLAND J 1102</v>
          </cell>
          <cell r="E2155" t="str">
            <v>CR252</v>
          </cell>
          <cell r="F2155" t="b">
            <v>0</v>
          </cell>
          <cell r="G2155">
            <v>9962.6690132035892</v>
          </cell>
          <cell r="H2155">
            <v>1765.26038961474</v>
          </cell>
          <cell r="I2155">
            <v>92</v>
          </cell>
          <cell r="J2155">
            <v>2.0000647252224899E-5</v>
          </cell>
          <cell r="K2155">
            <v>3543</v>
          </cell>
          <cell r="L2155">
            <v>6.53844209306913E-2</v>
          </cell>
          <cell r="M2155">
            <v>3423</v>
          </cell>
          <cell r="N2155">
            <v>1.31842978081259E-6</v>
          </cell>
          <cell r="O2155">
            <v>3563</v>
          </cell>
          <cell r="P2155">
            <v>0.03</v>
          </cell>
          <cell r="Q2155">
            <v>2364</v>
          </cell>
        </row>
        <row r="2156">
          <cell r="B2156" t="str">
            <v>OAKLAND J 1102CR254</v>
          </cell>
          <cell r="C2156">
            <v>12091102</v>
          </cell>
          <cell r="D2156" t="str">
            <v>OAKLAND J 1102</v>
          </cell>
          <cell r="E2156" t="str">
            <v>CR254</v>
          </cell>
          <cell r="F2156" t="b">
            <v>0</v>
          </cell>
          <cell r="G2156">
            <v>2477.3187370622099</v>
          </cell>
          <cell r="H2156">
            <v>1687.0283092581301</v>
          </cell>
          <cell r="I2156">
            <v>20</v>
          </cell>
          <cell r="J2156">
            <v>4.0719187200011197E-5</v>
          </cell>
          <cell r="K2156">
            <v>3253</v>
          </cell>
          <cell r="L2156">
            <v>6.5917941927909798E-2</v>
          </cell>
          <cell r="M2156">
            <v>3242</v>
          </cell>
          <cell r="N2156">
            <v>2.6940841077871302E-6</v>
          </cell>
          <cell r="O2156">
            <v>3442</v>
          </cell>
          <cell r="P2156">
            <v>0.03</v>
          </cell>
          <cell r="Q2156">
            <v>2367</v>
          </cell>
        </row>
        <row r="2157">
          <cell r="B2157" t="str">
            <v>OAKLAND J 1105153228</v>
          </cell>
          <cell r="C2157">
            <v>12091105</v>
          </cell>
          <cell r="D2157" t="str">
            <v>OAKLAND J 1105</v>
          </cell>
          <cell r="E2157">
            <v>153228</v>
          </cell>
          <cell r="F2157" t="b">
            <v>1</v>
          </cell>
          <cell r="G2157">
            <v>6680.4391388328704</v>
          </cell>
          <cell r="H2157">
            <v>463.49596630912299</v>
          </cell>
          <cell r="I2157">
            <v>54</v>
          </cell>
          <cell r="J2157">
            <v>2.1537585985688701E-5</v>
          </cell>
          <cell r="K2157">
            <v>3528</v>
          </cell>
          <cell r="L2157">
            <v>6.5194579738157704E-2</v>
          </cell>
          <cell r="M2157">
            <v>3513</v>
          </cell>
          <cell r="N2157">
            <v>1.40409644230926E-6</v>
          </cell>
          <cell r="O2157">
            <v>3557</v>
          </cell>
          <cell r="P2157">
            <v>0.02</v>
          </cell>
          <cell r="Q2157">
            <v>2445</v>
          </cell>
        </row>
        <row r="2158">
          <cell r="B2158" t="str">
            <v>OAKLAND J 1105CR150</v>
          </cell>
          <cell r="C2158">
            <v>12091105</v>
          </cell>
          <cell r="D2158" t="str">
            <v>OAKLAND J 1105</v>
          </cell>
          <cell r="E2158" t="str">
            <v>CR150</v>
          </cell>
          <cell r="F2158" t="b">
            <v>1</v>
          </cell>
          <cell r="G2158">
            <v>755.18852510463898</v>
          </cell>
          <cell r="H2158">
            <v>348.54207652999798</v>
          </cell>
          <cell r="I2158">
            <v>6</v>
          </cell>
          <cell r="J2158">
            <v>2.5203150744346201E-5</v>
          </cell>
          <cell r="K2158">
            <v>3494</v>
          </cell>
          <cell r="L2158">
            <v>6.5789349210529202E-2</v>
          </cell>
          <cell r="M2158">
            <v>3290</v>
          </cell>
          <cell r="N2158">
            <v>1.6670172703872599E-6</v>
          </cell>
          <cell r="O2158">
            <v>3538</v>
          </cell>
          <cell r="P2158">
            <v>0.05</v>
          </cell>
          <cell r="Q2158">
            <v>1981</v>
          </cell>
        </row>
        <row r="2159">
          <cell r="B2159" t="str">
            <v>OAKLAND J 1105CR256</v>
          </cell>
          <cell r="C2159">
            <v>12091105</v>
          </cell>
          <cell r="D2159" t="str">
            <v>OAKLAND J 1105</v>
          </cell>
          <cell r="E2159" t="str">
            <v>CR256</v>
          </cell>
          <cell r="F2159" t="b">
            <v>0</v>
          </cell>
          <cell r="G2159">
            <v>2967.1611621890802</v>
          </cell>
          <cell r="H2159">
            <v>1965.42241850499</v>
          </cell>
          <cell r="I2159">
            <v>27</v>
          </cell>
          <cell r="J2159">
            <v>4.4193922332380198E-5</v>
          </cell>
          <cell r="K2159">
            <v>3187</v>
          </cell>
          <cell r="L2159">
            <v>6.5813244768866699E-2</v>
          </cell>
          <cell r="M2159">
            <v>3263</v>
          </cell>
          <cell r="N2159">
            <v>2.9181314392624098E-6</v>
          </cell>
          <cell r="O2159">
            <v>3421</v>
          </cell>
          <cell r="P2159">
            <v>0.05</v>
          </cell>
          <cell r="Q2159">
            <v>2053</v>
          </cell>
        </row>
        <row r="2160">
          <cell r="B2160" t="str">
            <v>OAKLAND J 1106CR164</v>
          </cell>
          <cell r="C2160">
            <v>12091106</v>
          </cell>
          <cell r="D2160" t="str">
            <v>OAKLAND J 1106</v>
          </cell>
          <cell r="E2160" t="str">
            <v>CR164</v>
          </cell>
          <cell r="F2160" t="b">
            <v>0</v>
          </cell>
          <cell r="G2160">
            <v>10563.043573978601</v>
          </cell>
          <cell r="H2160">
            <v>2405.3876785764801</v>
          </cell>
          <cell r="I2160">
            <v>85</v>
          </cell>
          <cell r="J2160">
            <v>2.13655224282533E-5</v>
          </cell>
          <cell r="K2160">
            <v>3530</v>
          </cell>
          <cell r="L2160">
            <v>6.5434207460459498E-2</v>
          </cell>
          <cell r="M2160">
            <v>3402</v>
          </cell>
          <cell r="N2160">
            <v>1.4078719571343499E-6</v>
          </cell>
          <cell r="O2160">
            <v>3555</v>
          </cell>
          <cell r="P2160">
            <v>0.03</v>
          </cell>
          <cell r="Q2160">
            <v>2312</v>
          </cell>
        </row>
        <row r="2161">
          <cell r="B2161" t="str">
            <v>OAKLAND J 1106CR330</v>
          </cell>
          <cell r="C2161">
            <v>12091106</v>
          </cell>
          <cell r="D2161" t="str">
            <v>OAKLAND J 1106</v>
          </cell>
          <cell r="E2161" t="str">
            <v>CR330</v>
          </cell>
          <cell r="F2161" t="b">
            <v>0</v>
          </cell>
          <cell r="G2161">
            <v>3874.5760355843399</v>
          </cell>
          <cell r="H2161">
            <v>1155.58377616651</v>
          </cell>
          <cell r="I2161">
            <v>31</v>
          </cell>
          <cell r="J2161">
            <v>1.89860044580806E-5</v>
          </cell>
          <cell r="K2161">
            <v>3552</v>
          </cell>
          <cell r="L2161">
            <v>6.5437597644333795E-2</v>
          </cell>
          <cell r="M2161">
            <v>3399</v>
          </cell>
          <cell r="N2161">
            <v>1.2462860265220101E-6</v>
          </cell>
          <cell r="O2161">
            <v>3569</v>
          </cell>
          <cell r="P2161">
            <v>0.03</v>
          </cell>
          <cell r="Q2161">
            <v>2322</v>
          </cell>
        </row>
        <row r="2162">
          <cell r="B2162" t="str">
            <v>OAKLAND J 1116CB</v>
          </cell>
          <cell r="C2162">
            <v>12091116</v>
          </cell>
          <cell r="D2162" t="str">
            <v>OAKLAND J 1116</v>
          </cell>
          <cell r="E2162" t="str">
            <v>CB</v>
          </cell>
          <cell r="F2162" t="b">
            <v>1</v>
          </cell>
          <cell r="G2162">
            <v>30164.894059856601</v>
          </cell>
          <cell r="H2162">
            <v>0</v>
          </cell>
          <cell r="I2162">
            <v>253</v>
          </cell>
          <cell r="J2162">
            <v>1.2121094374762801E-5</v>
          </cell>
          <cell r="K2162">
            <v>3608</v>
          </cell>
          <cell r="L2162">
            <v>6.5146990120410905E-2</v>
          </cell>
          <cell r="M2162">
            <v>3612</v>
          </cell>
          <cell r="N2162">
            <v>7.8965281548124301E-7</v>
          </cell>
          <cell r="O2162">
            <v>3611</v>
          </cell>
          <cell r="Q2162">
            <v>2681</v>
          </cell>
        </row>
        <row r="2163">
          <cell r="B2163" t="str">
            <v>OAKLAND J 1116CR328</v>
          </cell>
          <cell r="C2163">
            <v>12091116</v>
          </cell>
          <cell r="D2163" t="str">
            <v>OAKLAND J 1116</v>
          </cell>
          <cell r="E2163" t="str">
            <v>CR328</v>
          </cell>
          <cell r="F2163" t="b">
            <v>1</v>
          </cell>
          <cell r="G2163">
            <v>7907.5060924281997</v>
          </cell>
          <cell r="H2163">
            <v>956.12414960717001</v>
          </cell>
          <cell r="I2163">
            <v>68</v>
          </cell>
          <cell r="J2163">
            <v>1.90485009738949E-5</v>
          </cell>
          <cell r="K2163">
            <v>3550</v>
          </cell>
          <cell r="L2163">
            <v>6.5298157141489094E-2</v>
          </cell>
          <cell r="M2163">
            <v>3462</v>
          </cell>
          <cell r="N2163">
            <v>1.24576426086396E-6</v>
          </cell>
          <cell r="O2163">
            <v>3570</v>
          </cell>
          <cell r="Q2163">
            <v>2687</v>
          </cell>
        </row>
        <row r="2164">
          <cell r="B2164" t="str">
            <v>OAKLAND J 1118CR198</v>
          </cell>
          <cell r="C2164">
            <v>12091118</v>
          </cell>
          <cell r="D2164" t="str">
            <v>OAKLAND J 1118</v>
          </cell>
          <cell r="E2164" t="str">
            <v>CR198</v>
          </cell>
          <cell r="F2164" t="b">
            <v>1</v>
          </cell>
          <cell r="G2164">
            <v>8475.9686992848692</v>
          </cell>
          <cell r="H2164">
            <v>515.47709684972097</v>
          </cell>
          <cell r="I2164">
            <v>70</v>
          </cell>
          <cell r="J2164">
            <v>1.53569497750391E-5</v>
          </cell>
          <cell r="K2164">
            <v>3584</v>
          </cell>
          <cell r="L2164">
            <v>6.5238770097494098E-2</v>
          </cell>
          <cell r="M2164">
            <v>3486</v>
          </cell>
          <cell r="N2164">
            <v>1.0059686304768401E-6</v>
          </cell>
          <cell r="O2164">
            <v>3592</v>
          </cell>
          <cell r="P2164">
            <v>0.02</v>
          </cell>
          <cell r="Q2164">
            <v>2547</v>
          </cell>
        </row>
        <row r="2165">
          <cell r="B2165" t="str">
            <v>OAKLAND K 1101CB</v>
          </cell>
          <cell r="C2165">
            <v>12101101</v>
          </cell>
          <cell r="D2165" t="str">
            <v>OAKLAND K 1101</v>
          </cell>
          <cell r="E2165" t="str">
            <v>CB</v>
          </cell>
          <cell r="F2165" t="b">
            <v>1</v>
          </cell>
          <cell r="G2165">
            <v>3805.7328890733302</v>
          </cell>
          <cell r="H2165">
            <v>538.45976089693795</v>
          </cell>
          <cell r="I2165">
            <v>40</v>
          </cell>
          <cell r="J2165">
            <v>4.4234849985969003E-5</v>
          </cell>
          <cell r="K2165">
            <v>3185</v>
          </cell>
          <cell r="L2165">
            <v>6.5436097048222994E-2</v>
          </cell>
          <cell r="M2165">
            <v>3400</v>
          </cell>
          <cell r="N2165">
            <v>2.9186136302191702E-6</v>
          </cell>
          <cell r="O2165">
            <v>3420</v>
          </cell>
          <cell r="P2165">
            <v>0.04</v>
          </cell>
          <cell r="Q2165">
            <v>2228</v>
          </cell>
        </row>
        <row r="2166">
          <cell r="B2166" t="str">
            <v>OAKLAND K 1101CR170</v>
          </cell>
          <cell r="C2166">
            <v>12101101</v>
          </cell>
          <cell r="D2166" t="str">
            <v>OAKLAND K 1101</v>
          </cell>
          <cell r="E2166" t="str">
            <v>CR170</v>
          </cell>
          <cell r="F2166" t="b">
            <v>0</v>
          </cell>
          <cell r="G2166">
            <v>2012.91749490846</v>
          </cell>
          <cell r="H2166">
            <v>2012.91749490846</v>
          </cell>
          <cell r="I2166">
            <v>17</v>
          </cell>
          <cell r="J2166">
            <v>8.38216461381628E-5</v>
          </cell>
          <cell r="K2166">
            <v>2100</v>
          </cell>
          <cell r="L2166">
            <v>6.6431909799575806E-2</v>
          </cell>
          <cell r="M2166">
            <v>2973</v>
          </cell>
          <cell r="N2166">
            <v>5.5684320355023898E-6</v>
          </cell>
          <cell r="O2166">
            <v>3237</v>
          </cell>
          <cell r="P2166">
            <v>0.21</v>
          </cell>
          <cell r="Q2166">
            <v>1138</v>
          </cell>
        </row>
        <row r="2167">
          <cell r="B2167" t="str">
            <v>OAKLAND K 1101CR172</v>
          </cell>
          <cell r="C2167">
            <v>12101101</v>
          </cell>
          <cell r="D2167" t="str">
            <v>OAKLAND K 1101</v>
          </cell>
          <cell r="E2167" t="str">
            <v>CR172</v>
          </cell>
          <cell r="F2167" t="b">
            <v>1</v>
          </cell>
          <cell r="G2167">
            <v>3350.0951214619899</v>
          </cell>
          <cell r="H2167">
            <v>904.96609470792396</v>
          </cell>
          <cell r="I2167">
            <v>30</v>
          </cell>
          <cell r="J2167">
            <v>4.8943049432637002E-5</v>
          </cell>
          <cell r="K2167">
            <v>3065</v>
          </cell>
          <cell r="L2167">
            <v>6.5361143400271701E-2</v>
          </cell>
          <cell r="M2167">
            <v>3434</v>
          </cell>
          <cell r="N2167">
            <v>3.2090348116014398E-6</v>
          </cell>
          <cell r="O2167">
            <v>3388</v>
          </cell>
          <cell r="P2167">
            <v>0.05</v>
          </cell>
          <cell r="Q2167">
            <v>2015</v>
          </cell>
        </row>
        <row r="2168">
          <cell r="B2168" t="str">
            <v>OAKLAND K 1101CR178</v>
          </cell>
          <cell r="C2168">
            <v>12101101</v>
          </cell>
          <cell r="D2168" t="str">
            <v>OAKLAND K 1101</v>
          </cell>
          <cell r="E2168" t="str">
            <v>CR178</v>
          </cell>
          <cell r="F2168" t="b">
            <v>1</v>
          </cell>
          <cell r="G2168">
            <v>529.88615504294398</v>
          </cell>
          <cell r="H2168">
            <v>529.88615504294398</v>
          </cell>
          <cell r="I2168">
            <v>7</v>
          </cell>
          <cell r="J2168">
            <v>1.4845732532973801E-4</v>
          </cell>
          <cell r="K2168">
            <v>758</v>
          </cell>
          <cell r="L2168">
            <v>6.6431909799575806E-2</v>
          </cell>
          <cell r="M2168">
            <v>2953</v>
          </cell>
          <cell r="N2168">
            <v>9.86230364539143E-6</v>
          </cell>
          <cell r="O2168">
            <v>3070</v>
          </cell>
          <cell r="P2168">
            <v>0.28999999999999998</v>
          </cell>
          <cell r="Q2168">
            <v>1028</v>
          </cell>
        </row>
        <row r="2169">
          <cell r="B2169" t="str">
            <v>OAKLAND K 1101CR346</v>
          </cell>
          <cell r="C2169">
            <v>12101101</v>
          </cell>
          <cell r="D2169" t="str">
            <v>OAKLAND K 1101</v>
          </cell>
          <cell r="E2169" t="str">
            <v>CR346</v>
          </cell>
          <cell r="F2169" t="b">
            <v>1</v>
          </cell>
          <cell r="G2169">
            <v>330.94690651064599</v>
          </cell>
          <cell r="H2169">
            <v>330.94690651064599</v>
          </cell>
          <cell r="I2169">
            <v>3</v>
          </cell>
          <cell r="J2169">
            <v>2.19881340550879E-4</v>
          </cell>
          <cell r="K2169">
            <v>322</v>
          </cell>
          <cell r="L2169">
            <v>6.6431909799575806E-2</v>
          </cell>
          <cell r="M2169">
            <v>2961</v>
          </cell>
          <cell r="N2169">
            <v>1.4607137382085801E-5</v>
          </cell>
          <cell r="O2169">
            <v>3013</v>
          </cell>
          <cell r="P2169">
            <v>0.27</v>
          </cell>
          <cell r="Q2169">
            <v>1053</v>
          </cell>
        </row>
        <row r="2170">
          <cell r="B2170" t="str">
            <v>OAKLAND K 110217430</v>
          </cell>
          <cell r="C2170">
            <v>12101102</v>
          </cell>
          <cell r="D2170" t="str">
            <v>OAKLAND K 1102</v>
          </cell>
          <cell r="E2170">
            <v>17430</v>
          </cell>
          <cell r="F2170" t="b">
            <v>0</v>
          </cell>
          <cell r="G2170">
            <v>2364.8216832334201</v>
          </cell>
          <cell r="H2170">
            <v>2364.8216832334201</v>
          </cell>
          <cell r="I2170">
            <v>15</v>
          </cell>
          <cell r="J2170">
            <v>1.19511518520691E-4</v>
          </cell>
          <cell r="K2170">
            <v>1195</v>
          </cell>
          <cell r="L2170">
            <v>247.44367202108501</v>
          </cell>
          <cell r="M2170">
            <v>1547</v>
          </cell>
          <cell r="N2170">
            <v>3.5766917437038998E-2</v>
          </cell>
          <cell r="O2170">
            <v>1360</v>
          </cell>
          <cell r="P2170">
            <v>32.76</v>
          </cell>
          <cell r="Q2170">
            <v>224</v>
          </cell>
        </row>
        <row r="2171">
          <cell r="B2171" t="str">
            <v>OAKLAND K 1102CB</v>
          </cell>
          <cell r="C2171">
            <v>12101102</v>
          </cell>
          <cell r="D2171" t="str">
            <v>OAKLAND K 1102</v>
          </cell>
          <cell r="E2171" t="str">
            <v>CB</v>
          </cell>
          <cell r="F2171" t="b">
            <v>0</v>
          </cell>
          <cell r="G2171">
            <v>4816.3453076975702</v>
          </cell>
          <cell r="H2171">
            <v>4816.3453076975702</v>
          </cell>
          <cell r="I2171">
            <v>40</v>
          </cell>
          <cell r="J2171">
            <v>1.3400825782809901E-4</v>
          </cell>
          <cell r="K2171">
            <v>943</v>
          </cell>
          <cell r="L2171">
            <v>11.9587877560593</v>
          </cell>
          <cell r="M2171">
            <v>2585</v>
          </cell>
          <cell r="N2171">
            <v>7.6879742162448402E-4</v>
          </cell>
          <cell r="O2171">
            <v>2675</v>
          </cell>
          <cell r="P2171">
            <v>31.2</v>
          </cell>
          <cell r="Q2171">
            <v>232</v>
          </cell>
        </row>
        <row r="2172">
          <cell r="B2172" t="str">
            <v>OAKLAND K 1102CR014</v>
          </cell>
          <cell r="C2172">
            <v>12101102</v>
          </cell>
          <cell r="D2172" t="str">
            <v>OAKLAND K 1102</v>
          </cell>
          <cell r="E2172" t="str">
            <v>CR014</v>
          </cell>
          <cell r="F2172" t="b">
            <v>0</v>
          </cell>
          <cell r="G2172">
            <v>16905.861897587802</v>
          </cell>
          <cell r="H2172">
            <v>16905.861897587802</v>
          </cell>
          <cell r="I2172">
            <v>137</v>
          </cell>
          <cell r="J2172">
            <v>1.3845195157258399E-4</v>
          </cell>
          <cell r="K2172">
            <v>889</v>
          </cell>
          <cell r="L2172">
            <v>0.41497270632094402</v>
          </cell>
          <cell r="M2172">
            <v>2915</v>
          </cell>
          <cell r="N2172">
            <v>6.2366475825364304E-5</v>
          </cell>
          <cell r="O2172">
            <v>2897</v>
          </cell>
          <cell r="P2172">
            <v>0.99</v>
          </cell>
          <cell r="Q2172">
            <v>734</v>
          </cell>
        </row>
        <row r="2173">
          <cell r="B2173" t="str">
            <v>OAKLAND K 1103CB</v>
          </cell>
          <cell r="C2173">
            <v>12101103</v>
          </cell>
          <cell r="D2173" t="str">
            <v>OAKLAND K 1103</v>
          </cell>
          <cell r="E2173" t="str">
            <v>CB</v>
          </cell>
          <cell r="F2173" t="b">
            <v>1</v>
          </cell>
          <cell r="G2173">
            <v>7954.9461890409802</v>
          </cell>
          <cell r="H2173">
            <v>769.16213479250098</v>
          </cell>
          <cell r="I2173">
            <v>66</v>
          </cell>
          <cell r="J2173">
            <v>4.1996043535164002E-5</v>
          </cell>
          <cell r="K2173">
            <v>3224</v>
          </cell>
          <cell r="L2173">
            <v>6.5263801000335006E-2</v>
          </cell>
          <cell r="M2173">
            <v>3474</v>
          </cell>
          <cell r="N2173">
            <v>2.75803596923528E-6</v>
          </cell>
          <cell r="O2173">
            <v>3435</v>
          </cell>
          <cell r="P2173">
            <v>0.02</v>
          </cell>
          <cell r="Q2173">
            <v>2428</v>
          </cell>
        </row>
        <row r="2174">
          <cell r="B2174" t="str">
            <v>OAKLAND K 1103CR188</v>
          </cell>
          <cell r="C2174">
            <v>12101103</v>
          </cell>
          <cell r="D2174" t="str">
            <v>OAKLAND K 1103</v>
          </cell>
          <cell r="E2174" t="str">
            <v>CR188</v>
          </cell>
          <cell r="F2174" t="b">
            <v>0</v>
          </cell>
          <cell r="G2174">
            <v>5760.2046993853501</v>
          </cell>
          <cell r="H2174">
            <v>5760.2046993853501</v>
          </cell>
          <cell r="I2174">
            <v>47</v>
          </cell>
          <cell r="J2174">
            <v>1.07527235702443E-4</v>
          </cell>
          <cell r="K2174">
            <v>1463</v>
          </cell>
          <cell r="L2174">
            <v>6.6431472504029199E-2</v>
          </cell>
          <cell r="M2174">
            <v>3016</v>
          </cell>
          <cell r="N2174">
            <v>7.1431913575238902E-6</v>
          </cell>
          <cell r="O2174">
            <v>3160</v>
          </cell>
          <cell r="P2174">
            <v>0.38</v>
          </cell>
          <cell r="Q2174">
            <v>960</v>
          </cell>
        </row>
        <row r="2175">
          <cell r="B2175" t="str">
            <v>OAKLAND K 1103CR422</v>
          </cell>
          <cell r="C2175">
            <v>12101103</v>
          </cell>
          <cell r="D2175" t="str">
            <v>OAKLAND K 1103</v>
          </cell>
          <cell r="E2175" t="str">
            <v>CR422</v>
          </cell>
          <cell r="F2175" t="b">
            <v>0</v>
          </cell>
          <cell r="G2175">
            <v>3299.6108870572698</v>
          </cell>
          <cell r="H2175">
            <v>3238.2815901136901</v>
          </cell>
          <cell r="I2175">
            <v>24</v>
          </cell>
          <cell r="J2175">
            <v>9.4397882056303605E-5</v>
          </cell>
          <cell r="K2175">
            <v>1783</v>
          </cell>
          <cell r="L2175">
            <v>6.6378371479610607E-2</v>
          </cell>
          <cell r="M2175">
            <v>3128</v>
          </cell>
          <cell r="N2175">
            <v>6.2702954846732303E-6</v>
          </cell>
          <cell r="O2175">
            <v>3198</v>
          </cell>
          <cell r="P2175">
            <v>0.06</v>
          </cell>
          <cell r="Q2175">
            <v>1855</v>
          </cell>
        </row>
        <row r="2176">
          <cell r="B2176" t="str">
            <v>OAKLAND K 1104432850</v>
          </cell>
          <cell r="C2176">
            <v>12101104</v>
          </cell>
          <cell r="D2176" t="str">
            <v>OAKLAND K 1104</v>
          </cell>
          <cell r="E2176">
            <v>432850</v>
          </cell>
          <cell r="F2176" t="b">
            <v>0</v>
          </cell>
          <cell r="G2176">
            <v>1988.32736443059</v>
          </cell>
          <cell r="H2176">
            <v>1988.32736443059</v>
          </cell>
          <cell r="I2176">
            <v>26</v>
          </cell>
          <cell r="J2176">
            <v>1.05197462569496E-4</v>
          </cell>
          <cell r="K2176">
            <v>1514</v>
          </cell>
          <cell r="L2176">
            <v>6.6431404108531794E-2</v>
          </cell>
          <cell r="M2176">
            <v>3017</v>
          </cell>
          <cell r="N2176">
            <v>6.9883927533018802E-6</v>
          </cell>
          <cell r="O2176">
            <v>3165</v>
          </cell>
          <cell r="Q2176">
            <v>2834</v>
          </cell>
        </row>
        <row r="2177">
          <cell r="B2177" t="str">
            <v>OAKLAND K 1104CB</v>
          </cell>
          <cell r="C2177">
            <v>12101104</v>
          </cell>
          <cell r="D2177" t="str">
            <v>OAKLAND K 1104</v>
          </cell>
          <cell r="E2177" t="str">
            <v>CB</v>
          </cell>
          <cell r="F2177" t="b">
            <v>0</v>
          </cell>
          <cell r="G2177">
            <v>2366.5049922045901</v>
          </cell>
          <cell r="H2177">
            <v>2366.5049922045901</v>
          </cell>
          <cell r="I2177">
            <v>17</v>
          </cell>
          <cell r="J2177">
            <v>5.9542383978088502E-5</v>
          </cell>
          <cell r="K2177">
            <v>2787</v>
          </cell>
          <cell r="L2177">
            <v>6.6431767565038102E-2</v>
          </cell>
          <cell r="M2177">
            <v>2992</v>
          </cell>
          <cell r="N2177">
            <v>3.9555071199547397E-6</v>
          </cell>
          <cell r="O2177">
            <v>3338</v>
          </cell>
          <cell r="P2177">
            <v>0.14000000000000001</v>
          </cell>
          <cell r="Q2177">
            <v>1312</v>
          </cell>
        </row>
        <row r="2178">
          <cell r="B2178" t="str">
            <v>OAKLAND K 1104CR204</v>
          </cell>
          <cell r="C2178">
            <v>12101104</v>
          </cell>
          <cell r="D2178" t="str">
            <v>OAKLAND K 1104</v>
          </cell>
          <cell r="E2178" t="str">
            <v>CR204</v>
          </cell>
          <cell r="F2178" t="b">
            <v>0</v>
          </cell>
          <cell r="G2178">
            <v>6639.5297933991797</v>
          </cell>
          <cell r="H2178">
            <v>6639.5297933991797</v>
          </cell>
          <cell r="I2178">
            <v>49</v>
          </cell>
          <cell r="J2178">
            <v>1.50047330546896E-4</v>
          </cell>
          <cell r="K2178">
            <v>734</v>
          </cell>
          <cell r="L2178">
            <v>6.6430549658656704E-2</v>
          </cell>
          <cell r="M2178">
            <v>3107</v>
          </cell>
          <cell r="N2178">
            <v>9.9677266430444596E-6</v>
          </cell>
          <cell r="O2178">
            <v>3068</v>
          </cell>
          <cell r="P2178">
            <v>0.48</v>
          </cell>
          <cell r="Q2178">
            <v>901</v>
          </cell>
        </row>
        <row r="2179">
          <cell r="B2179" t="str">
            <v>OAKLAND K 1104CR206</v>
          </cell>
          <cell r="C2179">
            <v>12101104</v>
          </cell>
          <cell r="D2179" t="str">
            <v>OAKLAND K 1104</v>
          </cell>
          <cell r="E2179" t="str">
            <v>CR206</v>
          </cell>
          <cell r="F2179" t="b">
            <v>0</v>
          </cell>
          <cell r="G2179">
            <v>2877.1567724705201</v>
          </cell>
          <cell r="H2179">
            <v>2877.1567724705201</v>
          </cell>
          <cell r="I2179">
            <v>22</v>
          </cell>
          <cell r="J2179">
            <v>1.27169130461301E-4</v>
          </cell>
          <cell r="K2179">
            <v>1061</v>
          </cell>
          <cell r="L2179">
            <v>6.6430549658656704E-2</v>
          </cell>
          <cell r="M2179">
            <v>3108</v>
          </cell>
          <cell r="N2179">
            <v>8.4479152361576496E-6</v>
          </cell>
          <cell r="O2179">
            <v>3108</v>
          </cell>
          <cell r="P2179">
            <v>0.28000000000000003</v>
          </cell>
          <cell r="Q2179">
            <v>1042</v>
          </cell>
        </row>
        <row r="2180">
          <cell r="B2180" t="str">
            <v>OAKLAND K 1104CR208</v>
          </cell>
          <cell r="C2180">
            <v>12101104</v>
          </cell>
          <cell r="D2180" t="str">
            <v>OAKLAND K 1104</v>
          </cell>
          <cell r="E2180" t="str">
            <v>CR208</v>
          </cell>
          <cell r="F2180" t="b">
            <v>0</v>
          </cell>
          <cell r="G2180">
            <v>3895.4110708825401</v>
          </cell>
          <cell r="H2180">
            <v>3895.4110708825401</v>
          </cell>
          <cell r="I2180">
            <v>29</v>
          </cell>
          <cell r="J2180">
            <v>8.4980031872340802E-5</v>
          </cell>
          <cell r="K2180">
            <v>2061</v>
          </cell>
          <cell r="L2180">
            <v>6.6431253189402295E-2</v>
          </cell>
          <cell r="M2180">
            <v>3052</v>
          </cell>
          <cell r="N2180">
            <v>5.6453259668215596E-6</v>
          </cell>
          <cell r="O2180">
            <v>3233</v>
          </cell>
          <cell r="P2180">
            <v>0.19</v>
          </cell>
          <cell r="Q2180">
            <v>1185</v>
          </cell>
        </row>
        <row r="2181">
          <cell r="B2181" t="str">
            <v>OAKLAND K 1104CR210</v>
          </cell>
          <cell r="C2181">
            <v>12101104</v>
          </cell>
          <cell r="D2181" t="str">
            <v>OAKLAND K 1104</v>
          </cell>
          <cell r="E2181" t="str">
            <v>CR210</v>
          </cell>
          <cell r="F2181" t="b">
            <v>0</v>
          </cell>
          <cell r="G2181">
            <v>4546.5469607453097</v>
          </cell>
          <cell r="H2181">
            <v>4546.5469607453097</v>
          </cell>
          <cell r="I2181">
            <v>35</v>
          </cell>
          <cell r="J2181">
            <v>7.7660541137447499E-5</v>
          </cell>
          <cell r="K2181">
            <v>2270</v>
          </cell>
          <cell r="L2181">
            <v>6.6431218943461198E-2</v>
          </cell>
          <cell r="M2181">
            <v>3091</v>
          </cell>
          <cell r="N2181">
            <v>5.1590778310816904E-6</v>
          </cell>
          <cell r="O2181">
            <v>3260</v>
          </cell>
          <cell r="P2181">
            <v>0.14000000000000001</v>
          </cell>
          <cell r="Q2181">
            <v>1309</v>
          </cell>
        </row>
        <row r="2182">
          <cell r="B2182" t="str">
            <v>OAKLAND K 1104CR326</v>
          </cell>
          <cell r="C2182">
            <v>12101104</v>
          </cell>
          <cell r="D2182" t="str">
            <v>OAKLAND K 1104</v>
          </cell>
          <cell r="E2182" t="str">
            <v>CR326</v>
          </cell>
          <cell r="F2182" t="b">
            <v>0</v>
          </cell>
          <cell r="G2182">
            <v>2098.9600836905602</v>
          </cell>
          <cell r="H2182">
            <v>2098.9600836905602</v>
          </cell>
          <cell r="I2182">
            <v>17</v>
          </cell>
          <cell r="J2182">
            <v>1.06862193634322E-4</v>
          </cell>
          <cell r="K2182">
            <v>1482</v>
          </cell>
          <cell r="L2182">
            <v>6.6430638557966604E-2</v>
          </cell>
          <cell r="M2182">
            <v>3106</v>
          </cell>
          <cell r="N2182">
            <v>7.0989235255608701E-6</v>
          </cell>
          <cell r="O2182">
            <v>3162</v>
          </cell>
          <cell r="P2182">
            <v>16.75</v>
          </cell>
          <cell r="Q2182">
            <v>337</v>
          </cell>
        </row>
        <row r="2183">
          <cell r="B2183" t="str">
            <v>OAKLAND X 1101328808</v>
          </cell>
          <cell r="C2183">
            <v>12541101</v>
          </cell>
          <cell r="D2183" t="str">
            <v>OAKLAND X 1101</v>
          </cell>
          <cell r="E2183">
            <v>328808</v>
          </cell>
          <cell r="F2183" t="b">
            <v>1</v>
          </cell>
          <cell r="G2183">
            <v>186.46864229653099</v>
          </cell>
          <cell r="H2183">
            <v>186.46864229653099</v>
          </cell>
          <cell r="I2183">
            <v>1</v>
          </cell>
          <cell r="J2183">
            <v>1.3476717867888499E-4</v>
          </cell>
          <cell r="K2183">
            <v>930</v>
          </cell>
          <cell r="L2183">
            <v>6.6431909799575806E-2</v>
          </cell>
          <cell r="M2183">
            <v>2960</v>
          </cell>
          <cell r="N2183">
            <v>8.9528410579390108E-6</v>
          </cell>
          <cell r="O2183">
            <v>3096</v>
          </cell>
          <cell r="Q2183">
            <v>3574</v>
          </cell>
        </row>
        <row r="2184">
          <cell r="B2184" t="str">
            <v>OAKLAND X 1101CR224</v>
          </cell>
          <cell r="C2184">
            <v>12541101</v>
          </cell>
          <cell r="D2184" t="str">
            <v>OAKLAND X 1101</v>
          </cell>
          <cell r="E2184" t="str">
            <v>CR224</v>
          </cell>
          <cell r="F2184" t="b">
            <v>1</v>
          </cell>
          <cell r="G2184">
            <v>1656.0036509050999</v>
          </cell>
          <cell r="H2184">
            <v>656.35474249979302</v>
          </cell>
          <cell r="I2184">
            <v>17</v>
          </cell>
          <cell r="J2184">
            <v>1.2031483629471E-4</v>
          </cell>
          <cell r="K2184">
            <v>1179</v>
          </cell>
          <cell r="L2184">
            <v>6.5676074694184697E-2</v>
          </cell>
          <cell r="M2184">
            <v>3317</v>
          </cell>
          <cell r="N2184">
            <v>7.8938326083065008E-6</v>
          </cell>
          <cell r="O2184">
            <v>3127</v>
          </cell>
          <cell r="P2184">
            <v>0.04</v>
          </cell>
          <cell r="Q2184">
            <v>2180</v>
          </cell>
        </row>
        <row r="2185">
          <cell r="B2185" t="str">
            <v>OAKLAND X 1104391688</v>
          </cell>
          <cell r="C2185">
            <v>12541104</v>
          </cell>
          <cell r="D2185" t="str">
            <v>OAKLAND X 1104</v>
          </cell>
          <cell r="E2185">
            <v>391688</v>
          </cell>
          <cell r="F2185" t="b">
            <v>0</v>
          </cell>
          <cell r="G2185">
            <v>2071.7210353554001</v>
          </cell>
          <cell r="H2185">
            <v>2071.7210353554001</v>
          </cell>
          <cell r="I2185">
            <v>16</v>
          </cell>
          <cell r="J2185">
            <v>1.7212314378411899E-4</v>
          </cell>
          <cell r="K2185">
            <v>549</v>
          </cell>
          <cell r="L2185">
            <v>6.6430549658656704E-2</v>
          </cell>
          <cell r="M2185">
            <v>3109</v>
          </cell>
          <cell r="N2185">
            <v>1.1434235050554999E-5</v>
          </cell>
          <cell r="O2185">
            <v>3042</v>
          </cell>
          <cell r="Q2185">
            <v>2694</v>
          </cell>
        </row>
        <row r="2186">
          <cell r="B2186" t="str">
            <v>OAKLAND X 1104645092</v>
          </cell>
          <cell r="C2186">
            <v>12541104</v>
          </cell>
          <cell r="D2186" t="str">
            <v>OAKLAND X 1104</v>
          </cell>
          <cell r="E2186">
            <v>645092</v>
          </cell>
          <cell r="F2186" t="b">
            <v>0</v>
          </cell>
          <cell r="G2186">
            <v>2229.60216092769</v>
          </cell>
          <cell r="H2186">
            <v>2229.60216092769</v>
          </cell>
          <cell r="I2186">
            <v>16</v>
          </cell>
          <cell r="J2186">
            <v>1.1370125739631399E-4</v>
          </cell>
          <cell r="K2186">
            <v>1326</v>
          </cell>
          <cell r="L2186">
            <v>6.6351602319628E-2</v>
          </cell>
          <cell r="M2186">
            <v>3135</v>
          </cell>
          <cell r="N2186">
            <v>7.5529234139119397E-6</v>
          </cell>
          <cell r="O2186">
            <v>3143</v>
          </cell>
          <cell r="Q2186">
            <v>3010</v>
          </cell>
        </row>
        <row r="2187">
          <cell r="B2187" t="str">
            <v>OAKLAND X 1104CR022</v>
          </cell>
          <cell r="C2187">
            <v>12541104</v>
          </cell>
          <cell r="D2187" t="str">
            <v>OAKLAND X 1104</v>
          </cell>
          <cell r="E2187" t="str">
            <v>CR022</v>
          </cell>
          <cell r="F2187" t="b">
            <v>0</v>
          </cell>
          <cell r="G2187">
            <v>6467.1641792548198</v>
          </cell>
          <cell r="H2187">
            <v>6467.1641792548198</v>
          </cell>
          <cell r="I2187">
            <v>48</v>
          </cell>
          <cell r="J2187">
            <v>1.6152467590776099E-4</v>
          </cell>
          <cell r="K2187">
            <v>625</v>
          </cell>
          <cell r="L2187">
            <v>6.6430738569690298E-2</v>
          </cell>
          <cell r="M2187">
            <v>3103</v>
          </cell>
          <cell r="N2187">
            <v>1.0730208357919199E-5</v>
          </cell>
          <cell r="O2187">
            <v>3053</v>
          </cell>
          <cell r="P2187">
            <v>12.67</v>
          </cell>
          <cell r="Q2187">
            <v>369</v>
          </cell>
        </row>
        <row r="2188">
          <cell r="B2188" t="str">
            <v>OAKLAND X 1104CR101</v>
          </cell>
          <cell r="C2188">
            <v>12541104</v>
          </cell>
          <cell r="D2188" t="str">
            <v>OAKLAND X 1104</v>
          </cell>
          <cell r="E2188" t="str">
            <v>CR101</v>
          </cell>
          <cell r="F2188" t="b">
            <v>1</v>
          </cell>
          <cell r="G2188">
            <v>28.3920809893872</v>
          </cell>
          <cell r="H2188">
            <v>28.3920809893872</v>
          </cell>
          <cell r="I2188">
            <v>1</v>
          </cell>
          <cell r="J2188">
            <v>1.18935880891513E-4</v>
          </cell>
          <cell r="K2188">
            <v>1208</v>
          </cell>
          <cell r="L2188">
            <v>6.6431909799575806E-2</v>
          </cell>
          <cell r="M2188">
            <v>2948</v>
          </cell>
          <cell r="N2188">
            <v>7.9011377113180801E-6</v>
          </cell>
          <cell r="O2188">
            <v>3126</v>
          </cell>
          <cell r="P2188">
            <v>0.27</v>
          </cell>
          <cell r="Q2188">
            <v>1055</v>
          </cell>
        </row>
        <row r="2189">
          <cell r="B2189" t="str">
            <v>OAKLAND X 1104CR214</v>
          </cell>
          <cell r="C2189">
            <v>12541104</v>
          </cell>
          <cell r="D2189" t="str">
            <v>OAKLAND X 1104</v>
          </cell>
          <cell r="E2189" t="str">
            <v>CR214</v>
          </cell>
          <cell r="F2189" t="b">
            <v>0</v>
          </cell>
          <cell r="G2189">
            <v>4637.14959287704</v>
          </cell>
          <cell r="H2189">
            <v>4637.14959287704</v>
          </cell>
          <cell r="I2189">
            <v>35</v>
          </cell>
          <cell r="J2189">
            <v>1.6318483186686099E-4</v>
          </cell>
          <cell r="K2189">
            <v>609</v>
          </cell>
          <cell r="L2189">
            <v>6.6431076448979706E-2</v>
          </cell>
          <cell r="M2189">
            <v>3098</v>
          </cell>
          <cell r="N2189">
            <v>1.08405356768153E-5</v>
          </cell>
          <cell r="O2189">
            <v>3051</v>
          </cell>
          <cell r="P2189">
            <v>26.71</v>
          </cell>
          <cell r="Q2189">
            <v>265</v>
          </cell>
        </row>
        <row r="2190">
          <cell r="B2190" t="str">
            <v>OAKLAND X 1104CR288</v>
          </cell>
          <cell r="C2190">
            <v>12541104</v>
          </cell>
          <cell r="D2190" t="str">
            <v>OAKLAND X 1104</v>
          </cell>
          <cell r="E2190" t="str">
            <v>CR288</v>
          </cell>
          <cell r="F2190" t="b">
            <v>0</v>
          </cell>
          <cell r="G2190">
            <v>4382.4987655769</v>
          </cell>
          <cell r="H2190">
            <v>4382.4987655769</v>
          </cell>
          <cell r="I2190">
            <v>46</v>
          </cell>
          <cell r="J2190">
            <v>1.6278458655427099E-4</v>
          </cell>
          <cell r="K2190">
            <v>615</v>
          </cell>
          <cell r="L2190">
            <v>6.6431223161519004E-2</v>
          </cell>
          <cell r="M2190">
            <v>3090</v>
          </cell>
          <cell r="N2190">
            <v>1.08139674251304E-5</v>
          </cell>
          <cell r="O2190">
            <v>3052</v>
          </cell>
          <cell r="P2190">
            <v>0.78</v>
          </cell>
          <cell r="Q2190">
            <v>779</v>
          </cell>
        </row>
        <row r="2191">
          <cell r="B2191" t="str">
            <v>OAKLAND X 1105184672</v>
          </cell>
          <cell r="C2191">
            <v>12541105</v>
          </cell>
          <cell r="D2191" t="str">
            <v>OAKLAND X 1105</v>
          </cell>
          <cell r="E2191">
            <v>184672</v>
          </cell>
          <cell r="F2191" t="b">
            <v>0</v>
          </cell>
          <cell r="G2191">
            <v>5259.1472975204697</v>
          </cell>
          <cell r="H2191">
            <v>2666.0436696567399</v>
          </cell>
          <cell r="I2191">
            <v>46</v>
          </cell>
          <cell r="J2191">
            <v>3.8231219110053201E-5</v>
          </cell>
          <cell r="K2191">
            <v>3295</v>
          </cell>
          <cell r="L2191">
            <v>6.5705650850482605E-2</v>
          </cell>
          <cell r="M2191">
            <v>3307</v>
          </cell>
          <cell r="N2191">
            <v>2.52551834324405E-6</v>
          </cell>
          <cell r="O2191">
            <v>3465</v>
          </cell>
          <cell r="Q2191">
            <v>2869</v>
          </cell>
        </row>
        <row r="2192">
          <cell r="B2192" t="str">
            <v>OAKLAND X 1105CB</v>
          </cell>
          <cell r="C2192">
            <v>12541105</v>
          </cell>
          <cell r="D2192" t="str">
            <v>OAKLAND X 1105</v>
          </cell>
          <cell r="E2192" t="str">
            <v>CB</v>
          </cell>
          <cell r="F2192" t="b">
            <v>0</v>
          </cell>
          <cell r="G2192">
            <v>18622.3449084311</v>
          </cell>
          <cell r="H2192">
            <v>1675.1277169867501</v>
          </cell>
          <cell r="I2192">
            <v>153</v>
          </cell>
          <cell r="J2192">
            <v>1.6122135483177099E-5</v>
          </cell>
          <cell r="K2192">
            <v>3579</v>
          </cell>
          <cell r="L2192">
            <v>6.5230971798787701E-2</v>
          </cell>
          <cell r="M2192">
            <v>3490</v>
          </cell>
          <cell r="N2192">
            <v>1.05780298328427E-6</v>
          </cell>
          <cell r="O2192">
            <v>3587</v>
          </cell>
          <cell r="P2192">
            <v>0.03</v>
          </cell>
          <cell r="Q2192">
            <v>2299</v>
          </cell>
        </row>
        <row r="2193">
          <cell r="B2193" t="str">
            <v>OAKLAND X 1106121588</v>
          </cell>
          <cell r="C2193">
            <v>12541106</v>
          </cell>
          <cell r="D2193" t="str">
            <v>OAKLAND X 1106</v>
          </cell>
          <cell r="E2193">
            <v>121588</v>
          </cell>
          <cell r="F2193" t="b">
            <v>0</v>
          </cell>
          <cell r="G2193">
            <v>3050.46268559485</v>
          </cell>
          <cell r="H2193">
            <v>1356.1967386132501</v>
          </cell>
          <cell r="I2193">
            <v>27</v>
          </cell>
          <cell r="J2193">
            <v>4.7073922646463701E-5</v>
          </cell>
          <cell r="K2193">
            <v>3111</v>
          </cell>
          <cell r="L2193">
            <v>6.5622886297879393E-2</v>
          </cell>
          <cell r="M2193">
            <v>3330</v>
          </cell>
          <cell r="N2193">
            <v>3.09828176567487E-6</v>
          </cell>
          <cell r="O2193">
            <v>3403</v>
          </cell>
          <cell r="Q2193">
            <v>2743</v>
          </cell>
        </row>
        <row r="2194">
          <cell r="B2194" t="str">
            <v>OAKLAND X 1106950688</v>
          </cell>
          <cell r="C2194">
            <v>12541106</v>
          </cell>
          <cell r="D2194" t="str">
            <v>OAKLAND X 1106</v>
          </cell>
          <cell r="E2194">
            <v>950688</v>
          </cell>
          <cell r="F2194" t="b">
            <v>0</v>
          </cell>
          <cell r="G2194">
            <v>5883.5053734729499</v>
          </cell>
          <cell r="H2194">
            <v>5883.5053734729499</v>
          </cell>
          <cell r="I2194">
            <v>50</v>
          </cell>
          <cell r="J2194">
            <v>1.07812790374737E-4</v>
          </cell>
          <cell r="K2194">
            <v>1454</v>
          </cell>
          <cell r="L2194">
            <v>17.192431977797298</v>
          </cell>
          <cell r="M2194">
            <v>2501</v>
          </cell>
          <cell r="N2194">
            <v>1.54067276040752E-3</v>
          </cell>
          <cell r="O2194">
            <v>2549</v>
          </cell>
          <cell r="Q2194">
            <v>2854</v>
          </cell>
        </row>
        <row r="2195">
          <cell r="B2195" t="str">
            <v>OAKLAND X 1106CB</v>
          </cell>
          <cell r="C2195">
            <v>12541106</v>
          </cell>
          <cell r="D2195" t="str">
            <v>OAKLAND X 1106</v>
          </cell>
          <cell r="E2195" t="str">
            <v>CB</v>
          </cell>
          <cell r="F2195" t="b">
            <v>0</v>
          </cell>
          <cell r="G2195">
            <v>15907.2745746982</v>
          </cell>
          <cell r="H2195">
            <v>5284.9861137018697</v>
          </cell>
          <cell r="I2195">
            <v>136</v>
          </cell>
          <cell r="J2195">
            <v>3.2104685710186802E-5</v>
          </cell>
          <cell r="K2195">
            <v>3399</v>
          </cell>
          <cell r="L2195">
            <v>6.5515433065313197E-2</v>
          </cell>
          <cell r="M2195">
            <v>3363</v>
          </cell>
          <cell r="N2195">
            <v>2.1194503089330601E-6</v>
          </cell>
          <cell r="O2195">
            <v>3501</v>
          </cell>
          <cell r="P2195">
            <v>0.06</v>
          </cell>
          <cell r="Q2195">
            <v>1835</v>
          </cell>
        </row>
        <row r="2196">
          <cell r="B2196" t="str">
            <v>OAKLAND X 1106CR008</v>
          </cell>
          <cell r="C2196">
            <v>12541106</v>
          </cell>
          <cell r="D2196" t="str">
            <v>OAKLAND X 1106</v>
          </cell>
          <cell r="E2196" t="str">
            <v>CR008</v>
          </cell>
          <cell r="F2196" t="b">
            <v>0</v>
          </cell>
          <cell r="G2196">
            <v>7178.61505525954</v>
          </cell>
          <cell r="H2196">
            <v>7178.61505525954</v>
          </cell>
          <cell r="I2196">
            <v>65</v>
          </cell>
          <cell r="J2196">
            <v>1.16021339300249E-4</v>
          </cell>
          <cell r="K2196">
            <v>1269</v>
          </cell>
          <cell r="L2196">
            <v>6.6431026292876297E-2</v>
          </cell>
          <cell r="M2196">
            <v>3099</v>
          </cell>
          <cell r="N2196">
            <v>7.7074127984865393E-6</v>
          </cell>
          <cell r="O2196">
            <v>3133</v>
          </cell>
          <cell r="P2196">
            <v>0.17</v>
          </cell>
          <cell r="Q2196">
            <v>1230</v>
          </cell>
        </row>
        <row r="2197">
          <cell r="B2197" t="str">
            <v>OAKLAND X 1106CR020</v>
          </cell>
          <cell r="C2197">
            <v>12541106</v>
          </cell>
          <cell r="D2197" t="str">
            <v>OAKLAND X 1106</v>
          </cell>
          <cell r="E2197" t="str">
            <v>CR020</v>
          </cell>
          <cell r="F2197" t="b">
            <v>0</v>
          </cell>
          <cell r="G2197">
            <v>3932.8973805121</v>
          </cell>
          <cell r="H2197">
            <v>3932.8973805121</v>
          </cell>
          <cell r="I2197">
            <v>15</v>
          </cell>
          <cell r="J2197">
            <v>9.3738743739127701E-5</v>
          </cell>
          <cell r="K2197">
            <v>1801</v>
          </cell>
          <cell r="L2197">
            <v>4.8236527927250696</v>
          </cell>
          <cell r="M2197">
            <v>2758</v>
          </cell>
          <cell r="N2197">
            <v>3.4484603874894399E-4</v>
          </cell>
          <cell r="O2197">
            <v>2782</v>
          </cell>
          <cell r="P2197">
            <v>41.15</v>
          </cell>
          <cell r="Q2197">
            <v>180</v>
          </cell>
        </row>
        <row r="2198">
          <cell r="B2198" t="str">
            <v>OAKLAND X 1106CR266</v>
          </cell>
          <cell r="C2198">
            <v>12541106</v>
          </cell>
          <cell r="D2198" t="str">
            <v>OAKLAND X 1106</v>
          </cell>
          <cell r="E2198" t="str">
            <v>CR266</v>
          </cell>
          <cell r="F2198" t="b">
            <v>0</v>
          </cell>
          <cell r="G2198">
            <v>1901.6084191914499</v>
          </cell>
          <cell r="H2198">
            <v>1901.6084191914499</v>
          </cell>
          <cell r="I2198">
            <v>8</v>
          </cell>
          <cell r="J2198">
            <v>1.11710725832381E-4</v>
          </cell>
          <cell r="K2198">
            <v>1375</v>
          </cell>
          <cell r="L2198">
            <v>6.6430549658656704E-2</v>
          </cell>
          <cell r="M2198">
            <v>3110</v>
          </cell>
          <cell r="N2198">
            <v>7.4210049198125904E-6</v>
          </cell>
          <cell r="O2198">
            <v>3148</v>
          </cell>
          <cell r="P2198">
            <v>23</v>
          </cell>
          <cell r="Q2198">
            <v>290</v>
          </cell>
        </row>
        <row r="2199">
          <cell r="B2199" t="str">
            <v>OCEANO 1102749231</v>
          </cell>
          <cell r="C2199">
            <v>182601102</v>
          </cell>
          <cell r="D2199" t="str">
            <v>OCEANO 1102</v>
          </cell>
          <cell r="E2199">
            <v>749231</v>
          </cell>
          <cell r="F2199" t="b">
            <v>0</v>
          </cell>
          <cell r="G2199">
            <v>18200.1936038725</v>
          </cell>
          <cell r="H2199">
            <v>8940.1081110319501</v>
          </cell>
          <cell r="I2199">
            <v>141</v>
          </cell>
          <cell r="J2199">
            <v>6.0255634694580501E-5</v>
          </cell>
          <cell r="K2199">
            <v>2765</v>
          </cell>
          <cell r="L2199">
            <v>210.57265191017899</v>
          </cell>
          <cell r="M2199">
            <v>1619</v>
          </cell>
          <cell r="N2199">
            <v>1.4846558149634599E-2</v>
          </cell>
          <cell r="O2199">
            <v>1787</v>
          </cell>
          <cell r="Q2199">
            <v>3055</v>
          </cell>
        </row>
        <row r="2200">
          <cell r="B2200" t="str">
            <v>OCEANO 1102CB</v>
          </cell>
          <cell r="C2200">
            <v>182601102</v>
          </cell>
          <cell r="D2200" t="str">
            <v>OCEANO 1102</v>
          </cell>
          <cell r="E2200" t="str">
            <v>CB</v>
          </cell>
          <cell r="F2200" t="b">
            <v>0</v>
          </cell>
          <cell r="G2200">
            <v>26239.507899301399</v>
          </cell>
          <cell r="H2200">
            <v>25449.771613651399</v>
          </cell>
          <cell r="I2200">
            <v>183</v>
          </cell>
          <cell r="J2200">
            <v>5.9388563611039602E-5</v>
          </cell>
          <cell r="K2200">
            <v>2793</v>
          </cell>
          <cell r="L2200">
            <v>407.26103915909198</v>
          </cell>
          <cell r="M2200">
            <v>1290</v>
          </cell>
          <cell r="N2200">
            <v>2.4235974016698698E-2</v>
          </cell>
          <cell r="O2200">
            <v>1572</v>
          </cell>
          <cell r="P2200">
            <v>0.24</v>
          </cell>
          <cell r="Q2200">
            <v>1103</v>
          </cell>
        </row>
        <row r="2201">
          <cell r="B2201" t="str">
            <v>OCEANO 1102V50</v>
          </cell>
          <cell r="C2201">
            <v>182601102</v>
          </cell>
          <cell r="D2201" t="str">
            <v>OCEANO 1102</v>
          </cell>
          <cell r="E2201" t="str">
            <v>V50</v>
          </cell>
          <cell r="F2201" t="b">
            <v>0</v>
          </cell>
          <cell r="G2201">
            <v>16840.539396715099</v>
          </cell>
          <cell r="H2201">
            <v>11517.5193103612</v>
          </cell>
          <cell r="I2201">
            <v>107</v>
          </cell>
          <cell r="J2201">
            <v>4.7059144427900403E-5</v>
          </cell>
          <cell r="K2201">
            <v>3112</v>
          </cell>
          <cell r="L2201">
            <v>96.350481224394201</v>
          </cell>
          <cell r="M2201">
            <v>1978</v>
          </cell>
          <cell r="N2201">
            <v>5.36699983586191E-3</v>
          </cell>
          <cell r="O2201">
            <v>2188</v>
          </cell>
          <cell r="P2201">
            <v>0.11</v>
          </cell>
          <cell r="Q2201">
            <v>1428</v>
          </cell>
        </row>
        <row r="2202">
          <cell r="B2202" t="str">
            <v>OCEANO 1102V56</v>
          </cell>
          <cell r="C2202">
            <v>182601102</v>
          </cell>
          <cell r="D2202" t="str">
            <v>OCEANO 1102</v>
          </cell>
          <cell r="E2202" t="str">
            <v>V56</v>
          </cell>
          <cell r="F2202" t="b">
            <v>0</v>
          </cell>
          <cell r="G2202">
            <v>15985.6627094672</v>
          </cell>
          <cell r="H2202">
            <v>15022.826381958699</v>
          </cell>
          <cell r="I2202">
            <v>115</v>
          </cell>
          <cell r="J2202">
            <v>6.4251877808166398E-5</v>
          </cell>
          <cell r="K2202">
            <v>2636</v>
          </cell>
          <cell r="L2202">
            <v>557.90246167843702</v>
          </cell>
          <cell r="M2202">
            <v>1137</v>
          </cell>
          <cell r="N2202">
            <v>3.9442421896847803E-2</v>
          </cell>
          <cell r="O2202">
            <v>1311</v>
          </cell>
          <cell r="P2202">
            <v>0.1</v>
          </cell>
          <cell r="Q2202">
            <v>1460</v>
          </cell>
        </row>
        <row r="2203">
          <cell r="B2203" t="str">
            <v>OCEANO 110376678</v>
          </cell>
          <cell r="C2203">
            <v>182601103</v>
          </cell>
          <cell r="D2203" t="str">
            <v>OCEANO 1103</v>
          </cell>
          <cell r="E2203">
            <v>76678</v>
          </cell>
          <cell r="F2203" t="b">
            <v>1</v>
          </cell>
          <cell r="G2203">
            <v>597.85570216643998</v>
          </cell>
          <cell r="H2203">
            <v>88.752172951132906</v>
          </cell>
          <cell r="I2203">
            <v>8</v>
          </cell>
          <cell r="J2203">
            <v>5.28658977145823E-5</v>
          </cell>
          <cell r="K2203">
            <v>2974</v>
          </cell>
          <cell r="L2203">
            <v>6.5468220040202099E-2</v>
          </cell>
          <cell r="M2203">
            <v>3386</v>
          </cell>
          <cell r="N2203">
            <v>3.4511397155631402E-6</v>
          </cell>
          <cell r="O2203">
            <v>3371</v>
          </cell>
          <cell r="P2203">
            <v>0.02</v>
          </cell>
          <cell r="Q2203">
            <v>2467</v>
          </cell>
        </row>
        <row r="2204">
          <cell r="B2204" t="str">
            <v>OCEANO 1103839302</v>
          </cell>
          <cell r="C2204">
            <v>182601103</v>
          </cell>
          <cell r="D2204" t="str">
            <v>OCEANO 1103</v>
          </cell>
          <cell r="E2204">
            <v>839302</v>
          </cell>
          <cell r="F2204" t="b">
            <v>0</v>
          </cell>
          <cell r="G2204">
            <v>1806.4039245993999</v>
          </cell>
          <cell r="H2204">
            <v>1806.4039245993999</v>
          </cell>
          <cell r="I2204">
            <v>8</v>
          </cell>
          <cell r="J2204">
            <v>4.4881458961754099E-5</v>
          </cell>
          <cell r="K2204">
            <v>3164</v>
          </cell>
          <cell r="L2204">
            <v>2564.3755722045898</v>
          </cell>
          <cell r="M2204">
            <v>337</v>
          </cell>
          <cell r="N2204">
            <v>0.110008388519685</v>
          </cell>
          <cell r="O2204">
            <v>713</v>
          </cell>
          <cell r="Q2204">
            <v>3595</v>
          </cell>
        </row>
        <row r="2205">
          <cell r="B2205" t="str">
            <v>OCEANO 1103V22</v>
          </cell>
          <cell r="C2205">
            <v>182601103</v>
          </cell>
          <cell r="D2205" t="str">
            <v>OCEANO 1103</v>
          </cell>
          <cell r="E2205" t="str">
            <v>V22</v>
          </cell>
          <cell r="F2205" t="b">
            <v>1</v>
          </cell>
          <cell r="G2205">
            <v>810.59994616242795</v>
          </cell>
          <cell r="H2205">
            <v>50.491590692326199</v>
          </cell>
          <cell r="I2205">
            <v>14</v>
          </cell>
          <cell r="J2205">
            <v>2.0015265643171201E-5</v>
          </cell>
          <cell r="K2205">
            <v>3542</v>
          </cell>
          <cell r="L2205">
            <v>3.4620790311268399</v>
          </cell>
          <cell r="M2205">
            <v>2794</v>
          </cell>
          <cell r="N2205">
            <v>2.03768224819307E-4</v>
          </cell>
          <cell r="O2205">
            <v>2834</v>
          </cell>
          <cell r="Q2205">
            <v>2885</v>
          </cell>
        </row>
        <row r="2206">
          <cell r="B2206" t="str">
            <v>OCEANO 1104104102</v>
          </cell>
          <cell r="C2206">
            <v>182601104</v>
          </cell>
          <cell r="D2206" t="str">
            <v>OCEANO 1104</v>
          </cell>
          <cell r="E2206">
            <v>104102</v>
          </cell>
          <cell r="F2206" t="b">
            <v>0</v>
          </cell>
          <cell r="G2206">
            <v>5954.6843392526598</v>
          </cell>
          <cell r="H2206">
            <v>5329.55837056778</v>
          </cell>
          <cell r="I2206">
            <v>32</v>
          </cell>
          <cell r="J2206">
            <v>7.2705281853256598E-5</v>
          </cell>
          <cell r="K2206">
            <v>2398</v>
          </cell>
          <cell r="L2206">
            <v>458.19530711439398</v>
          </cell>
          <cell r="M2206">
            <v>1237</v>
          </cell>
          <cell r="N2206">
            <v>3.7040238980292399E-2</v>
          </cell>
          <cell r="O2206">
            <v>1339</v>
          </cell>
          <cell r="Q2206">
            <v>2769</v>
          </cell>
        </row>
        <row r="2207">
          <cell r="B2207" t="str">
            <v>OCEANO 1104337754</v>
          </cell>
          <cell r="C2207">
            <v>182601104</v>
          </cell>
          <cell r="D2207" t="str">
            <v>OCEANO 1104</v>
          </cell>
          <cell r="E2207">
            <v>337754</v>
          </cell>
          <cell r="F2207" t="b">
            <v>1</v>
          </cell>
          <cell r="G2207">
            <v>259.73149823851702</v>
          </cell>
          <cell r="H2207">
            <v>97.717719299821496</v>
          </cell>
          <cell r="I2207">
            <v>3</v>
          </cell>
          <cell r="J2207">
            <v>9.3716691177784598E-6</v>
          </cell>
          <cell r="K2207">
            <v>3613</v>
          </cell>
          <cell r="L2207">
            <v>6.5146990120410905E-2</v>
          </cell>
          <cell r="M2207">
            <v>3606</v>
          </cell>
          <cell r="N2207">
            <v>6.1053603542767305E-7</v>
          </cell>
          <cell r="O2207">
            <v>3616</v>
          </cell>
          <cell r="Q2207">
            <v>3283</v>
          </cell>
        </row>
        <row r="2208">
          <cell r="B2208" t="str">
            <v>OCEANO 1104793774</v>
          </cell>
          <cell r="C2208">
            <v>182601104</v>
          </cell>
          <cell r="D2208" t="str">
            <v>OCEANO 1104</v>
          </cell>
          <cell r="E2208">
            <v>793774</v>
          </cell>
          <cell r="F2208" t="b">
            <v>1</v>
          </cell>
          <cell r="G2208">
            <v>378.86328800845303</v>
          </cell>
          <cell r="H2208">
            <v>111.888830923477</v>
          </cell>
          <cell r="I2208">
            <v>3</v>
          </cell>
          <cell r="J2208">
            <v>1.28936812870961E-5</v>
          </cell>
          <cell r="K2208">
            <v>3602</v>
          </cell>
          <cell r="L2208">
            <v>6.5146990120410905E-2</v>
          </cell>
          <cell r="M2208">
            <v>3633</v>
          </cell>
          <cell r="N2208">
            <v>8.39984527426177E-7</v>
          </cell>
          <cell r="O2208">
            <v>3605</v>
          </cell>
          <cell r="Q2208">
            <v>3586</v>
          </cell>
        </row>
        <row r="2209">
          <cell r="B2209" t="str">
            <v>OCEANO 1104CB</v>
          </cell>
          <cell r="C2209">
            <v>182601104</v>
          </cell>
          <cell r="D2209" t="str">
            <v>OCEANO 1104</v>
          </cell>
          <cell r="E2209" t="str">
            <v>CB</v>
          </cell>
          <cell r="F2209" t="b">
            <v>0</v>
          </cell>
          <cell r="G2209">
            <v>17856.3948404781</v>
          </cell>
          <cell r="H2209">
            <v>7352.5882910973596</v>
          </cell>
          <cell r="I2209">
            <v>146</v>
          </cell>
          <cell r="J2209">
            <v>2.5847248589859501E-5</v>
          </cell>
          <cell r="K2209">
            <v>3489</v>
          </cell>
          <cell r="L2209">
            <v>57.084904259300302</v>
          </cell>
          <cell r="M2209">
            <v>2170</v>
          </cell>
          <cell r="N2209">
            <v>2.86146984589329E-3</v>
          </cell>
          <cell r="O2209">
            <v>2363</v>
          </cell>
          <cell r="P2209">
            <v>0.1</v>
          </cell>
          <cell r="Q2209">
            <v>1489</v>
          </cell>
        </row>
        <row r="2210">
          <cell r="B2210" t="str">
            <v>OCEANO 1104Q06</v>
          </cell>
          <cell r="C2210">
            <v>182601104</v>
          </cell>
          <cell r="D2210" t="str">
            <v>OCEANO 1104</v>
          </cell>
          <cell r="E2210" t="str">
            <v>Q06</v>
          </cell>
          <cell r="F2210" t="b">
            <v>0</v>
          </cell>
          <cell r="G2210">
            <v>20064.338486065</v>
          </cell>
          <cell r="H2210">
            <v>20064.338486065</v>
          </cell>
          <cell r="I2210">
            <v>154</v>
          </cell>
          <cell r="J2210">
            <v>5.9490980421086697E-5</v>
          </cell>
          <cell r="K2210">
            <v>2790</v>
          </cell>
          <cell r="L2210">
            <v>680.23007474530004</v>
          </cell>
          <cell r="M2210">
            <v>1036</v>
          </cell>
          <cell r="N2210">
            <v>3.81109536539238E-2</v>
          </cell>
          <cell r="O2210">
            <v>1329</v>
          </cell>
          <cell r="P2210">
            <v>0.24</v>
          </cell>
          <cell r="Q2210">
            <v>1099</v>
          </cell>
        </row>
        <row r="2211">
          <cell r="B2211" t="str">
            <v>OCEANO 1104Q08</v>
          </cell>
          <cell r="C2211">
            <v>182601104</v>
          </cell>
          <cell r="D2211" t="str">
            <v>OCEANO 1104</v>
          </cell>
          <cell r="E2211" t="str">
            <v>Q08</v>
          </cell>
          <cell r="F2211" t="b">
            <v>0</v>
          </cell>
          <cell r="G2211">
            <v>19981.627957668399</v>
          </cell>
          <cell r="H2211">
            <v>19981.627957668399</v>
          </cell>
          <cell r="I2211">
            <v>148</v>
          </cell>
          <cell r="J2211">
            <v>5.6432307504823001E-5</v>
          </cell>
          <cell r="K2211">
            <v>2876</v>
          </cell>
          <cell r="L2211">
            <v>1236.4826647509799</v>
          </cell>
          <cell r="M2211">
            <v>708</v>
          </cell>
          <cell r="N2211">
            <v>6.4558629888094202E-2</v>
          </cell>
          <cell r="O2211">
            <v>1023</v>
          </cell>
          <cell r="P2211">
            <v>4.37</v>
          </cell>
          <cell r="Q2211">
            <v>521</v>
          </cell>
        </row>
        <row r="2212">
          <cell r="B2212" t="str">
            <v>OCEANO 1104Q10</v>
          </cell>
          <cell r="C2212">
            <v>182601104</v>
          </cell>
          <cell r="D2212" t="str">
            <v>OCEANO 1104</v>
          </cell>
          <cell r="E2212" t="str">
            <v>Q10</v>
          </cell>
          <cell r="F2212" t="b">
            <v>0</v>
          </cell>
          <cell r="G2212">
            <v>38031.000562188099</v>
          </cell>
          <cell r="H2212">
            <v>38031.000562188099</v>
          </cell>
          <cell r="I2212">
            <v>289</v>
          </cell>
          <cell r="J2212">
            <v>6.4596446754371198E-5</v>
          </cell>
          <cell r="K2212">
            <v>2621</v>
          </cell>
          <cell r="L2212">
            <v>1216.6012897222299</v>
          </cell>
          <cell r="M2212">
            <v>719</v>
          </cell>
          <cell r="N2212">
            <v>7.7835868086872304E-2</v>
          </cell>
          <cell r="O2212">
            <v>917</v>
          </cell>
          <cell r="P2212">
            <v>7.07</v>
          </cell>
          <cell r="Q2212">
            <v>452</v>
          </cell>
        </row>
        <row r="2213">
          <cell r="B2213" t="str">
            <v>OCEANO 1104Q12</v>
          </cell>
          <cell r="C2213">
            <v>182601104</v>
          </cell>
          <cell r="D2213" t="str">
            <v>OCEANO 1104</v>
          </cell>
          <cell r="E2213" t="str">
            <v>Q12</v>
          </cell>
          <cell r="F2213" t="b">
            <v>0</v>
          </cell>
          <cell r="G2213">
            <v>25798.2458430888</v>
          </cell>
          <cell r="H2213">
            <v>18203.047847610502</v>
          </cell>
          <cell r="I2213">
            <v>142</v>
          </cell>
          <cell r="J2213">
            <v>5.3234788925266802E-5</v>
          </cell>
          <cell r="K2213">
            <v>2958</v>
          </cell>
          <cell r="L2213">
            <v>1483.0102660299699</v>
          </cell>
          <cell r="M2213">
            <v>602</v>
          </cell>
          <cell r="N2213">
            <v>7.9256559004603794E-2</v>
          </cell>
          <cell r="O2213">
            <v>910</v>
          </cell>
          <cell r="P2213">
            <v>0.12</v>
          </cell>
          <cell r="Q2213">
            <v>1401</v>
          </cell>
        </row>
        <row r="2214">
          <cell r="B2214" t="str">
            <v>OCEANO 1104V36</v>
          </cell>
          <cell r="C2214">
            <v>182601104</v>
          </cell>
          <cell r="D2214" t="str">
            <v>OCEANO 1104</v>
          </cell>
          <cell r="E2214" t="str">
            <v>V36</v>
          </cell>
          <cell r="F2214" t="b">
            <v>0</v>
          </cell>
          <cell r="G2214">
            <v>21377.0625326882</v>
          </cell>
          <cell r="H2214">
            <v>18028.895042292999</v>
          </cell>
          <cell r="I2214">
            <v>150</v>
          </cell>
          <cell r="J2214">
            <v>6.1928791513613096E-5</v>
          </cell>
          <cell r="K2214">
            <v>2723</v>
          </cell>
          <cell r="L2214">
            <v>1033.1449992461901</v>
          </cell>
          <cell r="M2214">
            <v>804</v>
          </cell>
          <cell r="N2214">
            <v>6.9117860848279894E-2</v>
          </cell>
          <cell r="O2214">
            <v>984</v>
          </cell>
          <cell r="P2214">
            <v>6.65</v>
          </cell>
          <cell r="Q2214">
            <v>464</v>
          </cell>
        </row>
        <row r="2215">
          <cell r="B2215" t="str">
            <v>OCEANO 1104V38</v>
          </cell>
          <cell r="C2215">
            <v>182601104</v>
          </cell>
          <cell r="D2215" t="str">
            <v>OCEANO 1104</v>
          </cell>
          <cell r="E2215" t="str">
            <v>V38</v>
          </cell>
          <cell r="F2215" t="b">
            <v>0</v>
          </cell>
          <cell r="G2215">
            <v>27926.3563782358</v>
          </cell>
          <cell r="H2215">
            <v>19405.532105800299</v>
          </cell>
          <cell r="I2215">
            <v>212</v>
          </cell>
          <cell r="J2215">
            <v>7.3598722199564998E-5</v>
          </cell>
          <cell r="K2215">
            <v>2379</v>
          </cell>
          <cell r="L2215">
            <v>651.08203057811204</v>
          </cell>
          <cell r="M2215">
            <v>1062</v>
          </cell>
          <cell r="N2215">
            <v>7.7543529341960196E-2</v>
          </cell>
          <cell r="O2215">
            <v>921</v>
          </cell>
          <cell r="P2215">
            <v>0.17</v>
          </cell>
          <cell r="Q2215">
            <v>1245</v>
          </cell>
        </row>
        <row r="2216">
          <cell r="B2216" t="str">
            <v>OCEANO 1105V44</v>
          </cell>
          <cell r="C2216">
            <v>182601105</v>
          </cell>
          <cell r="D2216" t="str">
            <v>OCEANO 1105</v>
          </cell>
          <cell r="E2216" t="str">
            <v>V44</v>
          </cell>
          <cell r="F2216" t="b">
            <v>0</v>
          </cell>
          <cell r="G2216">
            <v>1767.9987870639</v>
          </cell>
          <cell r="H2216">
            <v>1259.7645249065299</v>
          </cell>
          <cell r="I2216">
            <v>17</v>
          </cell>
          <cell r="J2216">
            <v>1.8998963629629101E-5</v>
          </cell>
          <cell r="K2216">
            <v>3551</v>
          </cell>
          <cell r="L2216">
            <v>6.5827241715262899E-2</v>
          </cell>
          <cell r="M2216">
            <v>3260</v>
          </cell>
          <cell r="N2216">
            <v>1.2575203151070799E-6</v>
          </cell>
          <cell r="O2216">
            <v>3568</v>
          </cell>
          <cell r="P2216">
            <v>0.03</v>
          </cell>
          <cell r="Q2216">
            <v>2281</v>
          </cell>
        </row>
        <row r="2217">
          <cell r="B2217" t="str">
            <v>OCEANO 1105V48</v>
          </cell>
          <cell r="C2217">
            <v>182601105</v>
          </cell>
          <cell r="D2217" t="str">
            <v>OCEANO 1105</v>
          </cell>
          <cell r="E2217" t="str">
            <v>V48</v>
          </cell>
          <cell r="F2217" t="b">
            <v>1</v>
          </cell>
          <cell r="G2217">
            <v>4125.7286704247799</v>
          </cell>
          <cell r="H2217">
            <v>198.729802835128</v>
          </cell>
          <cell r="I2217">
            <v>39</v>
          </cell>
          <cell r="J2217">
            <v>7.0816177366139397E-6</v>
          </cell>
          <cell r="K2217">
            <v>3628</v>
          </cell>
          <cell r="L2217">
            <v>6.5179936778851005E-2</v>
          </cell>
          <cell r="M2217">
            <v>3536</v>
          </cell>
          <cell r="N2217">
            <v>4.6154295668051402E-7</v>
          </cell>
          <cell r="O2217">
            <v>3628</v>
          </cell>
          <cell r="P2217">
            <v>0.02</v>
          </cell>
          <cell r="Q2217">
            <v>2477</v>
          </cell>
        </row>
        <row r="2218">
          <cell r="B2218" t="str">
            <v>OCEANO 1106CB</v>
          </cell>
          <cell r="C2218">
            <v>182601106</v>
          </cell>
          <cell r="D2218" t="str">
            <v>OCEANO 1106</v>
          </cell>
          <cell r="E2218" t="str">
            <v>CB</v>
          </cell>
          <cell r="F2218" t="b">
            <v>0</v>
          </cell>
          <cell r="G2218">
            <v>7207.9496787144699</v>
          </cell>
          <cell r="H2218">
            <v>1811.92335111236</v>
          </cell>
          <cell r="I2218">
            <v>57</v>
          </cell>
          <cell r="J2218">
            <v>3.6174099308151501E-5</v>
          </cell>
          <cell r="K2218">
            <v>3330</v>
          </cell>
          <cell r="L2218">
            <v>275.70356103150402</v>
          </cell>
          <cell r="M2218">
            <v>1484</v>
          </cell>
          <cell r="N2218">
            <v>3.1030173239274601E-2</v>
          </cell>
          <cell r="O2218">
            <v>1442</v>
          </cell>
          <cell r="P2218">
            <v>0.02</v>
          </cell>
          <cell r="Q2218">
            <v>2494</v>
          </cell>
        </row>
        <row r="2219">
          <cell r="B2219" t="str">
            <v>OCEANO 1106V28</v>
          </cell>
          <cell r="C2219">
            <v>182601106</v>
          </cell>
          <cell r="D2219" t="str">
            <v>OCEANO 1106</v>
          </cell>
          <cell r="E2219" t="str">
            <v>V28</v>
          </cell>
          <cell r="F2219" t="b">
            <v>0</v>
          </cell>
          <cell r="G2219">
            <v>14462.1375552764</v>
          </cell>
          <cell r="H2219">
            <v>1958.2873463865201</v>
          </cell>
          <cell r="I2219">
            <v>99</v>
          </cell>
          <cell r="J2219">
            <v>2.09314369286779E-5</v>
          </cell>
          <cell r="K2219">
            <v>3535</v>
          </cell>
          <cell r="L2219">
            <v>31.905807894814401</v>
          </cell>
          <cell r="M2219">
            <v>2328</v>
          </cell>
          <cell r="N2219">
            <v>1.80531882940328E-3</v>
          </cell>
          <cell r="O2219">
            <v>2503</v>
          </cell>
          <cell r="P2219">
            <v>0.03</v>
          </cell>
          <cell r="Q2219">
            <v>2284</v>
          </cell>
        </row>
        <row r="2220">
          <cell r="B2220" t="str">
            <v>OILFIELDS 11032757</v>
          </cell>
          <cell r="C2220">
            <v>182391103</v>
          </cell>
          <cell r="D2220" t="str">
            <v>OILFIELDS 1103</v>
          </cell>
          <cell r="E2220">
            <v>2757</v>
          </cell>
          <cell r="F2220" t="b">
            <v>0</v>
          </cell>
          <cell r="G2220">
            <v>4222.8970498324297</v>
          </cell>
          <cell r="H2220">
            <v>4222.8970498324297</v>
          </cell>
          <cell r="I2220">
            <v>16</v>
          </cell>
          <cell r="J2220">
            <v>7.3476759325785597E-5</v>
          </cell>
          <cell r="K2220">
            <v>2384</v>
          </cell>
          <cell r="L2220">
            <v>2563.9177011737602</v>
          </cell>
          <cell r="M2220">
            <v>338</v>
          </cell>
          <cell r="N2220">
            <v>0.17909991112111101</v>
          </cell>
          <cell r="O2220">
            <v>403</v>
          </cell>
          <cell r="P2220">
            <v>7.0000000000000007E-2</v>
          </cell>
          <cell r="Q2220">
            <v>1748</v>
          </cell>
        </row>
        <row r="2221">
          <cell r="B2221" t="str">
            <v>OILFIELDS 1103370932</v>
          </cell>
          <cell r="C2221">
            <v>182391103</v>
          </cell>
          <cell r="D2221" t="str">
            <v>OILFIELDS 1103</v>
          </cell>
          <cell r="E2221">
            <v>370932</v>
          </cell>
          <cell r="F2221" t="b">
            <v>1</v>
          </cell>
          <cell r="G2221">
            <v>2172.95792225791</v>
          </cell>
          <cell r="H2221">
            <v>619.929615540638</v>
          </cell>
          <cell r="I2221">
            <v>6</v>
          </cell>
          <cell r="J2221">
            <v>3.0450956880182801E-5</v>
          </cell>
          <cell r="K2221">
            <v>3423</v>
          </cell>
          <cell r="L2221">
            <v>729.29338421051705</v>
          </cell>
          <cell r="M2221">
            <v>991</v>
          </cell>
          <cell r="N2221">
            <v>4.2463594976663598E-2</v>
          </cell>
          <cell r="O2221">
            <v>1261</v>
          </cell>
          <cell r="Q2221">
            <v>2828</v>
          </cell>
        </row>
        <row r="2222">
          <cell r="B2222" t="str">
            <v>OILFIELDS 1103441010</v>
          </cell>
          <cell r="C2222">
            <v>182391103</v>
          </cell>
          <cell r="D2222" t="str">
            <v>OILFIELDS 1103</v>
          </cell>
          <cell r="E2222">
            <v>441010</v>
          </cell>
          <cell r="F2222" t="b">
            <v>1</v>
          </cell>
          <cell r="G2222">
            <v>1310.5117923184</v>
          </cell>
          <cell r="H2222">
            <v>592.48729876249001</v>
          </cell>
          <cell r="I2222">
            <v>4</v>
          </cell>
          <cell r="J2222">
            <v>6.8458366968115997E-5</v>
          </cell>
          <cell r="K2222">
            <v>2523</v>
          </cell>
          <cell r="L2222">
            <v>0.113153388723731</v>
          </cell>
          <cell r="M2222">
            <v>2931</v>
          </cell>
          <cell r="N2222">
            <v>7.8772332915409799E-6</v>
          </cell>
          <cell r="O2222">
            <v>3128</v>
          </cell>
          <cell r="Q2222">
            <v>3562</v>
          </cell>
        </row>
        <row r="2223">
          <cell r="B2223" t="str">
            <v>OILFIELDS 1103643162</v>
          </cell>
          <cell r="C2223">
            <v>182391103</v>
          </cell>
          <cell r="D2223" t="str">
            <v>OILFIELDS 1103</v>
          </cell>
          <cell r="E2223">
            <v>643162</v>
          </cell>
          <cell r="F2223" t="b">
            <v>0</v>
          </cell>
          <cell r="G2223">
            <v>9798.1377076053905</v>
          </cell>
          <cell r="H2223">
            <v>5532.3243958496896</v>
          </cell>
          <cell r="I2223">
            <v>41</v>
          </cell>
          <cell r="J2223">
            <v>6.7078568308050505E-5</v>
          </cell>
          <cell r="K2223">
            <v>2555</v>
          </cell>
          <cell r="L2223">
            <v>1192.29584878062</v>
          </cell>
          <cell r="M2223">
            <v>736</v>
          </cell>
          <cell r="N2223">
            <v>7.9940517026813596E-2</v>
          </cell>
          <cell r="O2223">
            <v>900</v>
          </cell>
          <cell r="Q2223">
            <v>3054</v>
          </cell>
        </row>
        <row r="2224">
          <cell r="B2224" t="str">
            <v>OILFIELDS 11037006</v>
          </cell>
          <cell r="C2224">
            <v>182391103</v>
          </cell>
          <cell r="D2224" t="str">
            <v>OILFIELDS 1103</v>
          </cell>
          <cell r="E2224">
            <v>7006</v>
          </cell>
          <cell r="F2224" t="b">
            <v>1</v>
          </cell>
          <cell r="G2224">
            <v>11204.5058252569</v>
          </cell>
          <cell r="H2224">
            <v>0</v>
          </cell>
          <cell r="I2224">
            <v>42</v>
          </cell>
          <cell r="J2224">
            <v>6.1931207666220402E-5</v>
          </cell>
          <cell r="K2224">
            <v>2722</v>
          </cell>
          <cell r="L2224">
            <v>240.17526297892101</v>
          </cell>
          <cell r="M2224">
            <v>1567</v>
          </cell>
          <cell r="N2224">
            <v>2.70151323243846E-2</v>
          </cell>
          <cell r="O2224">
            <v>1514</v>
          </cell>
          <cell r="P2224">
            <v>0</v>
          </cell>
          <cell r="Q2224">
            <v>2622</v>
          </cell>
        </row>
        <row r="2225">
          <cell r="B2225" t="str">
            <v>OILFIELDS 110383158</v>
          </cell>
          <cell r="C2225">
            <v>182391103</v>
          </cell>
          <cell r="D2225" t="str">
            <v>OILFIELDS 1103</v>
          </cell>
          <cell r="E2225">
            <v>83158</v>
          </cell>
          <cell r="F2225" t="b">
            <v>0</v>
          </cell>
          <cell r="G2225">
            <v>31398.3782461062</v>
          </cell>
          <cell r="H2225">
            <v>28429.993965571401</v>
          </cell>
          <cell r="I2225">
            <v>132</v>
          </cell>
          <cell r="J2225">
            <v>6.3068447314379995E-5</v>
          </cell>
          <cell r="K2225">
            <v>2679</v>
          </cell>
          <cell r="L2225">
            <v>1552.52129116064</v>
          </cell>
          <cell r="M2225">
            <v>577</v>
          </cell>
          <cell r="N2225">
            <v>9.6889505768145007E-2</v>
          </cell>
          <cell r="O2225">
            <v>781</v>
          </cell>
          <cell r="P2225">
            <v>0.06</v>
          </cell>
          <cell r="Q2225">
            <v>1781</v>
          </cell>
        </row>
        <row r="2226">
          <cell r="B2226" t="str">
            <v>OILFIELDS 1103N40</v>
          </cell>
          <cell r="C2226">
            <v>182391103</v>
          </cell>
          <cell r="D2226" t="str">
            <v>OILFIELDS 1103</v>
          </cell>
          <cell r="E2226" t="str">
            <v>N40</v>
          </cell>
          <cell r="F2226" t="b">
            <v>0</v>
          </cell>
          <cell r="G2226">
            <v>4749.4542258616502</v>
          </cell>
          <cell r="H2226">
            <v>4628.04597021687</v>
          </cell>
          <cell r="I2226">
            <v>23</v>
          </cell>
          <cell r="J2226">
            <v>7.2240405485069403E-5</v>
          </cell>
          <cell r="K2226">
            <v>2412</v>
          </cell>
          <cell r="L2226">
            <v>1911.8814959318699</v>
          </cell>
          <cell r="M2226">
            <v>472</v>
          </cell>
          <cell r="N2226">
            <v>0.14680997193793899</v>
          </cell>
          <cell r="O2226">
            <v>539</v>
          </cell>
          <cell r="P2226">
            <v>0.92</v>
          </cell>
          <cell r="Q2226">
            <v>746</v>
          </cell>
        </row>
        <row r="2227">
          <cell r="B2227" t="str">
            <v>OILFIELDS 1103N42</v>
          </cell>
          <cell r="C2227">
            <v>182391103</v>
          </cell>
          <cell r="D2227" t="str">
            <v>OILFIELDS 1103</v>
          </cell>
          <cell r="E2227" t="str">
            <v>N42</v>
          </cell>
          <cell r="F2227" t="b">
            <v>0</v>
          </cell>
          <cell r="G2227">
            <v>9607.0794280538903</v>
          </cell>
          <cell r="H2227">
            <v>5997.3143895653302</v>
          </cell>
          <cell r="I2227">
            <v>30</v>
          </cell>
          <cell r="J2227">
            <v>9.7321458619822199E-5</v>
          </cell>
          <cell r="K2227">
            <v>1705</v>
          </cell>
          <cell r="L2227">
            <v>2091.1208812800501</v>
          </cell>
          <cell r="M2227">
            <v>429</v>
          </cell>
          <cell r="N2227">
            <v>0.170167182993474</v>
          </cell>
          <cell r="O2227">
            <v>434</v>
          </cell>
          <cell r="P2227">
            <v>0</v>
          </cell>
          <cell r="Q2227">
            <v>2631</v>
          </cell>
        </row>
        <row r="2228">
          <cell r="B2228" t="str">
            <v>OILFIELDS 1103N44</v>
          </cell>
          <cell r="C2228">
            <v>182391103</v>
          </cell>
          <cell r="D2228" t="str">
            <v>OILFIELDS 1103</v>
          </cell>
          <cell r="E2228" t="str">
            <v>N44</v>
          </cell>
          <cell r="F2228" t="b">
            <v>0</v>
          </cell>
          <cell r="G2228">
            <v>29207.738763351201</v>
          </cell>
          <cell r="H2228">
            <v>29207.738763351201</v>
          </cell>
          <cell r="I2228">
            <v>109</v>
          </cell>
          <cell r="J2228">
            <v>8.2091735357692799E-5</v>
          </cell>
          <cell r="K2228">
            <v>2149</v>
          </cell>
          <cell r="L2228">
            <v>1862.5151312790499</v>
          </cell>
          <cell r="M2228">
            <v>486</v>
          </cell>
          <cell r="N2228">
            <v>0.14496114024967199</v>
          </cell>
          <cell r="O2228">
            <v>547</v>
          </cell>
          <cell r="P2228">
            <v>0.19</v>
          </cell>
          <cell r="Q2228">
            <v>1171</v>
          </cell>
        </row>
        <row r="2229">
          <cell r="B2229" t="str">
            <v>OILFIELDS 1103N46</v>
          </cell>
          <cell r="C2229">
            <v>182391103</v>
          </cell>
          <cell r="D2229" t="str">
            <v>OILFIELDS 1103</v>
          </cell>
          <cell r="E2229" t="str">
            <v>N46</v>
          </cell>
          <cell r="F2229" t="b">
            <v>0</v>
          </cell>
          <cell r="G2229">
            <v>9360.6261253155499</v>
          </cell>
          <cell r="H2229">
            <v>9360.6261253155499</v>
          </cell>
          <cell r="I2229">
            <v>29</v>
          </cell>
          <cell r="J2229">
            <v>8.7945697876940697E-5</v>
          </cell>
          <cell r="K2229">
            <v>1983</v>
          </cell>
          <cell r="L2229">
            <v>551.95624680328899</v>
          </cell>
          <cell r="M2229">
            <v>1142</v>
          </cell>
          <cell r="N2229">
            <v>3.6987640605125903E-2</v>
          </cell>
          <cell r="O2229">
            <v>1340</v>
          </cell>
          <cell r="P2229">
            <v>4.74</v>
          </cell>
          <cell r="Q2229">
            <v>508</v>
          </cell>
        </row>
        <row r="2230">
          <cell r="B2230" t="str">
            <v>OILFIELDS 1103N48</v>
          </cell>
          <cell r="C2230">
            <v>182391103</v>
          </cell>
          <cell r="D2230" t="str">
            <v>OILFIELDS 1103</v>
          </cell>
          <cell r="E2230" t="str">
            <v>N48</v>
          </cell>
          <cell r="F2230" t="b">
            <v>0</v>
          </cell>
          <cell r="G2230">
            <v>76703.671131851297</v>
          </cell>
          <cell r="H2230">
            <v>76703.671131851297</v>
          </cell>
          <cell r="I2230">
            <v>292</v>
          </cell>
          <cell r="J2230">
            <v>5.99900150144308E-5</v>
          </cell>
          <cell r="K2230">
            <v>2778</v>
          </cell>
          <cell r="L2230">
            <v>2624.8703145038698</v>
          </cell>
          <cell r="M2230">
            <v>325</v>
          </cell>
          <cell r="N2230">
            <v>0.15187989742925001</v>
          </cell>
          <cell r="O2230">
            <v>508</v>
          </cell>
          <cell r="P2230">
            <v>0.11</v>
          </cell>
          <cell r="Q2230">
            <v>1419</v>
          </cell>
        </row>
        <row r="2231">
          <cell r="B2231" t="str">
            <v>OILFIELDS 1103N62</v>
          </cell>
          <cell r="C2231">
            <v>182391103</v>
          </cell>
          <cell r="D2231" t="str">
            <v>OILFIELDS 1103</v>
          </cell>
          <cell r="E2231" t="str">
            <v>N62</v>
          </cell>
          <cell r="F2231" t="b">
            <v>0</v>
          </cell>
          <cell r="G2231">
            <v>8948.19221855252</v>
          </cell>
          <cell r="H2231">
            <v>8948.19221855252</v>
          </cell>
          <cell r="I2231">
            <v>39</v>
          </cell>
          <cell r="J2231">
            <v>7.05206751406781E-5</v>
          </cell>
          <cell r="K2231">
            <v>2455</v>
          </cell>
          <cell r="L2231">
            <v>1674.57058539984</v>
          </cell>
          <cell r="M2231">
            <v>532</v>
          </cell>
          <cell r="N2231">
            <v>0.118416790221664</v>
          </cell>
          <cell r="O2231">
            <v>656</v>
          </cell>
          <cell r="P2231">
            <v>0.13</v>
          </cell>
          <cell r="Q2231">
            <v>1344</v>
          </cell>
        </row>
        <row r="2232">
          <cell r="B2232" t="str">
            <v>OILFIELDS 1103N64</v>
          </cell>
          <cell r="C2232">
            <v>182391103</v>
          </cell>
          <cell r="D2232" t="str">
            <v>OILFIELDS 1103</v>
          </cell>
          <cell r="E2232" t="str">
            <v>N64</v>
          </cell>
          <cell r="F2232" t="b">
            <v>0</v>
          </cell>
          <cell r="G2232">
            <v>20207.538534390998</v>
          </cell>
          <cell r="H2232">
            <v>17721.319786475</v>
          </cell>
          <cell r="I2232">
            <v>101</v>
          </cell>
          <cell r="J2232">
            <v>1.1488759747408E-4</v>
          </cell>
          <cell r="K2232">
            <v>1302</v>
          </cell>
          <cell r="L2232">
            <v>1611.55808921525</v>
          </cell>
          <cell r="M2232">
            <v>558</v>
          </cell>
          <cell r="N2232">
            <v>0.17314246779468001</v>
          </cell>
          <cell r="O2232">
            <v>425</v>
          </cell>
          <cell r="P2232">
            <v>0.05</v>
          </cell>
          <cell r="Q2232">
            <v>2025</v>
          </cell>
        </row>
        <row r="2233">
          <cell r="B2233" t="str">
            <v>OLEMA 11011200</v>
          </cell>
          <cell r="C2233">
            <v>42291101</v>
          </cell>
          <cell r="D2233" t="str">
            <v>OLEMA 1101</v>
          </cell>
          <cell r="E2233">
            <v>1200</v>
          </cell>
          <cell r="F2233" t="b">
            <v>0</v>
          </cell>
          <cell r="G2233">
            <v>4658.8808384538697</v>
          </cell>
          <cell r="H2233">
            <v>4658.8808384538697</v>
          </cell>
          <cell r="I2233">
            <v>34</v>
          </cell>
          <cell r="J2233">
            <v>8.1804212558464202E-5</v>
          </cell>
          <cell r="K2233">
            <v>2158</v>
          </cell>
          <cell r="L2233">
            <v>2.8622581538032001</v>
          </cell>
          <cell r="M2233">
            <v>2816</v>
          </cell>
          <cell r="N2233">
            <v>1.9566272544339899E-4</v>
          </cell>
          <cell r="O2233">
            <v>2840</v>
          </cell>
          <cell r="P2233">
            <v>4.42</v>
          </cell>
          <cell r="Q2233">
            <v>520</v>
          </cell>
        </row>
        <row r="2234">
          <cell r="B2234" t="str">
            <v>OLEMA 11011252</v>
          </cell>
          <cell r="C2234">
            <v>42291101</v>
          </cell>
          <cell r="D2234" t="str">
            <v>OLEMA 1101</v>
          </cell>
          <cell r="E2234">
            <v>1252</v>
          </cell>
          <cell r="F2234" t="b">
            <v>0</v>
          </cell>
          <cell r="G2234">
            <v>6608.6354679105098</v>
          </cell>
          <cell r="H2234">
            <v>6608.6354679105098</v>
          </cell>
          <cell r="I2234">
            <v>50</v>
          </cell>
          <cell r="J2234">
            <v>1.3383255740336599E-4</v>
          </cell>
          <cell r="K2234">
            <v>946</v>
          </cell>
          <cell r="L2234">
            <v>3.8677383399009702</v>
          </cell>
          <cell r="M2234">
            <v>2780</v>
          </cell>
          <cell r="N2234">
            <v>3.6141247303909902E-4</v>
          </cell>
          <cell r="O2234">
            <v>2777</v>
          </cell>
          <cell r="P2234">
            <v>11.02</v>
          </cell>
          <cell r="Q2234">
            <v>391</v>
          </cell>
        </row>
        <row r="2235">
          <cell r="B2235" t="str">
            <v>OLEMA 11011318</v>
          </cell>
          <cell r="C2235">
            <v>42291101</v>
          </cell>
          <cell r="D2235" t="str">
            <v>OLEMA 1101</v>
          </cell>
          <cell r="E2235">
            <v>1318</v>
          </cell>
          <cell r="F2235" t="b">
            <v>0</v>
          </cell>
          <cell r="G2235">
            <v>16637.001753980501</v>
          </cell>
          <cell r="H2235">
            <v>13693.4076244071</v>
          </cell>
          <cell r="I2235">
            <v>113</v>
          </cell>
          <cell r="J2235">
            <v>1.30325621711079E-4</v>
          </cell>
          <cell r="K2235">
            <v>1004</v>
          </cell>
          <cell r="L2235">
            <v>8.2658632793917004</v>
          </cell>
          <cell r="M2235">
            <v>2664</v>
          </cell>
          <cell r="N2235">
            <v>1.2973909021253001E-3</v>
          </cell>
          <cell r="O2235">
            <v>2583</v>
          </cell>
          <cell r="P2235">
            <v>9.77</v>
          </cell>
          <cell r="Q2235">
            <v>404</v>
          </cell>
        </row>
        <row r="2236">
          <cell r="B2236" t="str">
            <v>OLEMA 1101337220</v>
          </cell>
          <cell r="C2236">
            <v>42291101</v>
          </cell>
          <cell r="D2236" t="str">
            <v>OLEMA 1101</v>
          </cell>
          <cell r="E2236">
            <v>337220</v>
          </cell>
          <cell r="F2236" t="b">
            <v>0</v>
          </cell>
          <cell r="G2236">
            <v>8725.0859913414497</v>
          </cell>
          <cell r="H2236">
            <v>7959.89171287108</v>
          </cell>
          <cell r="I2236">
            <v>28</v>
          </cell>
          <cell r="J2236">
            <v>1.2555219213286999E-4</v>
          </cell>
          <cell r="K2236">
            <v>1088</v>
          </cell>
          <cell r="L2236">
            <v>76.008208002356596</v>
          </cell>
          <cell r="M2236">
            <v>2062</v>
          </cell>
          <cell r="N2236">
            <v>1.02374393755684E-2</v>
          </cell>
          <cell r="O2236">
            <v>1949</v>
          </cell>
          <cell r="Q2236">
            <v>3451</v>
          </cell>
        </row>
        <row r="2237">
          <cell r="B2237" t="str">
            <v>OLEMA 110137074</v>
          </cell>
          <cell r="C2237">
            <v>42291101</v>
          </cell>
          <cell r="D2237" t="str">
            <v>OLEMA 1101</v>
          </cell>
          <cell r="E2237">
            <v>37074</v>
          </cell>
          <cell r="F2237" t="b">
            <v>1</v>
          </cell>
          <cell r="G2237">
            <v>506.00807784101198</v>
          </cell>
          <cell r="H2237">
            <v>21.9456014874674</v>
          </cell>
          <cell r="I2237">
            <v>6</v>
          </cell>
          <cell r="J2237">
            <v>4.1439450342295398E-5</v>
          </cell>
          <cell r="K2237">
            <v>3234</v>
          </cell>
          <cell r="L2237">
            <v>6.5361143400271701E-2</v>
          </cell>
          <cell r="M2237">
            <v>3435</v>
          </cell>
          <cell r="N2237">
            <v>2.7133811744290699E-6</v>
          </cell>
          <cell r="O2237">
            <v>3439</v>
          </cell>
          <cell r="P2237">
            <v>0.03</v>
          </cell>
          <cell r="Q2237">
            <v>2372</v>
          </cell>
        </row>
        <row r="2238">
          <cell r="B2238" t="str">
            <v>OLEMA 1101416</v>
          </cell>
          <cell r="C2238">
            <v>42291101</v>
          </cell>
          <cell r="D2238" t="str">
            <v>OLEMA 1101</v>
          </cell>
          <cell r="E2238">
            <v>416</v>
          </cell>
          <cell r="F2238" t="b">
            <v>0</v>
          </cell>
          <cell r="G2238">
            <v>26082.6278572189</v>
          </cell>
          <cell r="H2238">
            <v>26031.4486221476</v>
          </cell>
          <cell r="I2238">
            <v>79</v>
          </cell>
          <cell r="J2238">
            <v>1.6776633501882599E-4</v>
          </cell>
          <cell r="K2238">
            <v>576</v>
          </cell>
          <cell r="L2238">
            <v>81.287825224547703</v>
          </cell>
          <cell r="M2238">
            <v>2042</v>
          </cell>
          <cell r="N2238">
            <v>1.5542041528540799E-2</v>
          </cell>
          <cell r="O2238">
            <v>1767</v>
          </cell>
          <cell r="P2238">
            <v>0.36</v>
          </cell>
          <cell r="Q2238">
            <v>968</v>
          </cell>
        </row>
        <row r="2239">
          <cell r="B2239" t="str">
            <v>OLEMA 110149756</v>
          </cell>
          <cell r="C2239">
            <v>42291101</v>
          </cell>
          <cell r="D2239" t="str">
            <v>OLEMA 1101</v>
          </cell>
          <cell r="E2239">
            <v>49756</v>
          </cell>
          <cell r="F2239" t="b">
            <v>0</v>
          </cell>
          <cell r="G2239">
            <v>9480.1737574889103</v>
          </cell>
          <cell r="H2239">
            <v>1727.7804710538901</v>
          </cell>
          <cell r="I2239">
            <v>40</v>
          </cell>
          <cell r="J2239">
            <v>7.5687208664021401E-5</v>
          </cell>
          <cell r="K2239">
            <v>2316</v>
          </cell>
          <cell r="L2239">
            <v>118.03462626747699</v>
          </cell>
          <cell r="M2239">
            <v>1881</v>
          </cell>
          <cell r="N2239">
            <v>6.36220414355247E-3</v>
          </cell>
          <cell r="O2239">
            <v>2137</v>
          </cell>
          <cell r="P2239">
            <v>0.01</v>
          </cell>
          <cell r="Q2239">
            <v>2594</v>
          </cell>
        </row>
        <row r="2240">
          <cell r="B2240" t="str">
            <v>OLEMA 110150396</v>
          </cell>
          <cell r="C2240">
            <v>42291101</v>
          </cell>
          <cell r="D2240" t="str">
            <v>OLEMA 1101</v>
          </cell>
          <cell r="E2240">
            <v>50396</v>
          </cell>
          <cell r="F2240" t="b">
            <v>0</v>
          </cell>
          <cell r="G2240">
            <v>21037.375727652801</v>
          </cell>
          <cell r="H2240">
            <v>20827.389249878299</v>
          </cell>
          <cell r="I2240">
            <v>162</v>
          </cell>
          <cell r="J2240">
            <v>8.5220918759887303E-5</v>
          </cell>
          <cell r="K2240">
            <v>2050</v>
          </cell>
          <cell r="L2240">
            <v>11.5064780965079</v>
          </cell>
          <cell r="M2240">
            <v>2597</v>
          </cell>
          <cell r="N2240">
            <v>9.6084373224047102E-4</v>
          </cell>
          <cell r="O2240">
            <v>2644</v>
          </cell>
          <cell r="P2240">
            <v>20.38</v>
          </cell>
          <cell r="Q2240">
            <v>306</v>
          </cell>
        </row>
        <row r="2241">
          <cell r="B2241" t="str">
            <v>OLEMA 1101602</v>
          </cell>
          <cell r="C2241">
            <v>42291101</v>
          </cell>
          <cell r="D2241" t="str">
            <v>OLEMA 1101</v>
          </cell>
          <cell r="E2241">
            <v>602</v>
          </cell>
          <cell r="F2241" t="b">
            <v>0</v>
          </cell>
          <cell r="G2241">
            <v>38446.672849321098</v>
          </cell>
          <cell r="H2241">
            <v>26032.337886317699</v>
          </cell>
          <cell r="I2241">
            <v>115</v>
          </cell>
          <cell r="J2241">
            <v>5.7752054830085701E-5</v>
          </cell>
          <cell r="K2241">
            <v>2842</v>
          </cell>
          <cell r="L2241">
            <v>48.200790585447898</v>
          </cell>
          <cell r="M2241">
            <v>2220</v>
          </cell>
          <cell r="N2241">
            <v>2.8980528456237901E-3</v>
          </cell>
          <cell r="O2241">
            <v>2360</v>
          </cell>
          <cell r="P2241">
            <v>0.08</v>
          </cell>
          <cell r="Q2241">
            <v>1633</v>
          </cell>
        </row>
        <row r="2242">
          <cell r="B2242" t="str">
            <v>OLEMA 110175686</v>
          </cell>
          <cell r="C2242">
            <v>42291101</v>
          </cell>
          <cell r="D2242" t="str">
            <v>OLEMA 1101</v>
          </cell>
          <cell r="E2242">
            <v>75686</v>
          </cell>
          <cell r="F2242" t="b">
            <v>0</v>
          </cell>
          <cell r="G2242">
            <v>8282.1233047601509</v>
          </cell>
          <cell r="H2242">
            <v>7450.40213425613</v>
          </cell>
          <cell r="I2242">
            <v>31</v>
          </cell>
          <cell r="J2242">
            <v>1.16987238288857E-4</v>
          </cell>
          <cell r="K2242">
            <v>1250</v>
          </cell>
          <cell r="L2242">
            <v>264.13326272432602</v>
          </cell>
          <cell r="M2242">
            <v>1511</v>
          </cell>
          <cell r="N2242">
            <v>2.9281353978823199E-2</v>
          </cell>
          <cell r="O2242">
            <v>1479</v>
          </cell>
          <cell r="P2242">
            <v>0.04</v>
          </cell>
          <cell r="Q2242">
            <v>2067</v>
          </cell>
        </row>
        <row r="2243">
          <cell r="B2243" t="str">
            <v>OLEMA 1101758594</v>
          </cell>
          <cell r="C2243">
            <v>42291101</v>
          </cell>
          <cell r="D2243" t="str">
            <v>OLEMA 1101</v>
          </cell>
          <cell r="E2243">
            <v>758594</v>
          </cell>
          <cell r="F2243" t="b">
            <v>0</v>
          </cell>
          <cell r="G2243">
            <v>3264.6913674849998</v>
          </cell>
          <cell r="H2243">
            <v>1943.49377715325</v>
          </cell>
          <cell r="I2243">
            <v>21</v>
          </cell>
          <cell r="J2243">
            <v>1.2954643456656101E-4</v>
          </cell>
          <cell r="K2243">
            <v>1018</v>
          </cell>
          <cell r="L2243">
            <v>6.1576226009499404</v>
          </cell>
          <cell r="M2243">
            <v>2711</v>
          </cell>
          <cell r="N2243">
            <v>6.2773749233150104E-4</v>
          </cell>
          <cell r="O2243">
            <v>2700</v>
          </cell>
          <cell r="Q2243">
            <v>3075</v>
          </cell>
        </row>
        <row r="2244">
          <cell r="B2244" t="str">
            <v>OLETA 11011208</v>
          </cell>
          <cell r="C2244">
            <v>163541101</v>
          </cell>
          <cell r="D2244" t="str">
            <v>OLETA 1101</v>
          </cell>
          <cell r="E2244">
            <v>1208</v>
          </cell>
          <cell r="F2244" t="b">
            <v>0</v>
          </cell>
          <cell r="G2244">
            <v>61463.001670979902</v>
          </cell>
          <cell r="H2244">
            <v>53098.443242061701</v>
          </cell>
          <cell r="I2244">
            <v>334</v>
          </cell>
          <cell r="J2244">
            <v>7.3226294892057001E-5</v>
          </cell>
          <cell r="K2244">
            <v>2389</v>
          </cell>
          <cell r="L2244">
            <v>2975.77952899202</v>
          </cell>
          <cell r="M2244">
            <v>271</v>
          </cell>
          <cell r="N2244">
            <v>0.19404491102705901</v>
          </cell>
          <cell r="O2244">
            <v>352</v>
          </cell>
          <cell r="P2244">
            <v>0.06</v>
          </cell>
          <cell r="Q2244">
            <v>1784</v>
          </cell>
        </row>
        <row r="2245">
          <cell r="B2245" t="str">
            <v>OLETA 11011217</v>
          </cell>
          <cell r="C2245">
            <v>163541101</v>
          </cell>
          <cell r="D2245" t="str">
            <v>OLETA 1101</v>
          </cell>
          <cell r="E2245">
            <v>1217</v>
          </cell>
          <cell r="F2245" t="b">
            <v>0</v>
          </cell>
          <cell r="G2245">
            <v>27736.920452244602</v>
          </cell>
          <cell r="H2245">
            <v>22843.385306114898</v>
          </cell>
          <cell r="I2245">
            <v>116</v>
          </cell>
          <cell r="J2245">
            <v>5.8959551049491298E-5</v>
          </cell>
          <cell r="K2245">
            <v>2808</v>
          </cell>
          <cell r="L2245">
            <v>3212.8960053789401</v>
          </cell>
          <cell r="M2245">
            <v>236</v>
          </cell>
          <cell r="N2245">
            <v>0.17295057569481001</v>
          </cell>
          <cell r="O2245">
            <v>426</v>
          </cell>
          <cell r="P2245">
            <v>2.25</v>
          </cell>
          <cell r="Q2245">
            <v>617</v>
          </cell>
        </row>
        <row r="2246">
          <cell r="B2246" t="str">
            <v>OLETA 110113478</v>
          </cell>
          <cell r="C2246">
            <v>163541101</v>
          </cell>
          <cell r="D2246" t="str">
            <v>OLETA 1101</v>
          </cell>
          <cell r="E2246">
            <v>13478</v>
          </cell>
          <cell r="F2246" t="b">
            <v>0</v>
          </cell>
          <cell r="G2246">
            <v>24836.1055622719</v>
          </cell>
          <cell r="H2246">
            <v>19846.651279390098</v>
          </cell>
          <cell r="I2246">
            <v>169</v>
          </cell>
          <cell r="J2246">
            <v>1.20304705236798E-4</v>
          </cell>
          <cell r="K2246">
            <v>1180</v>
          </cell>
          <cell r="L2246">
            <v>594.44795418403601</v>
          </cell>
          <cell r="M2246">
            <v>1107</v>
          </cell>
          <cell r="N2246">
            <v>6.2159264420749698E-2</v>
          </cell>
          <cell r="O2246">
            <v>1041</v>
          </cell>
          <cell r="P2246">
            <v>0.09</v>
          </cell>
          <cell r="Q2246">
            <v>1570</v>
          </cell>
        </row>
        <row r="2247">
          <cell r="B2247" t="str">
            <v>OLETA 1101239062</v>
          </cell>
          <cell r="C2247">
            <v>163541101</v>
          </cell>
          <cell r="D2247" t="str">
            <v>OLETA 1101</v>
          </cell>
          <cell r="E2247">
            <v>239062</v>
          </cell>
          <cell r="F2247" t="b">
            <v>0</v>
          </cell>
          <cell r="G2247">
            <v>22613.4238681194</v>
          </cell>
          <cell r="H2247">
            <v>19618.6008178839</v>
          </cell>
          <cell r="I2247">
            <v>113</v>
          </cell>
          <cell r="J2247">
            <v>7.6413676225432395E-5</v>
          </cell>
          <cell r="K2247">
            <v>2296</v>
          </cell>
          <cell r="L2247">
            <v>2401.1977062022502</v>
          </cell>
          <cell r="M2247">
            <v>361</v>
          </cell>
          <cell r="N2247">
            <v>0.146342766227638</v>
          </cell>
          <cell r="O2247">
            <v>542</v>
          </cell>
          <cell r="Q2247">
            <v>3021</v>
          </cell>
        </row>
        <row r="2248">
          <cell r="B2248" t="str">
            <v>OLETA 1101296804</v>
          </cell>
          <cell r="C2248">
            <v>163541101</v>
          </cell>
          <cell r="D2248" t="str">
            <v>OLETA 1101</v>
          </cell>
          <cell r="E2248">
            <v>296804</v>
          </cell>
          <cell r="F2248" t="b">
            <v>0</v>
          </cell>
          <cell r="G2248">
            <v>5287.50441411051</v>
          </cell>
          <cell r="H2248">
            <v>5287.50441411051</v>
          </cell>
          <cell r="I2248">
            <v>12</v>
          </cell>
          <cell r="J2248">
            <v>1.4394763062834101E-4</v>
          </cell>
          <cell r="K2248">
            <v>815</v>
          </cell>
          <cell r="L2248">
            <v>2252.1128365139598</v>
          </cell>
          <cell r="M2248">
            <v>392</v>
          </cell>
          <cell r="N2248">
            <v>0.31954387172433502</v>
          </cell>
          <cell r="O2248">
            <v>119</v>
          </cell>
          <cell r="Q2248">
            <v>3361</v>
          </cell>
        </row>
        <row r="2249">
          <cell r="B2249" t="str">
            <v>OLETA 1101400470</v>
          </cell>
          <cell r="C2249">
            <v>163541101</v>
          </cell>
          <cell r="D2249" t="str">
            <v>OLETA 1101</v>
          </cell>
          <cell r="E2249">
            <v>400470</v>
          </cell>
          <cell r="F2249" t="b">
            <v>1</v>
          </cell>
          <cell r="G2249">
            <v>475.21826837795902</v>
          </cell>
          <cell r="H2249">
            <v>334.01076741978198</v>
          </cell>
          <cell r="I2249">
            <v>3</v>
          </cell>
          <cell r="J2249">
            <v>1.4320455132595499E-4</v>
          </cell>
          <cell r="K2249">
            <v>822</v>
          </cell>
          <cell r="L2249">
            <v>1757.13874780335</v>
          </cell>
          <cell r="M2249">
            <v>513</v>
          </cell>
          <cell r="N2249">
            <v>0.27287493087562698</v>
          </cell>
          <cell r="O2249">
            <v>174</v>
          </cell>
          <cell r="Q2249">
            <v>3474</v>
          </cell>
        </row>
        <row r="2250">
          <cell r="B2250" t="str">
            <v>OLETA 110151740</v>
          </cell>
          <cell r="C2250">
            <v>163541101</v>
          </cell>
          <cell r="D2250" t="str">
            <v>OLETA 1101</v>
          </cell>
          <cell r="E2250">
            <v>51740</v>
          </cell>
          <cell r="F2250" t="b">
            <v>0</v>
          </cell>
          <cell r="G2250">
            <v>34181.0044013847</v>
          </cell>
          <cell r="H2250">
            <v>25031.397041128399</v>
          </cell>
          <cell r="I2250">
            <v>129</v>
          </cell>
          <cell r="J2250">
            <v>6.4995661612931701E-5</v>
          </cell>
          <cell r="K2250">
            <v>2610</v>
          </cell>
          <cell r="L2250">
            <v>1615.1565159724601</v>
          </cell>
          <cell r="M2250">
            <v>556</v>
          </cell>
          <cell r="N2250">
            <v>0.10699817481024899</v>
          </cell>
          <cell r="O2250">
            <v>725</v>
          </cell>
          <cell r="P2250">
            <v>0.06</v>
          </cell>
          <cell r="Q2250">
            <v>1828</v>
          </cell>
        </row>
        <row r="2251">
          <cell r="B2251" t="str">
            <v>OLETA 110163500</v>
          </cell>
          <cell r="C2251">
            <v>163541101</v>
          </cell>
          <cell r="D2251" t="str">
            <v>OLETA 1101</v>
          </cell>
          <cell r="E2251">
            <v>63500</v>
          </cell>
          <cell r="F2251" t="b">
            <v>1</v>
          </cell>
          <cell r="G2251">
            <v>5562.1132396047296</v>
          </cell>
          <cell r="H2251">
            <v>327.15005443802397</v>
          </cell>
          <cell r="I2251">
            <v>46</v>
          </cell>
          <cell r="J2251">
            <v>1.1792116848759401E-4</v>
          </cell>
          <cell r="K2251">
            <v>1230</v>
          </cell>
          <cell r="L2251">
            <v>448.36258124075101</v>
          </cell>
          <cell r="M2251">
            <v>1251</v>
          </cell>
          <cell r="N2251">
            <v>9.9652395000056904E-2</v>
          </cell>
          <cell r="O2251">
            <v>767</v>
          </cell>
          <cell r="P2251">
            <v>1.81</v>
          </cell>
          <cell r="Q2251">
            <v>642</v>
          </cell>
        </row>
        <row r="2252">
          <cell r="B2252" t="str">
            <v>OLETA 1101754718</v>
          </cell>
          <cell r="C2252">
            <v>163541101</v>
          </cell>
          <cell r="D2252" t="str">
            <v>OLETA 1101</v>
          </cell>
          <cell r="E2252">
            <v>754718</v>
          </cell>
          <cell r="F2252" t="b">
            <v>0</v>
          </cell>
          <cell r="G2252">
            <v>4640.5633165340896</v>
          </cell>
          <cell r="H2252">
            <v>4640.5633165340896</v>
          </cell>
          <cell r="I2252">
            <v>29</v>
          </cell>
          <cell r="J2252">
            <v>1.3445263413876899E-4</v>
          </cell>
          <cell r="K2252">
            <v>936</v>
          </cell>
          <cell r="L2252">
            <v>2737.1841476925501</v>
          </cell>
          <cell r="M2252">
            <v>306</v>
          </cell>
          <cell r="N2252">
            <v>0.40712355224880997</v>
          </cell>
          <cell r="O2252">
            <v>54</v>
          </cell>
          <cell r="Q2252">
            <v>3456</v>
          </cell>
        </row>
        <row r="2253">
          <cell r="B2253" t="str">
            <v>OLETA 1101894006</v>
          </cell>
          <cell r="C2253">
            <v>163541101</v>
          </cell>
          <cell r="D2253" t="str">
            <v>OLETA 1101</v>
          </cell>
          <cell r="E2253">
            <v>894006</v>
          </cell>
          <cell r="F2253" t="b">
            <v>1</v>
          </cell>
          <cell r="G2253">
            <v>1042.8450839811401</v>
          </cell>
          <cell r="H2253">
            <v>627.95452130340595</v>
          </cell>
          <cell r="I2253">
            <v>8</v>
          </cell>
          <cell r="J2253">
            <v>7.1493753694085104E-5</v>
          </cell>
          <cell r="K2253">
            <v>2432</v>
          </cell>
          <cell r="L2253">
            <v>670.40081094437505</v>
          </cell>
          <cell r="M2253">
            <v>1043</v>
          </cell>
          <cell r="N2253">
            <v>3.2390230387062499E-2</v>
          </cell>
          <cell r="O2253">
            <v>1417</v>
          </cell>
          <cell r="Q2253">
            <v>3282</v>
          </cell>
        </row>
        <row r="2254">
          <cell r="B2254" t="str">
            <v>OLETA 1101CB</v>
          </cell>
          <cell r="C2254">
            <v>163541101</v>
          </cell>
          <cell r="D2254" t="str">
            <v>OLETA 1101</v>
          </cell>
          <cell r="E2254" t="str">
            <v>CB</v>
          </cell>
          <cell r="F2254" t="b">
            <v>1</v>
          </cell>
          <cell r="G2254">
            <v>169.75155571677101</v>
          </cell>
          <cell r="H2254">
            <v>136.224226023944</v>
          </cell>
          <cell r="I2254">
            <v>2</v>
          </cell>
          <cell r="J2254">
            <v>1.7126682359958E-4</v>
          </cell>
          <cell r="K2254">
            <v>555</v>
          </cell>
          <cell r="L2254">
            <v>1962.7321461950701</v>
          </cell>
          <cell r="M2254">
            <v>461</v>
          </cell>
          <cell r="N2254">
            <v>0.35138277727408201</v>
          </cell>
          <cell r="O2254">
            <v>95</v>
          </cell>
          <cell r="P2254">
            <v>2.89</v>
          </cell>
          <cell r="Q2254">
            <v>573</v>
          </cell>
        </row>
        <row r="2255">
          <cell r="B2255" t="str">
            <v>OLETA 11021204</v>
          </cell>
          <cell r="C2255">
            <v>163541102</v>
          </cell>
          <cell r="D2255" t="str">
            <v>OLETA 1102</v>
          </cell>
          <cell r="E2255">
            <v>1204</v>
          </cell>
          <cell r="F2255" t="b">
            <v>0</v>
          </cell>
          <cell r="G2255">
            <v>47393.985382021499</v>
          </cell>
          <cell r="H2255">
            <v>41374.665476345697</v>
          </cell>
          <cell r="I2255">
            <v>233</v>
          </cell>
          <cell r="J2255">
            <v>8.8981593869815595E-5</v>
          </cell>
          <cell r="K2255">
            <v>1950</v>
          </cell>
          <cell r="L2255">
            <v>1305.1154589509199</v>
          </cell>
          <cell r="M2255">
            <v>679</v>
          </cell>
          <cell r="N2255">
            <v>0.109885242228922</v>
          </cell>
          <cell r="O2255">
            <v>714</v>
          </cell>
          <cell r="P2255">
            <v>0.09</v>
          </cell>
          <cell r="Q2255">
            <v>1553</v>
          </cell>
        </row>
        <row r="2256">
          <cell r="B2256" t="str">
            <v>OLETA 11021228</v>
          </cell>
          <cell r="C2256">
            <v>163541102</v>
          </cell>
          <cell r="D2256" t="str">
            <v>OLETA 1102</v>
          </cell>
          <cell r="E2256">
            <v>1228</v>
          </cell>
          <cell r="F2256" t="b">
            <v>0</v>
          </cell>
          <cell r="G2256">
            <v>69440.241044135895</v>
          </cell>
          <cell r="H2256">
            <v>17449.917425866799</v>
          </cell>
          <cell r="I2256">
            <v>368</v>
          </cell>
          <cell r="J2256">
            <v>1.16356599044713E-4</v>
          </cell>
          <cell r="K2256">
            <v>1263</v>
          </cell>
          <cell r="L2256">
            <v>1613.8230756566199</v>
          </cell>
          <cell r="M2256">
            <v>557</v>
          </cell>
          <cell r="N2256">
            <v>0.18877190419783299</v>
          </cell>
          <cell r="O2256">
            <v>374</v>
          </cell>
          <cell r="P2256">
            <v>0.04</v>
          </cell>
          <cell r="Q2256">
            <v>2078</v>
          </cell>
        </row>
        <row r="2257">
          <cell r="B2257" t="str">
            <v>OLETA 1102186326</v>
          </cell>
          <cell r="C2257">
            <v>163541102</v>
          </cell>
          <cell r="D2257" t="str">
            <v>OLETA 1102</v>
          </cell>
          <cell r="E2257">
            <v>186326</v>
          </cell>
          <cell r="F2257" t="b">
            <v>0</v>
          </cell>
          <cell r="G2257">
            <v>20743.732890044899</v>
          </cell>
          <cell r="H2257">
            <v>19088.853877773701</v>
          </cell>
          <cell r="I2257">
            <v>123</v>
          </cell>
          <cell r="J2257">
            <v>1.1430569302916101E-4</v>
          </cell>
          <cell r="K2257">
            <v>1312</v>
          </cell>
          <cell r="L2257">
            <v>2157.6906626469299</v>
          </cell>
          <cell r="M2257">
            <v>410</v>
          </cell>
          <cell r="N2257">
            <v>0.241135317130108</v>
          </cell>
          <cell r="O2257">
            <v>234</v>
          </cell>
          <cell r="Q2257">
            <v>3066</v>
          </cell>
        </row>
        <row r="2258">
          <cell r="B2258" t="str">
            <v>OLETA 11022642</v>
          </cell>
          <cell r="C2258">
            <v>163541102</v>
          </cell>
          <cell r="D2258" t="str">
            <v>OLETA 1102</v>
          </cell>
          <cell r="E2258">
            <v>2642</v>
          </cell>
          <cell r="F2258" t="b">
            <v>0</v>
          </cell>
          <cell r="G2258">
            <v>7497.8567752036397</v>
          </cell>
          <cell r="H2258">
            <v>7497.8567752036397</v>
          </cell>
          <cell r="I2258">
            <v>27</v>
          </cell>
          <cell r="J2258">
            <v>9.0400765017235502E-5</v>
          </cell>
          <cell r="K2258">
            <v>1902</v>
          </cell>
          <cell r="L2258">
            <v>716.24067124370004</v>
          </cell>
          <cell r="M2258">
            <v>1006</v>
          </cell>
          <cell r="N2258">
            <v>5.3840855270304397E-2</v>
          </cell>
          <cell r="O2258">
            <v>1136</v>
          </cell>
          <cell r="P2258">
            <v>0.03</v>
          </cell>
          <cell r="Q2258">
            <v>2270</v>
          </cell>
        </row>
        <row r="2259">
          <cell r="B2259" t="str">
            <v>OLETA 110241396</v>
          </cell>
          <cell r="C2259">
            <v>163541102</v>
          </cell>
          <cell r="D2259" t="str">
            <v>OLETA 1102</v>
          </cell>
          <cell r="E2259">
            <v>41396</v>
          </cell>
          <cell r="F2259" t="b">
            <v>0</v>
          </cell>
          <cell r="G2259">
            <v>11819.9638728234</v>
          </cell>
          <cell r="H2259">
            <v>10868.155935327901</v>
          </cell>
          <cell r="I2259">
            <v>75</v>
          </cell>
          <cell r="J2259">
            <v>1.4922154145703299E-4</v>
          </cell>
          <cell r="K2259">
            <v>747</v>
          </cell>
          <cell r="L2259">
            <v>1168.35263683006</v>
          </cell>
          <cell r="M2259">
            <v>746</v>
          </cell>
          <cell r="N2259">
            <v>0.19502913114364601</v>
          </cell>
          <cell r="O2259">
            <v>347</v>
          </cell>
          <cell r="P2259">
            <v>0.08</v>
          </cell>
          <cell r="Q2259">
            <v>1642</v>
          </cell>
        </row>
        <row r="2260">
          <cell r="B2260" t="str">
            <v>OLETA 1102793776</v>
          </cell>
          <cell r="C2260">
            <v>163541102</v>
          </cell>
          <cell r="D2260" t="str">
            <v>OLETA 1102</v>
          </cell>
          <cell r="E2260">
            <v>793776</v>
          </cell>
          <cell r="F2260" t="b">
            <v>0</v>
          </cell>
          <cell r="G2260">
            <v>1956.95952505777</v>
          </cell>
          <cell r="H2260">
            <v>1956.95952505777</v>
          </cell>
          <cell r="I2260">
            <v>6</v>
          </cell>
          <cell r="J2260">
            <v>1.0285580780570499E-4</v>
          </cell>
          <cell r="K2260">
            <v>1574</v>
          </cell>
          <cell r="L2260">
            <v>1821.9133830246401</v>
          </cell>
          <cell r="M2260">
            <v>500</v>
          </cell>
          <cell r="N2260">
            <v>0.19327933835251401</v>
          </cell>
          <cell r="O2260">
            <v>357</v>
          </cell>
          <cell r="Q2260">
            <v>3579</v>
          </cell>
        </row>
        <row r="2261">
          <cell r="B2261" t="str">
            <v>OLETA 1102799924</v>
          </cell>
          <cell r="C2261">
            <v>163541102</v>
          </cell>
          <cell r="D2261" t="str">
            <v>OLETA 1102</v>
          </cell>
          <cell r="E2261">
            <v>799924</v>
          </cell>
          <cell r="F2261" t="b">
            <v>1</v>
          </cell>
          <cell r="G2261">
            <v>621.61512304208998</v>
          </cell>
          <cell r="H2261">
            <v>621.61512304208998</v>
          </cell>
          <cell r="I2261">
            <v>4</v>
          </cell>
          <cell r="J2261">
            <v>1.1059227927034899E-4</v>
          </cell>
          <cell r="K2261">
            <v>1397</v>
          </cell>
          <cell r="L2261">
            <v>1327.4203087506401</v>
          </cell>
          <cell r="M2261">
            <v>669</v>
          </cell>
          <cell r="N2261">
            <v>7.0817967375215105E-2</v>
          </cell>
          <cell r="O2261">
            <v>973</v>
          </cell>
          <cell r="Q2261">
            <v>3334</v>
          </cell>
        </row>
        <row r="2262">
          <cell r="B2262" t="str">
            <v>OLETA 1102CB</v>
          </cell>
          <cell r="C2262">
            <v>163541102</v>
          </cell>
          <cell r="D2262" t="str">
            <v>OLETA 1102</v>
          </cell>
          <cell r="E2262" t="str">
            <v>CB</v>
          </cell>
          <cell r="F2262" t="b">
            <v>1</v>
          </cell>
          <cell r="G2262">
            <v>1312.93710002735</v>
          </cell>
          <cell r="H2262">
            <v>596.61831704775602</v>
          </cell>
          <cell r="I2262">
            <v>11</v>
          </cell>
          <cell r="J2262">
            <v>1.4984067026737401E-4</v>
          </cell>
          <cell r="K2262">
            <v>739</v>
          </cell>
          <cell r="L2262">
            <v>1023.64117325128</v>
          </cell>
          <cell r="M2262">
            <v>812</v>
          </cell>
          <cell r="N2262">
            <v>0.13273659918465799</v>
          </cell>
          <cell r="O2262">
            <v>595</v>
          </cell>
          <cell r="P2262">
            <v>0.08</v>
          </cell>
          <cell r="Q2262">
            <v>1591</v>
          </cell>
        </row>
        <row r="2263">
          <cell r="B2263" t="str">
            <v>OREGON TRAIL 11021382</v>
          </cell>
          <cell r="C2263">
            <v>103521102</v>
          </cell>
          <cell r="D2263" t="str">
            <v>OREGON TRAIL 1102</v>
          </cell>
          <cell r="E2263">
            <v>1382</v>
          </cell>
          <cell r="F2263" t="b">
            <v>0</v>
          </cell>
          <cell r="G2263">
            <v>8797.2782102602105</v>
          </cell>
          <cell r="H2263">
            <v>8797.2782102602105</v>
          </cell>
          <cell r="I2263">
            <v>67</v>
          </cell>
          <cell r="J2263">
            <v>1.02019212108779E-4</v>
          </cell>
          <cell r="K2263">
            <v>1603</v>
          </cell>
          <cell r="L2263">
            <v>2904.9799534533699</v>
          </cell>
          <cell r="M2263">
            <v>289</v>
          </cell>
          <cell r="N2263">
            <v>0.295031356723292</v>
          </cell>
          <cell r="O2263">
            <v>140</v>
          </cell>
          <cell r="P2263">
            <v>7.0000000000000007E-2</v>
          </cell>
          <cell r="Q2263">
            <v>1732</v>
          </cell>
        </row>
        <row r="2264">
          <cell r="B2264" t="str">
            <v>OREGON TRAIL 11021584</v>
          </cell>
          <cell r="C2264">
            <v>103521102</v>
          </cell>
          <cell r="D2264" t="str">
            <v>OREGON TRAIL 1102</v>
          </cell>
          <cell r="E2264">
            <v>1584</v>
          </cell>
          <cell r="F2264" t="b">
            <v>0</v>
          </cell>
          <cell r="G2264">
            <v>20998.6152533934</v>
          </cell>
          <cell r="H2264">
            <v>20998.6152533934</v>
          </cell>
          <cell r="I2264">
            <v>136</v>
          </cell>
          <cell r="J2264">
            <v>1.53853063426033E-4</v>
          </cell>
          <cell r="K2264">
            <v>710</v>
          </cell>
          <cell r="L2264">
            <v>117.418942284125</v>
          </cell>
          <cell r="M2264">
            <v>1885</v>
          </cell>
          <cell r="N2264">
            <v>1.5386590965506101E-2</v>
          </cell>
          <cell r="O2264">
            <v>1773</v>
          </cell>
          <cell r="P2264">
            <v>0.14000000000000001</v>
          </cell>
          <cell r="Q2264">
            <v>1331</v>
          </cell>
        </row>
        <row r="2265">
          <cell r="B2265" t="str">
            <v>OREGON TRAIL 110249144</v>
          </cell>
          <cell r="C2265">
            <v>103521102</v>
          </cell>
          <cell r="D2265" t="str">
            <v>OREGON TRAIL 1102</v>
          </cell>
          <cell r="E2265">
            <v>49144</v>
          </cell>
          <cell r="F2265" t="b">
            <v>0</v>
          </cell>
          <cell r="G2265">
            <v>34128.686942462802</v>
          </cell>
          <cell r="H2265">
            <v>29574.150340946999</v>
          </cell>
          <cell r="I2265">
            <v>169</v>
          </cell>
          <cell r="J2265">
            <v>1.6343217552752099E-4</v>
          </cell>
          <cell r="K2265">
            <v>606</v>
          </cell>
          <cell r="L2265">
            <v>803.74846266860698</v>
          </cell>
          <cell r="M2265">
            <v>937</v>
          </cell>
          <cell r="N2265">
            <v>7.1511745966323995E-2</v>
          </cell>
          <cell r="O2265">
            <v>968</v>
          </cell>
          <cell r="P2265">
            <v>0.08</v>
          </cell>
          <cell r="Q2265">
            <v>1646</v>
          </cell>
        </row>
        <row r="2266">
          <cell r="B2266" t="str">
            <v>OREGON TRAIL 1102CB</v>
          </cell>
          <cell r="C2266">
            <v>103521102</v>
          </cell>
          <cell r="D2266" t="str">
            <v>OREGON TRAIL 1102</v>
          </cell>
          <cell r="E2266" t="str">
            <v>CB</v>
          </cell>
          <cell r="F2266" t="b">
            <v>0</v>
          </cell>
          <cell r="G2266">
            <v>15377.0315938038</v>
          </cell>
          <cell r="H2266">
            <v>15053.030114532199</v>
          </cell>
          <cell r="I2266">
            <v>98</v>
          </cell>
          <cell r="J2266">
            <v>1.36086430110171E-4</v>
          </cell>
          <cell r="K2266">
            <v>918</v>
          </cell>
          <cell r="L2266">
            <v>2689.4423389259</v>
          </cell>
          <cell r="M2266">
            <v>314</v>
          </cell>
          <cell r="N2266">
            <v>0.25990602019842701</v>
          </cell>
          <cell r="O2266">
            <v>198</v>
          </cell>
          <cell r="P2266">
            <v>1.45</v>
          </cell>
          <cell r="Q2266">
            <v>674</v>
          </cell>
        </row>
        <row r="2267">
          <cell r="B2267" t="str">
            <v>OREGON TRAIL 11031448</v>
          </cell>
          <cell r="C2267">
            <v>103521103</v>
          </cell>
          <cell r="D2267" t="str">
            <v>OREGON TRAIL 1103</v>
          </cell>
          <cell r="E2267">
            <v>1448</v>
          </cell>
          <cell r="F2267" t="b">
            <v>0</v>
          </cell>
          <cell r="G2267">
            <v>49484.979349980997</v>
          </cell>
          <cell r="H2267">
            <v>49484.979349980997</v>
          </cell>
          <cell r="I2267">
            <v>232</v>
          </cell>
          <cell r="J2267">
            <v>9.5356895628781303E-5</v>
          </cell>
          <cell r="K2267">
            <v>1749</v>
          </cell>
          <cell r="L2267">
            <v>1437.1718933756799</v>
          </cell>
          <cell r="M2267">
            <v>620</v>
          </cell>
          <cell r="N2267">
            <v>0.14346880953763899</v>
          </cell>
          <cell r="O2267">
            <v>556</v>
          </cell>
          <cell r="P2267">
            <v>0.06</v>
          </cell>
          <cell r="Q2267">
            <v>1912</v>
          </cell>
        </row>
        <row r="2268">
          <cell r="B2268" t="str">
            <v>OREGON TRAIL 11031500</v>
          </cell>
          <cell r="C2268">
            <v>103521103</v>
          </cell>
          <cell r="D2268" t="str">
            <v>OREGON TRAIL 1103</v>
          </cell>
          <cell r="E2268">
            <v>1500</v>
          </cell>
          <cell r="F2268" t="b">
            <v>0</v>
          </cell>
          <cell r="G2268">
            <v>41880.468567409996</v>
          </cell>
          <cell r="H2268">
            <v>41880.468567409996</v>
          </cell>
          <cell r="I2268">
            <v>261</v>
          </cell>
          <cell r="J2268">
            <v>1.28473355317408E-4</v>
          </cell>
          <cell r="K2268">
            <v>1038</v>
          </cell>
          <cell r="L2268">
            <v>750.29915997699197</v>
          </cell>
          <cell r="M2268">
            <v>975</v>
          </cell>
          <cell r="N2268">
            <v>6.9495329325340999E-2</v>
          </cell>
          <cell r="O2268">
            <v>981</v>
          </cell>
          <cell r="P2268">
            <v>0.21</v>
          </cell>
          <cell r="Q2268">
            <v>1153</v>
          </cell>
        </row>
        <row r="2269">
          <cell r="B2269" t="str">
            <v>OREGON TRAIL 110335002</v>
          </cell>
          <cell r="C2269">
            <v>103521103</v>
          </cell>
          <cell r="D2269" t="str">
            <v>OREGON TRAIL 1103</v>
          </cell>
          <cell r="E2269">
            <v>35002</v>
          </cell>
          <cell r="F2269" t="b">
            <v>0</v>
          </cell>
          <cell r="G2269">
            <v>91942.988023722704</v>
          </cell>
          <cell r="H2269">
            <v>91942.988023722704</v>
          </cell>
          <cell r="I2269">
            <v>641</v>
          </cell>
          <cell r="J2269">
            <v>1.16311331561291E-4</v>
          </cell>
          <cell r="K2269">
            <v>1264</v>
          </cell>
          <cell r="L2269">
            <v>3934.2214097216302</v>
          </cell>
          <cell r="M2269">
            <v>153</v>
          </cell>
          <cell r="N2269">
            <v>0.42184524936932599</v>
          </cell>
          <cell r="O2269">
            <v>49</v>
          </cell>
          <cell r="P2269">
            <v>0.4</v>
          </cell>
          <cell r="Q2269">
            <v>943</v>
          </cell>
        </row>
        <row r="2270">
          <cell r="B2270" t="str">
            <v>OREGON TRAIL 110346860</v>
          </cell>
          <cell r="C2270">
            <v>103521103</v>
          </cell>
          <cell r="D2270" t="str">
            <v>OREGON TRAIL 1103</v>
          </cell>
          <cell r="E2270">
            <v>46860</v>
          </cell>
          <cell r="F2270" t="b">
            <v>0</v>
          </cell>
          <cell r="G2270">
            <v>5362.8484389867299</v>
          </cell>
          <cell r="H2270">
            <v>1149.59795650768</v>
          </cell>
          <cell r="I2270">
            <v>15</v>
          </cell>
          <cell r="J2270">
            <v>1.3669781661259801E-4</v>
          </cell>
          <cell r="K2270">
            <v>912</v>
          </cell>
          <cell r="L2270">
            <v>145.85307887072801</v>
          </cell>
          <cell r="M2270">
            <v>1790</v>
          </cell>
          <cell r="N2270">
            <v>2.9647629681635999E-2</v>
          </cell>
          <cell r="O2270">
            <v>1470</v>
          </cell>
          <cell r="P2270">
            <v>0.03</v>
          </cell>
          <cell r="Q2270">
            <v>2247</v>
          </cell>
        </row>
        <row r="2271">
          <cell r="B2271" t="str">
            <v>OREGON TRAIL 1103CB</v>
          </cell>
          <cell r="C2271">
            <v>103521103</v>
          </cell>
          <cell r="D2271" t="str">
            <v>OREGON TRAIL 1103</v>
          </cell>
          <cell r="E2271" t="str">
            <v>CB</v>
          </cell>
          <cell r="F2271" t="b">
            <v>0</v>
          </cell>
          <cell r="G2271">
            <v>4716.8975610019597</v>
          </cell>
          <cell r="H2271">
            <v>4354.34100359289</v>
          </cell>
          <cell r="I2271">
            <v>38</v>
          </cell>
          <cell r="J2271">
            <v>2.0156868786695001E-4</v>
          </cell>
          <cell r="K2271">
            <v>391</v>
          </cell>
          <cell r="L2271">
            <v>1548.9968768638</v>
          </cell>
          <cell r="M2271">
            <v>580</v>
          </cell>
          <cell r="N2271">
            <v>0.21643806616686001</v>
          </cell>
          <cell r="O2271">
            <v>290</v>
          </cell>
          <cell r="P2271">
            <v>7.0000000000000007E-2</v>
          </cell>
          <cell r="Q2271">
            <v>1689</v>
          </cell>
        </row>
        <row r="2272">
          <cell r="B2272" t="str">
            <v>OREGON TRAIL 1103CUS391</v>
          </cell>
          <cell r="C2272">
            <v>103521103</v>
          </cell>
          <cell r="D2272" t="str">
            <v>OREGON TRAIL 1103</v>
          </cell>
          <cell r="E2272" t="str">
            <v>CUS391</v>
          </cell>
          <cell r="F2272" t="b">
            <v>1</v>
          </cell>
          <cell r="G2272">
            <v>36.357692544759097</v>
          </cell>
          <cell r="H2272">
            <v>36.357692544759097</v>
          </cell>
          <cell r="I2272">
            <v>1</v>
          </cell>
          <cell r="J2272">
            <v>3.9685034425929102E-4</v>
          </cell>
          <cell r="K2272">
            <v>69</v>
          </cell>
          <cell r="L2272">
            <v>7972.4858445398104</v>
          </cell>
          <cell r="M2272">
            <v>5</v>
          </cell>
          <cell r="N2272">
            <v>3.1638837520079499</v>
          </cell>
          <cell r="O2272">
            <v>1</v>
          </cell>
          <cell r="Q2272">
            <v>3570</v>
          </cell>
        </row>
        <row r="2273">
          <cell r="B2273" t="str">
            <v>OREGON TRAIL 11041574</v>
          </cell>
          <cell r="C2273">
            <v>103521104</v>
          </cell>
          <cell r="D2273" t="str">
            <v>OREGON TRAIL 1104</v>
          </cell>
          <cell r="E2273">
            <v>1574</v>
          </cell>
          <cell r="F2273" t="b">
            <v>0</v>
          </cell>
          <cell r="G2273">
            <v>30217.6119838267</v>
          </cell>
          <cell r="H2273">
            <v>27209.523433845701</v>
          </cell>
          <cell r="I2273">
            <v>221</v>
          </cell>
          <cell r="J2273">
            <v>9.7751815286191199E-5</v>
          </cell>
          <cell r="K2273">
            <v>1698</v>
          </cell>
          <cell r="L2273">
            <v>3321.0393964148402</v>
          </cell>
          <cell r="M2273">
            <v>222</v>
          </cell>
          <cell r="N2273">
            <v>0.27852194552886</v>
          </cell>
          <cell r="O2273">
            <v>160</v>
          </cell>
          <cell r="P2273">
            <v>0.1</v>
          </cell>
          <cell r="Q2273">
            <v>1499</v>
          </cell>
        </row>
        <row r="2274">
          <cell r="B2274" t="str">
            <v>OREGON TRAIL 11041634</v>
          </cell>
          <cell r="C2274">
            <v>103521104</v>
          </cell>
          <cell r="D2274" t="str">
            <v>OREGON TRAIL 1104</v>
          </cell>
          <cell r="E2274">
            <v>1634</v>
          </cell>
          <cell r="F2274" t="b">
            <v>0</v>
          </cell>
          <cell r="G2274">
            <v>29441.362588382799</v>
          </cell>
          <cell r="H2274">
            <v>29110.769401012501</v>
          </cell>
          <cell r="I2274">
            <v>192</v>
          </cell>
          <cell r="J2274">
            <v>8.4909095419131902E-5</v>
          </cell>
          <cell r="K2274">
            <v>2064</v>
          </cell>
          <cell r="L2274">
            <v>4929.5025941357999</v>
          </cell>
          <cell r="M2274">
            <v>80</v>
          </cell>
          <cell r="N2274">
            <v>0.39094095264745299</v>
          </cell>
          <cell r="O2274">
            <v>65</v>
          </cell>
          <cell r="P2274">
            <v>0.18</v>
          </cell>
          <cell r="Q2274">
            <v>1222</v>
          </cell>
        </row>
        <row r="2275">
          <cell r="B2275" t="str">
            <v>OREGON TRAIL 1104CB</v>
          </cell>
          <cell r="C2275">
            <v>103521104</v>
          </cell>
          <cell r="D2275" t="str">
            <v>OREGON TRAIL 1104</v>
          </cell>
          <cell r="E2275" t="str">
            <v>CB</v>
          </cell>
          <cell r="F2275" t="b">
            <v>0</v>
          </cell>
          <cell r="G2275">
            <v>23543.782700217602</v>
          </cell>
          <cell r="H2275">
            <v>17030.244017994901</v>
          </cell>
          <cell r="I2275">
            <v>164</v>
          </cell>
          <cell r="J2275">
            <v>1.4109221713183901E-4</v>
          </cell>
          <cell r="K2275">
            <v>852</v>
          </cell>
          <cell r="L2275">
            <v>1638.3807490438101</v>
          </cell>
          <cell r="M2275">
            <v>548</v>
          </cell>
          <cell r="N2275">
            <v>0.23182177282757899</v>
          </cell>
          <cell r="O2275">
            <v>255</v>
          </cell>
          <cell r="P2275">
            <v>0.08</v>
          </cell>
          <cell r="Q2275">
            <v>1577</v>
          </cell>
        </row>
        <row r="2276">
          <cell r="B2276" t="str">
            <v>ORINDA 04013442</v>
          </cell>
          <cell r="C2276">
            <v>12350401</v>
          </cell>
          <cell r="D2276" t="str">
            <v>ORINDA 0401</v>
          </cell>
          <cell r="E2276">
            <v>3442</v>
          </cell>
          <cell r="F2276" t="b">
            <v>0</v>
          </cell>
          <cell r="G2276">
            <v>8430.8944228072196</v>
          </cell>
          <cell r="H2276">
            <v>5599.8630101564204</v>
          </cell>
          <cell r="I2276">
            <v>68</v>
          </cell>
          <cell r="J2276">
            <v>1.16615632604781E-4</v>
          </cell>
          <cell r="K2276">
            <v>1257</v>
          </cell>
          <cell r="L2276">
            <v>0.76370181351282995</v>
          </cell>
          <cell r="M2276">
            <v>2904</v>
          </cell>
          <cell r="N2276">
            <v>1.0618454159242701E-4</v>
          </cell>
          <cell r="O2276">
            <v>2875</v>
          </cell>
          <cell r="P2276">
            <v>7.0000000000000007E-2</v>
          </cell>
          <cell r="Q2276">
            <v>1685</v>
          </cell>
        </row>
        <row r="2277">
          <cell r="B2277" t="str">
            <v>ORINDA 0401401/2 LR</v>
          </cell>
          <cell r="C2277">
            <v>12350401</v>
          </cell>
          <cell r="D2277" t="str">
            <v>ORINDA 0401</v>
          </cell>
          <cell r="E2277" t="str">
            <v>401/2 LR</v>
          </cell>
          <cell r="F2277" t="b">
            <v>1</v>
          </cell>
          <cell r="G2277">
            <v>235.88104854040901</v>
          </cell>
          <cell r="H2277">
            <v>158.24902998422701</v>
          </cell>
          <cell r="I2277">
            <v>4</v>
          </cell>
          <cell r="J2277">
            <v>8.7563421402592198E-5</v>
          </cell>
          <cell r="K2277">
            <v>1998</v>
          </cell>
          <cell r="L2277">
            <v>6.6111988150505396E-2</v>
          </cell>
          <cell r="M2277">
            <v>3187</v>
          </cell>
          <cell r="N2277">
            <v>5.7731346124156404E-6</v>
          </cell>
          <cell r="O2277">
            <v>3224</v>
          </cell>
          <cell r="Q2277">
            <v>2987</v>
          </cell>
        </row>
        <row r="2278">
          <cell r="B2278" t="str">
            <v>ORINDA 0402402/2 LR</v>
          </cell>
          <cell r="C2278">
            <v>12350402</v>
          </cell>
          <cell r="D2278" t="str">
            <v>ORINDA 0402</v>
          </cell>
          <cell r="E2278" t="str">
            <v>402/2 LR</v>
          </cell>
          <cell r="F2278" t="b">
            <v>0</v>
          </cell>
          <cell r="G2278">
            <v>10638.250928756501</v>
          </cell>
          <cell r="H2278">
            <v>10545.4352717003</v>
          </cell>
          <cell r="I2278">
            <v>91</v>
          </cell>
          <cell r="J2278">
            <v>1.2173554137257E-4</v>
          </cell>
          <cell r="K2278">
            <v>1151</v>
          </cell>
          <cell r="L2278">
            <v>1.6330383053342199</v>
          </cell>
          <cell r="M2278">
            <v>2857</v>
          </cell>
          <cell r="N2278">
            <v>1.7917389353358599E-4</v>
          </cell>
          <cell r="O2278">
            <v>2846</v>
          </cell>
          <cell r="Q2278">
            <v>2922</v>
          </cell>
        </row>
        <row r="2279">
          <cell r="B2279" t="str">
            <v>ORO FINO 11012022</v>
          </cell>
          <cell r="C2279">
            <v>103031101</v>
          </cell>
          <cell r="D2279" t="str">
            <v>ORO FINO 1101</v>
          </cell>
          <cell r="E2279">
            <v>2022</v>
          </cell>
          <cell r="F2279" t="b">
            <v>0</v>
          </cell>
          <cell r="G2279">
            <v>25888.955396494501</v>
          </cell>
          <cell r="H2279">
            <v>25888.955396494501</v>
          </cell>
          <cell r="I2279">
            <v>207</v>
          </cell>
          <cell r="J2279">
            <v>1.62798916710581E-4</v>
          </cell>
          <cell r="K2279">
            <v>614</v>
          </cell>
          <cell r="L2279">
            <v>14.0752335295681</v>
          </cell>
          <cell r="M2279">
            <v>2547</v>
          </cell>
          <cell r="N2279">
            <v>2.4209333818242498E-3</v>
          </cell>
          <cell r="O2279">
            <v>2420</v>
          </cell>
          <cell r="P2279">
            <v>126.01</v>
          </cell>
          <cell r="Q2279">
            <v>10</v>
          </cell>
        </row>
        <row r="2280">
          <cell r="B2280" t="str">
            <v>ORO FINO 1101CB</v>
          </cell>
          <cell r="C2280">
            <v>103031101</v>
          </cell>
          <cell r="D2280" t="str">
            <v>ORO FINO 1101</v>
          </cell>
          <cell r="E2280" t="str">
            <v>CB</v>
          </cell>
          <cell r="F2280" t="b">
            <v>0</v>
          </cell>
          <cell r="G2280">
            <v>35929.683585921099</v>
          </cell>
          <cell r="H2280">
            <v>35929.683585921099</v>
          </cell>
          <cell r="I2280">
            <v>271</v>
          </cell>
          <cell r="J2280">
            <v>1.7816936473267201E-4</v>
          </cell>
          <cell r="K2280">
            <v>517</v>
          </cell>
          <cell r="L2280">
            <v>43.306964248248299</v>
          </cell>
          <cell r="M2280">
            <v>2257</v>
          </cell>
          <cell r="N2280">
            <v>3.5788644891140702E-3</v>
          </cell>
          <cell r="O2280">
            <v>2289</v>
          </cell>
          <cell r="P2280">
            <v>173.81</v>
          </cell>
          <cell r="Q2280">
            <v>3</v>
          </cell>
        </row>
        <row r="2281">
          <cell r="B2281" t="str">
            <v>ORO FINO 1102127563</v>
          </cell>
          <cell r="C2281">
            <v>103031102</v>
          </cell>
          <cell r="D2281" t="str">
            <v>ORO FINO 1102</v>
          </cell>
          <cell r="E2281">
            <v>127563</v>
          </cell>
          <cell r="F2281" t="b">
            <v>0</v>
          </cell>
          <cell r="G2281">
            <v>11105.9314210455</v>
          </cell>
          <cell r="H2281">
            <v>11105.9314210455</v>
          </cell>
          <cell r="I2281">
            <v>63</v>
          </cell>
          <cell r="J2281">
            <v>7.2173379781556099E-5</v>
          </cell>
          <cell r="K2281">
            <v>2413</v>
          </cell>
          <cell r="L2281">
            <v>803.56820001541098</v>
          </cell>
          <cell r="M2281">
            <v>938</v>
          </cell>
          <cell r="N2281">
            <v>6.1335782860137002E-2</v>
          </cell>
          <cell r="O2281">
            <v>1050</v>
          </cell>
          <cell r="P2281">
            <v>23.56</v>
          </cell>
          <cell r="Q2281">
            <v>283</v>
          </cell>
        </row>
        <row r="2282">
          <cell r="B2282" t="str">
            <v>ORO FINO 11022040</v>
          </cell>
          <cell r="C2282">
            <v>103031102</v>
          </cell>
          <cell r="D2282" t="str">
            <v>ORO FINO 1102</v>
          </cell>
          <cell r="E2282">
            <v>2040</v>
          </cell>
          <cell r="F2282" t="b">
            <v>0</v>
          </cell>
          <cell r="G2282">
            <v>14724.866201737501</v>
          </cell>
          <cell r="H2282">
            <v>14724.866201737501</v>
          </cell>
          <cell r="I2282">
            <v>21</v>
          </cell>
          <cell r="J2282">
            <v>1.56546877192073E-4</v>
          </cell>
          <cell r="K2282">
            <v>679</v>
          </cell>
          <cell r="L2282">
            <v>141.55319655071199</v>
          </cell>
          <cell r="M2282">
            <v>1807</v>
          </cell>
          <cell r="N2282">
            <v>2.3167711420893699E-2</v>
          </cell>
          <cell r="O2282">
            <v>1599</v>
          </cell>
          <cell r="P2282">
            <v>17.989999999999998</v>
          </cell>
          <cell r="Q2282">
            <v>328</v>
          </cell>
        </row>
        <row r="2283">
          <cell r="B2283" t="str">
            <v>ORO FINO 11022090</v>
          </cell>
          <cell r="C2283">
            <v>103031102</v>
          </cell>
          <cell r="D2283" t="str">
            <v>ORO FINO 1102</v>
          </cell>
          <cell r="E2283">
            <v>2090</v>
          </cell>
          <cell r="F2283" t="b">
            <v>0</v>
          </cell>
          <cell r="G2283">
            <v>23726.193149765</v>
          </cell>
          <cell r="H2283">
            <v>23726.193149765</v>
          </cell>
          <cell r="I2283">
            <v>183</v>
          </cell>
          <cell r="J2283">
            <v>1.10064439602448E-4</v>
          </cell>
          <cell r="K2283">
            <v>1410</v>
          </cell>
          <cell r="L2283">
            <v>20.718214122961498</v>
          </cell>
          <cell r="M2283">
            <v>2438</v>
          </cell>
          <cell r="N2283">
            <v>2.26754349224854E-3</v>
          </cell>
          <cell r="O2283">
            <v>2440</v>
          </cell>
          <cell r="P2283">
            <v>71.03</v>
          </cell>
          <cell r="Q2283">
            <v>68</v>
          </cell>
        </row>
        <row r="2284">
          <cell r="B2284" t="str">
            <v>ORO FINO 11022096</v>
          </cell>
          <cell r="C2284">
            <v>103031102</v>
          </cell>
          <cell r="D2284" t="str">
            <v>ORO FINO 1102</v>
          </cell>
          <cell r="E2284">
            <v>2096</v>
          </cell>
          <cell r="F2284" t="b">
            <v>0</v>
          </cell>
          <cell r="G2284">
            <v>22772.918959364699</v>
          </cell>
          <cell r="H2284">
            <v>22772.918959364699</v>
          </cell>
          <cell r="I2284">
            <v>129</v>
          </cell>
          <cell r="J2284">
            <v>9.8802375589457302E-5</v>
          </cell>
          <cell r="K2284">
            <v>1675</v>
          </cell>
          <cell r="L2284">
            <v>133.115875762607</v>
          </cell>
          <cell r="M2284">
            <v>1838</v>
          </cell>
          <cell r="N2284">
            <v>1.25314790986049E-2</v>
          </cell>
          <cell r="O2284">
            <v>1861</v>
          </cell>
          <cell r="P2284">
            <v>53.86</v>
          </cell>
          <cell r="Q2284">
            <v>110</v>
          </cell>
        </row>
        <row r="2285">
          <cell r="B2285" t="str">
            <v>ORO FINO 11022236</v>
          </cell>
          <cell r="C2285">
            <v>103031102</v>
          </cell>
          <cell r="D2285" t="str">
            <v>ORO FINO 1102</v>
          </cell>
          <cell r="E2285">
            <v>2236</v>
          </cell>
          <cell r="F2285" t="b">
            <v>0</v>
          </cell>
          <cell r="G2285">
            <v>4120.4561312109799</v>
          </cell>
          <cell r="H2285">
            <v>4120.4561312109799</v>
          </cell>
          <cell r="I2285">
            <v>11</v>
          </cell>
          <cell r="J2285">
            <v>2.79556816332677E-4</v>
          </cell>
          <cell r="K2285">
            <v>156</v>
          </cell>
          <cell r="L2285">
            <v>116.750776385488</v>
          </cell>
          <cell r="M2285">
            <v>1889</v>
          </cell>
          <cell r="N2285">
            <v>4.09935647474046E-2</v>
          </cell>
          <cell r="O2285">
            <v>1287</v>
          </cell>
          <cell r="P2285">
            <v>0.26</v>
          </cell>
          <cell r="Q2285">
            <v>1069</v>
          </cell>
        </row>
        <row r="2286">
          <cell r="B2286" t="str">
            <v>ORO FINO 11022556</v>
          </cell>
          <cell r="C2286">
            <v>103031102</v>
          </cell>
          <cell r="D2286" t="str">
            <v>ORO FINO 1102</v>
          </cell>
          <cell r="E2286">
            <v>2556</v>
          </cell>
          <cell r="F2286" t="b">
            <v>0</v>
          </cell>
          <cell r="G2286">
            <v>10719.4796785656</v>
          </cell>
          <cell r="H2286">
            <v>10719.4796785656</v>
          </cell>
          <cell r="I2286">
            <v>41</v>
          </cell>
          <cell r="J2286">
            <v>2.20172209174052E-4</v>
          </cell>
          <cell r="K2286">
            <v>320</v>
          </cell>
          <cell r="L2286">
            <v>170.52734783560999</v>
          </cell>
          <cell r="M2286">
            <v>1713</v>
          </cell>
          <cell r="N2286">
            <v>3.1032066064245301E-2</v>
          </cell>
          <cell r="O2286">
            <v>1441</v>
          </cell>
          <cell r="P2286">
            <v>40.369999999999997</v>
          </cell>
          <cell r="Q2286">
            <v>184</v>
          </cell>
        </row>
        <row r="2287">
          <cell r="B2287" t="str">
            <v>ORO FINO 11022560</v>
          </cell>
          <cell r="C2287">
            <v>103031102</v>
          </cell>
          <cell r="D2287" t="str">
            <v>ORO FINO 1102</v>
          </cell>
          <cell r="E2287">
            <v>2560</v>
          </cell>
          <cell r="F2287" t="b">
            <v>0</v>
          </cell>
          <cell r="G2287">
            <v>26913.6157480119</v>
          </cell>
          <cell r="H2287">
            <v>26913.6157480119</v>
          </cell>
          <cell r="I2287">
            <v>179</v>
          </cell>
          <cell r="J2287">
            <v>8.9580902222325393E-5</v>
          </cell>
          <cell r="K2287">
            <v>1928</v>
          </cell>
          <cell r="L2287">
            <v>135.77722244223901</v>
          </cell>
          <cell r="M2287">
            <v>1829</v>
          </cell>
          <cell r="N2287">
            <v>1.0913003839760099E-2</v>
          </cell>
          <cell r="O2287">
            <v>1921</v>
          </cell>
          <cell r="P2287">
            <v>75.77</v>
          </cell>
          <cell r="Q2287">
            <v>57</v>
          </cell>
        </row>
        <row r="2288">
          <cell r="B2288" t="str">
            <v>ORO FINO 110238698</v>
          </cell>
          <cell r="C2288">
            <v>103031102</v>
          </cell>
          <cell r="D2288" t="str">
            <v>ORO FINO 1102</v>
          </cell>
          <cell r="E2288">
            <v>38698</v>
          </cell>
          <cell r="F2288" t="b">
            <v>0</v>
          </cell>
          <cell r="G2288">
            <v>25178.961163854699</v>
          </cell>
          <cell r="H2288">
            <v>25178.961163854699</v>
          </cell>
          <cell r="I2288">
            <v>103</v>
          </cell>
          <cell r="J2288">
            <v>9.2035909468598503E-5</v>
          </cell>
          <cell r="K2288">
            <v>1843</v>
          </cell>
          <cell r="L2288">
            <v>61.203996997901001</v>
          </cell>
          <cell r="M2288">
            <v>2145</v>
          </cell>
          <cell r="N2288">
            <v>6.0348537499312904E-3</v>
          </cell>
          <cell r="O2288">
            <v>2152</v>
          </cell>
          <cell r="P2288">
            <v>4.0999999999999996</v>
          </cell>
          <cell r="Q2288">
            <v>526</v>
          </cell>
        </row>
        <row r="2289">
          <cell r="B2289" t="str">
            <v>ORO FINO 110239154</v>
          </cell>
          <cell r="C2289">
            <v>103031102</v>
          </cell>
          <cell r="D2289" t="str">
            <v>ORO FINO 1102</v>
          </cell>
          <cell r="E2289">
            <v>39154</v>
          </cell>
          <cell r="F2289" t="b">
            <v>0</v>
          </cell>
          <cell r="G2289">
            <v>1419.88892759952</v>
          </cell>
          <cell r="H2289">
            <v>1419.88892759952</v>
          </cell>
          <cell r="I2289">
            <v>11</v>
          </cell>
          <cell r="J2289">
            <v>1.9824327517364301E-4</v>
          </cell>
          <cell r="K2289">
            <v>403</v>
          </cell>
          <cell r="L2289">
            <v>21.6746436509425</v>
          </cell>
          <cell r="M2289">
            <v>2430</v>
          </cell>
          <cell r="N2289">
            <v>1.3922628559289701E-3</v>
          </cell>
          <cell r="O2289">
            <v>2575</v>
          </cell>
          <cell r="P2289">
            <v>62.39</v>
          </cell>
          <cell r="Q2289">
            <v>84</v>
          </cell>
        </row>
        <row r="2290">
          <cell r="B2290" t="str">
            <v>ORO FINO 110265932</v>
          </cell>
          <cell r="C2290">
            <v>103031102</v>
          </cell>
          <cell r="D2290" t="str">
            <v>ORO FINO 1102</v>
          </cell>
          <cell r="E2290">
            <v>65932</v>
          </cell>
          <cell r="F2290" t="b">
            <v>0</v>
          </cell>
          <cell r="G2290">
            <v>7276.7194319277496</v>
          </cell>
          <cell r="H2290">
            <v>7276.7194319277496</v>
          </cell>
          <cell r="I2290">
            <v>48</v>
          </cell>
          <cell r="J2290">
            <v>1.2508849924112501E-4</v>
          </cell>
          <cell r="K2290">
            <v>1096</v>
          </cell>
          <cell r="L2290">
            <v>211.51523276735301</v>
          </cell>
          <cell r="M2290">
            <v>1616</v>
          </cell>
          <cell r="N2290">
            <v>2.0219245449573198E-2</v>
          </cell>
          <cell r="O2290">
            <v>1667</v>
          </cell>
          <cell r="P2290">
            <v>64.62</v>
          </cell>
          <cell r="Q2290">
            <v>78</v>
          </cell>
        </row>
        <row r="2291">
          <cell r="B2291" t="str">
            <v>ORO FINO 110276008</v>
          </cell>
          <cell r="C2291">
            <v>103031102</v>
          </cell>
          <cell r="D2291" t="str">
            <v>ORO FINO 1102</v>
          </cell>
          <cell r="E2291">
            <v>76008</v>
          </cell>
          <cell r="F2291" t="b">
            <v>0</v>
          </cell>
          <cell r="G2291">
            <v>25670.801467449499</v>
          </cell>
          <cell r="H2291">
            <v>25670.801467449499</v>
          </cell>
          <cell r="I2291">
            <v>170</v>
          </cell>
          <cell r="J2291">
            <v>9.3618226631352706E-5</v>
          </cell>
          <cell r="K2291">
            <v>1806</v>
          </cell>
          <cell r="L2291">
            <v>4.2609665496775699</v>
          </cell>
          <cell r="M2291">
            <v>2775</v>
          </cell>
          <cell r="N2291">
            <v>4.0099601896693803E-4</v>
          </cell>
          <cell r="O2291">
            <v>2763</v>
          </cell>
          <cell r="P2291">
            <v>96.79</v>
          </cell>
          <cell r="Q2291">
            <v>24</v>
          </cell>
        </row>
        <row r="2292">
          <cell r="B2292" t="str">
            <v>ORO FINO 1102CB</v>
          </cell>
          <cell r="C2292">
            <v>103031102</v>
          </cell>
          <cell r="D2292" t="str">
            <v>ORO FINO 1102</v>
          </cell>
          <cell r="E2292" t="str">
            <v>CB</v>
          </cell>
          <cell r="F2292" t="b">
            <v>0</v>
          </cell>
          <cell r="G2292">
            <v>3376.1920958452602</v>
          </cell>
          <cell r="H2292">
            <v>3376.1920958452602</v>
          </cell>
          <cell r="I2292">
            <v>27</v>
          </cell>
          <cell r="J2292">
            <v>1.8738327425024901E-4</v>
          </cell>
          <cell r="K2292">
            <v>459</v>
          </cell>
          <cell r="L2292">
            <v>22.075737733831101</v>
          </cell>
          <cell r="M2292">
            <v>2425</v>
          </cell>
          <cell r="N2292">
            <v>2.1921703429090898E-3</v>
          </cell>
          <cell r="O2292">
            <v>2451</v>
          </cell>
          <cell r="P2292">
            <v>44.75</v>
          </cell>
          <cell r="Q2292">
            <v>154</v>
          </cell>
        </row>
        <row r="2293">
          <cell r="B2293" t="str">
            <v>OROSI 11027948F</v>
          </cell>
          <cell r="C2293">
            <v>252841102</v>
          </cell>
          <cell r="D2293" t="str">
            <v>OROSI 1102</v>
          </cell>
          <cell r="E2293" t="str">
            <v>7948F</v>
          </cell>
          <cell r="F2293" t="b">
            <v>0</v>
          </cell>
          <cell r="G2293">
            <v>13813.690471239999</v>
          </cell>
          <cell r="H2293">
            <v>1712.01394874941</v>
          </cell>
          <cell r="I2293">
            <v>74</v>
          </cell>
          <cell r="J2293">
            <v>2.7102846792735699E-5</v>
          </cell>
          <cell r="K2293">
            <v>3472</v>
          </cell>
          <cell r="L2293">
            <v>53.083586349177097</v>
          </cell>
          <cell r="M2293">
            <v>2194</v>
          </cell>
          <cell r="N2293">
            <v>8.2173720132728797E-4</v>
          </cell>
          <cell r="O2293">
            <v>2668</v>
          </cell>
          <cell r="P2293">
            <v>0.02</v>
          </cell>
          <cell r="Q2293">
            <v>2432</v>
          </cell>
        </row>
        <row r="2294">
          <cell r="B2294" t="str">
            <v>OTTER 11012052</v>
          </cell>
          <cell r="C2294">
            <v>182941101</v>
          </cell>
          <cell r="D2294" t="str">
            <v>OTTER 1101</v>
          </cell>
          <cell r="E2294">
            <v>2052</v>
          </cell>
          <cell r="F2294" t="b">
            <v>0</v>
          </cell>
          <cell r="G2294">
            <v>7781.6966941974997</v>
          </cell>
          <cell r="H2294">
            <v>7781.6966941974997</v>
          </cell>
          <cell r="I2294">
            <v>53</v>
          </cell>
          <cell r="J2294">
            <v>1.0974639536591E-4</v>
          </cell>
          <cell r="K2294">
            <v>1416</v>
          </cell>
          <cell r="L2294">
            <v>342.21385633617098</v>
          </cell>
          <cell r="M2294">
            <v>1385</v>
          </cell>
          <cell r="N2294">
            <v>3.4981466236480803E-2</v>
          </cell>
          <cell r="O2294">
            <v>1374</v>
          </cell>
          <cell r="P2294">
            <v>16.170000000000002</v>
          </cell>
          <cell r="Q2294">
            <v>340</v>
          </cell>
        </row>
        <row r="2295">
          <cell r="B2295" t="str">
            <v>OTTER 1101440</v>
          </cell>
          <cell r="C2295">
            <v>182941101</v>
          </cell>
          <cell r="D2295" t="str">
            <v>OTTER 1101</v>
          </cell>
          <cell r="E2295">
            <v>440</v>
          </cell>
          <cell r="F2295" t="b">
            <v>0</v>
          </cell>
          <cell r="G2295">
            <v>17666.869629267701</v>
          </cell>
          <cell r="H2295">
            <v>13392.770076626</v>
          </cell>
          <cell r="I2295">
            <v>107</v>
          </cell>
          <cell r="J2295">
            <v>5.2850542904295403E-5</v>
          </cell>
          <cell r="K2295">
            <v>2975</v>
          </cell>
          <cell r="L2295">
            <v>95.646038904808606</v>
          </cell>
          <cell r="M2295">
            <v>1980</v>
          </cell>
          <cell r="N2295">
            <v>5.1542506202481297E-3</v>
          </cell>
          <cell r="O2295">
            <v>2197</v>
          </cell>
          <cell r="P2295">
            <v>0.05</v>
          </cell>
          <cell r="Q2295">
            <v>1917</v>
          </cell>
        </row>
        <row r="2296">
          <cell r="B2296" t="str">
            <v>OTTER 11017611</v>
          </cell>
          <cell r="C2296">
            <v>182941101</v>
          </cell>
          <cell r="D2296" t="str">
            <v>OTTER 1101</v>
          </cell>
          <cell r="E2296">
            <v>7611</v>
          </cell>
          <cell r="F2296" t="b">
            <v>0</v>
          </cell>
          <cell r="G2296">
            <v>7068.0362276451197</v>
          </cell>
          <cell r="H2296">
            <v>7068.0362276451197</v>
          </cell>
          <cell r="I2296">
            <v>42</v>
          </cell>
          <cell r="J2296">
            <v>8.7446959763083803E-5</v>
          </cell>
          <cell r="K2296">
            <v>2001</v>
          </cell>
          <cell r="L2296">
            <v>37.9943248955203</v>
          </cell>
          <cell r="M2296">
            <v>2291</v>
          </cell>
          <cell r="N2296">
            <v>1.6833687212560501E-3</v>
          </cell>
          <cell r="O2296">
            <v>2523</v>
          </cell>
          <cell r="P2296">
            <v>0.49</v>
          </cell>
          <cell r="Q2296">
            <v>896</v>
          </cell>
        </row>
        <row r="2297">
          <cell r="B2297" t="str">
            <v>OTTER 1101CB</v>
          </cell>
          <cell r="C2297">
            <v>182941101</v>
          </cell>
          <cell r="D2297" t="str">
            <v>OTTER 1101</v>
          </cell>
          <cell r="E2297" t="str">
            <v>CB</v>
          </cell>
          <cell r="F2297" t="b">
            <v>0</v>
          </cell>
          <cell r="G2297">
            <v>10759.8557385981</v>
          </cell>
          <cell r="H2297">
            <v>10367.8882780314</v>
          </cell>
          <cell r="I2297">
            <v>54</v>
          </cell>
          <cell r="J2297">
            <v>7.9345459602740801E-5</v>
          </cell>
          <cell r="K2297">
            <v>2224</v>
          </cell>
          <cell r="L2297">
            <v>98.8453899954104</v>
          </cell>
          <cell r="M2297">
            <v>1961</v>
          </cell>
          <cell r="N2297">
            <v>7.5954473910765296E-3</v>
          </cell>
          <cell r="O2297">
            <v>2068</v>
          </cell>
          <cell r="P2297">
            <v>0.46</v>
          </cell>
          <cell r="Q2297">
            <v>912</v>
          </cell>
        </row>
        <row r="2298">
          <cell r="B2298" t="str">
            <v>OTTER 11022002</v>
          </cell>
          <cell r="C2298">
            <v>182941102</v>
          </cell>
          <cell r="D2298" t="str">
            <v>OTTER 1102</v>
          </cell>
          <cell r="E2298">
            <v>2002</v>
          </cell>
          <cell r="F2298" t="b">
            <v>0</v>
          </cell>
          <cell r="G2298">
            <v>4546.6103265481597</v>
          </cell>
          <cell r="H2298">
            <v>4546.6103265481597</v>
          </cell>
          <cell r="I2298">
            <v>27</v>
          </cell>
          <cell r="J2298">
            <v>9.9359713338479305E-5</v>
          </cell>
          <cell r="K2298">
            <v>1659</v>
          </cell>
          <cell r="L2298">
            <v>177.03359843718201</v>
          </cell>
          <cell r="M2298">
            <v>1690</v>
          </cell>
          <cell r="N2298">
            <v>1.6539787482471001E-2</v>
          </cell>
          <cell r="O2298">
            <v>1752</v>
          </cell>
          <cell r="P2298">
            <v>0.03</v>
          </cell>
          <cell r="Q2298">
            <v>2271</v>
          </cell>
        </row>
        <row r="2299">
          <cell r="B2299" t="str">
            <v>OTTER 11022012</v>
          </cell>
          <cell r="C2299">
            <v>182941102</v>
          </cell>
          <cell r="D2299" t="str">
            <v>OTTER 1102</v>
          </cell>
          <cell r="E2299">
            <v>2012</v>
          </cell>
          <cell r="F2299" t="b">
            <v>0</v>
          </cell>
          <cell r="G2299">
            <v>16177.074889025</v>
          </cell>
          <cell r="H2299">
            <v>14813.850856709299</v>
          </cell>
          <cell r="I2299">
            <v>64</v>
          </cell>
          <cell r="J2299">
            <v>7.8984556961268705E-5</v>
          </cell>
          <cell r="K2299">
            <v>2236</v>
          </cell>
          <cell r="L2299">
            <v>2049.1767207617499</v>
          </cell>
          <cell r="M2299">
            <v>445</v>
          </cell>
          <cell r="N2299">
            <v>0.15189237669807701</v>
          </cell>
          <cell r="O2299">
            <v>507</v>
          </cell>
          <cell r="P2299">
            <v>0.03</v>
          </cell>
          <cell r="Q2299">
            <v>2261</v>
          </cell>
        </row>
        <row r="2300">
          <cell r="B2300" t="str">
            <v>OTTER 11022166</v>
          </cell>
          <cell r="C2300">
            <v>182941102</v>
          </cell>
          <cell r="D2300" t="str">
            <v>OTTER 1102</v>
          </cell>
          <cell r="E2300">
            <v>2166</v>
          </cell>
          <cell r="F2300" t="b">
            <v>0</v>
          </cell>
          <cell r="G2300">
            <v>6559.0005809120403</v>
          </cell>
          <cell r="H2300">
            <v>6559.0005809120403</v>
          </cell>
          <cell r="I2300">
            <v>41</v>
          </cell>
          <cell r="J2300">
            <v>1.27868276538764E-4</v>
          </cell>
          <cell r="K2300">
            <v>1051</v>
          </cell>
          <cell r="L2300">
            <v>196.183129242972</v>
          </cell>
          <cell r="M2300">
            <v>1652</v>
          </cell>
          <cell r="N2300">
            <v>1.6743363729906102E-2</v>
          </cell>
          <cell r="O2300">
            <v>1747</v>
          </cell>
          <cell r="P2300">
            <v>0.04</v>
          </cell>
          <cell r="Q2300">
            <v>2069</v>
          </cell>
        </row>
        <row r="2301">
          <cell r="B2301" t="str">
            <v>OTTER 110237132</v>
          </cell>
          <cell r="C2301">
            <v>182941102</v>
          </cell>
          <cell r="D2301" t="str">
            <v>OTTER 1102</v>
          </cell>
          <cell r="E2301">
            <v>37132</v>
          </cell>
          <cell r="F2301" t="b">
            <v>0</v>
          </cell>
          <cell r="G2301">
            <v>9343.2123044509408</v>
          </cell>
          <cell r="H2301">
            <v>9343.2123044509408</v>
          </cell>
          <cell r="I2301">
            <v>50</v>
          </cell>
          <cell r="J2301">
            <v>1.0209441320419399E-4</v>
          </cell>
          <cell r="K2301">
            <v>1601</v>
          </cell>
          <cell r="L2301">
            <v>598.71218487208</v>
          </cell>
          <cell r="M2301">
            <v>1102</v>
          </cell>
          <cell r="N2301">
            <v>4.21729076015782E-2</v>
          </cell>
          <cell r="O2301">
            <v>1274</v>
          </cell>
          <cell r="Q2301">
            <v>3104</v>
          </cell>
        </row>
        <row r="2302">
          <cell r="B2302" t="str">
            <v>OTTER 110263868</v>
          </cell>
          <cell r="C2302">
            <v>182941102</v>
          </cell>
          <cell r="D2302" t="str">
            <v>OTTER 1102</v>
          </cell>
          <cell r="E2302">
            <v>63868</v>
          </cell>
          <cell r="F2302" t="b">
            <v>0</v>
          </cell>
          <cell r="G2302">
            <v>25546.240581268801</v>
          </cell>
          <cell r="H2302">
            <v>25546.240581268801</v>
          </cell>
          <cell r="I2302">
            <v>171</v>
          </cell>
          <cell r="J2302">
            <v>8.8625901293273995E-5</v>
          </cell>
          <cell r="K2302">
            <v>1968</v>
          </cell>
          <cell r="L2302">
            <v>190.808236656426</v>
          </cell>
          <cell r="M2302">
            <v>1660</v>
          </cell>
          <cell r="N2302">
            <v>2.4964437582685399E-2</v>
          </cell>
          <cell r="O2302">
            <v>1562</v>
          </cell>
          <cell r="P2302">
            <v>0.04</v>
          </cell>
          <cell r="Q2302">
            <v>2158</v>
          </cell>
        </row>
        <row r="2303">
          <cell r="B2303" t="str">
            <v>OTTER 110298036</v>
          </cell>
          <cell r="C2303">
            <v>182941102</v>
          </cell>
          <cell r="D2303" t="str">
            <v>OTTER 1102</v>
          </cell>
          <cell r="E2303">
            <v>98036</v>
          </cell>
          <cell r="F2303" t="b">
            <v>0</v>
          </cell>
          <cell r="G2303">
            <v>14803.9565628152</v>
          </cell>
          <cell r="H2303">
            <v>14803.9565628152</v>
          </cell>
          <cell r="I2303">
            <v>64</v>
          </cell>
          <cell r="J2303">
            <v>1.2504488131526099E-4</v>
          </cell>
          <cell r="K2303">
            <v>1098</v>
          </cell>
          <cell r="L2303">
            <v>294.29097789963799</v>
          </cell>
          <cell r="M2303">
            <v>1456</v>
          </cell>
          <cell r="N2303">
            <v>4.2867771241148399E-2</v>
          </cell>
          <cell r="O2303">
            <v>1257</v>
          </cell>
          <cell r="P2303">
            <v>0.04</v>
          </cell>
          <cell r="Q2303">
            <v>2216</v>
          </cell>
        </row>
        <row r="2304">
          <cell r="B2304" t="str">
            <v>OTTER 1102CB</v>
          </cell>
          <cell r="C2304">
            <v>182941102</v>
          </cell>
          <cell r="D2304" t="str">
            <v>OTTER 1102</v>
          </cell>
          <cell r="E2304" t="str">
            <v>CB</v>
          </cell>
          <cell r="F2304" t="b">
            <v>0</v>
          </cell>
          <cell r="G2304">
            <v>10891.761972582801</v>
          </cell>
          <cell r="H2304">
            <v>10891.761972582801</v>
          </cell>
          <cell r="I2304">
            <v>40</v>
          </cell>
          <cell r="J2304">
            <v>7.3648423541528195E-5</v>
          </cell>
          <cell r="K2304">
            <v>2374</v>
          </cell>
          <cell r="L2304">
            <v>760.243732969495</v>
          </cell>
          <cell r="M2304">
            <v>965</v>
          </cell>
          <cell r="N2304">
            <v>5.1564082893709701E-2</v>
          </cell>
          <cell r="O2304">
            <v>1162</v>
          </cell>
          <cell r="P2304">
            <v>0.19</v>
          </cell>
          <cell r="Q2304">
            <v>1197</v>
          </cell>
        </row>
        <row r="2305">
          <cell r="B2305" t="str">
            <v>PACIFIC GROVE 04222614</v>
          </cell>
          <cell r="C2305">
            <v>182440422</v>
          </cell>
          <cell r="D2305" t="str">
            <v>PACIFIC GROVE 0422</v>
          </cell>
          <cell r="E2305">
            <v>2614</v>
          </cell>
          <cell r="F2305" t="b">
            <v>0</v>
          </cell>
          <cell r="G2305">
            <v>3446.6772122003799</v>
          </cell>
          <cell r="H2305">
            <v>1037.21467284492</v>
          </cell>
          <cell r="I2305">
            <v>28</v>
          </cell>
          <cell r="J2305">
            <v>2.1908558455134602E-5</v>
          </cell>
          <cell r="K2305">
            <v>3521</v>
          </cell>
          <cell r="L2305">
            <v>6.5331053404543898E-2</v>
          </cell>
          <cell r="M2305">
            <v>3444</v>
          </cell>
          <cell r="N2305">
            <v>1.4316717143113601E-6</v>
          </cell>
          <cell r="O2305">
            <v>3552</v>
          </cell>
          <cell r="P2305">
            <v>0.03</v>
          </cell>
          <cell r="Q2305">
            <v>2331</v>
          </cell>
        </row>
        <row r="2306">
          <cell r="B2306" t="str">
            <v>PACIFICA 11015001</v>
          </cell>
          <cell r="C2306">
            <v>22811101</v>
          </cell>
          <cell r="D2306" t="str">
            <v>PACIFICA 1101</v>
          </cell>
          <cell r="E2306">
            <v>5001</v>
          </cell>
          <cell r="F2306" t="b">
            <v>1</v>
          </cell>
          <cell r="G2306">
            <v>2742.11335722576</v>
          </cell>
          <cell r="H2306">
            <v>0</v>
          </cell>
          <cell r="I2306">
            <v>25</v>
          </cell>
          <cell r="J2306">
            <v>3.0912804795661901E-5</v>
          </cell>
          <cell r="K2306">
            <v>3419</v>
          </cell>
          <cell r="L2306">
            <v>4.5140494692325497</v>
          </cell>
          <cell r="M2306">
            <v>2766</v>
          </cell>
          <cell r="N2306">
            <v>2.34028687175474E-4</v>
          </cell>
          <cell r="O2306">
            <v>2819</v>
          </cell>
          <cell r="P2306">
            <v>6.31</v>
          </cell>
          <cell r="Q2306">
            <v>469</v>
          </cell>
        </row>
        <row r="2307">
          <cell r="B2307" t="str">
            <v>PACIFICA 1101777484</v>
          </cell>
          <cell r="C2307">
            <v>22811101</v>
          </cell>
          <cell r="D2307" t="str">
            <v>PACIFICA 1101</v>
          </cell>
          <cell r="E2307">
            <v>777484</v>
          </cell>
          <cell r="F2307" t="b">
            <v>0</v>
          </cell>
          <cell r="G2307">
            <v>5712.0142234841596</v>
          </cell>
          <cell r="H2307">
            <v>1455.0407719325101</v>
          </cell>
          <cell r="I2307">
            <v>50</v>
          </cell>
          <cell r="J2307">
            <v>1.3219203401604301E-5</v>
          </cell>
          <cell r="K2307">
            <v>3597</v>
          </cell>
          <cell r="L2307">
            <v>5.1373972196877</v>
          </cell>
          <cell r="M2307">
            <v>2746</v>
          </cell>
          <cell r="N2307">
            <v>3.50664645664851E-5</v>
          </cell>
          <cell r="O2307">
            <v>2921</v>
          </cell>
          <cell r="Q2307">
            <v>2773</v>
          </cell>
        </row>
        <row r="2308">
          <cell r="B2308" t="str">
            <v>PACIFICA 1101CB</v>
          </cell>
          <cell r="C2308">
            <v>22811101</v>
          </cell>
          <cell r="D2308" t="str">
            <v>PACIFICA 1101</v>
          </cell>
          <cell r="E2308" t="str">
            <v>CB</v>
          </cell>
          <cell r="F2308" t="b">
            <v>1</v>
          </cell>
          <cell r="G2308">
            <v>4340.9856767133497</v>
          </cell>
          <cell r="H2308">
            <v>216.20850686249099</v>
          </cell>
          <cell r="I2308">
            <v>38</v>
          </cell>
          <cell r="J2308">
            <v>4.6882167791065103E-5</v>
          </cell>
          <cell r="K2308">
            <v>3115</v>
          </cell>
          <cell r="L2308">
            <v>6.7720698622104303</v>
          </cell>
          <cell r="M2308">
            <v>2692</v>
          </cell>
          <cell r="N2308">
            <v>4.4807922801064399E-4</v>
          </cell>
          <cell r="O2308">
            <v>2751</v>
          </cell>
          <cell r="P2308">
            <v>8.14</v>
          </cell>
          <cell r="Q2308">
            <v>434</v>
          </cell>
        </row>
        <row r="2309">
          <cell r="B2309" t="str">
            <v>PACIFICA 1102267868</v>
          </cell>
          <cell r="C2309">
            <v>22811102</v>
          </cell>
          <cell r="D2309" t="str">
            <v>PACIFICA 1102</v>
          </cell>
          <cell r="E2309">
            <v>267868</v>
          </cell>
          <cell r="F2309" t="b">
            <v>0</v>
          </cell>
          <cell r="G2309">
            <v>1937.27721324698</v>
          </cell>
          <cell r="H2309">
            <v>1363.54409733335</v>
          </cell>
          <cell r="I2309">
            <v>13</v>
          </cell>
          <cell r="J2309">
            <v>6.3100175583923095E-5</v>
          </cell>
          <cell r="K2309">
            <v>2676</v>
          </cell>
          <cell r="L2309">
            <v>6.5838869947653506E-2</v>
          </cell>
          <cell r="M2309">
            <v>3257</v>
          </cell>
          <cell r="N2309">
            <v>4.1570261924003496E-6</v>
          </cell>
          <cell r="O2309">
            <v>3326</v>
          </cell>
          <cell r="Q2309">
            <v>3346</v>
          </cell>
        </row>
        <row r="2310">
          <cell r="B2310" t="str">
            <v>PACIFICA 1102320094</v>
          </cell>
          <cell r="C2310">
            <v>22811102</v>
          </cell>
          <cell r="D2310" t="str">
            <v>PACIFICA 1102</v>
          </cell>
          <cell r="E2310">
            <v>320094</v>
          </cell>
          <cell r="F2310" t="b">
            <v>1</v>
          </cell>
          <cell r="G2310">
            <v>1539.8882970848799</v>
          </cell>
          <cell r="H2310">
            <v>440.05763129815398</v>
          </cell>
          <cell r="I2310">
            <v>11</v>
          </cell>
          <cell r="J2310">
            <v>3.4564541279409697E-5</v>
          </cell>
          <cell r="K2310">
            <v>3360</v>
          </cell>
          <cell r="L2310">
            <v>25.295794965191298</v>
          </cell>
          <cell r="M2310">
            <v>2389</v>
          </cell>
          <cell r="N2310">
            <v>6.4787590140492099E-4</v>
          </cell>
          <cell r="O2310">
            <v>2697</v>
          </cell>
          <cell r="Q2310">
            <v>2907</v>
          </cell>
        </row>
        <row r="2311">
          <cell r="B2311" t="str">
            <v>PACIFICA 1102512070</v>
          </cell>
          <cell r="C2311">
            <v>22811102</v>
          </cell>
          <cell r="D2311" t="str">
            <v>PACIFICA 1102</v>
          </cell>
          <cell r="E2311">
            <v>512070</v>
          </cell>
          <cell r="F2311" t="b">
            <v>1</v>
          </cell>
          <cell r="G2311">
            <v>481.61300512200501</v>
          </cell>
          <cell r="H2311">
            <v>279.62468931907802</v>
          </cell>
          <cell r="I2311">
            <v>5</v>
          </cell>
          <cell r="J2311">
            <v>3.9072148410923499E-5</v>
          </cell>
          <cell r="K2311">
            <v>3285</v>
          </cell>
          <cell r="L2311">
            <v>6.5660957992076802E-2</v>
          </cell>
          <cell r="M2311">
            <v>3322</v>
          </cell>
          <cell r="N2311">
            <v>2.5860042431878699E-6</v>
          </cell>
          <cell r="O2311">
            <v>3455</v>
          </cell>
          <cell r="Q2311">
            <v>3413</v>
          </cell>
        </row>
        <row r="2312">
          <cell r="B2312" t="str">
            <v>PACIFICA 110252715</v>
          </cell>
          <cell r="C2312">
            <v>22811102</v>
          </cell>
          <cell r="D2312" t="str">
            <v>PACIFICA 1102</v>
          </cell>
          <cell r="E2312">
            <v>52715</v>
          </cell>
          <cell r="F2312" t="b">
            <v>1</v>
          </cell>
          <cell r="G2312">
            <v>6122.4468837099103</v>
          </cell>
          <cell r="H2312">
            <v>0</v>
          </cell>
          <cell r="I2312">
            <v>60</v>
          </cell>
          <cell r="J2312">
            <v>7.3739796032990296E-6</v>
          </cell>
          <cell r="K2312">
            <v>3626</v>
          </cell>
          <cell r="L2312">
            <v>6.5146990120410905E-2</v>
          </cell>
          <cell r="M2312">
            <v>3605</v>
          </cell>
          <cell r="N2312">
            <v>4.8039257636423301E-7</v>
          </cell>
          <cell r="O2312">
            <v>3627</v>
          </cell>
          <cell r="Q2312">
            <v>2661</v>
          </cell>
        </row>
        <row r="2313">
          <cell r="B2313" t="str">
            <v>PACIFICA 1102660408</v>
          </cell>
          <cell r="C2313">
            <v>22811102</v>
          </cell>
          <cell r="D2313" t="str">
            <v>PACIFICA 1102</v>
          </cell>
          <cell r="E2313">
            <v>660408</v>
          </cell>
          <cell r="F2313" t="b">
            <v>1</v>
          </cell>
          <cell r="G2313">
            <v>3217.4282492593502</v>
          </cell>
          <cell r="H2313">
            <v>570.68696506464096</v>
          </cell>
          <cell r="I2313">
            <v>26</v>
          </cell>
          <cell r="J2313">
            <v>3.0977880459641499E-5</v>
          </cell>
          <cell r="K2313">
            <v>3417</v>
          </cell>
          <cell r="L2313">
            <v>7.3779746526135801</v>
          </cell>
          <cell r="M2313">
            <v>2681</v>
          </cell>
          <cell r="N2313">
            <v>1.9086031112462601E-4</v>
          </cell>
          <cell r="O2313">
            <v>2842</v>
          </cell>
          <cell r="Q2313">
            <v>3121</v>
          </cell>
        </row>
        <row r="2314">
          <cell r="B2314" t="str">
            <v>PACIFICA 110266732</v>
          </cell>
          <cell r="C2314">
            <v>22811102</v>
          </cell>
          <cell r="D2314" t="str">
            <v>PACIFICA 1102</v>
          </cell>
          <cell r="E2314">
            <v>66732</v>
          </cell>
          <cell r="F2314" t="b">
            <v>1</v>
          </cell>
          <cell r="G2314">
            <v>3298.6629601971199</v>
          </cell>
          <cell r="H2314">
            <v>334.94831695264099</v>
          </cell>
          <cell r="I2314">
            <v>23</v>
          </cell>
          <cell r="J2314">
            <v>5.07446053313248E-5</v>
          </cell>
          <cell r="K2314">
            <v>3021</v>
          </cell>
          <cell r="L2314">
            <v>6.5258722266425206E-2</v>
          </cell>
          <cell r="M2314">
            <v>3476</v>
          </cell>
          <cell r="N2314">
            <v>3.3135185061727601E-6</v>
          </cell>
          <cell r="O2314">
            <v>3381</v>
          </cell>
          <cell r="P2314">
            <v>0.04</v>
          </cell>
          <cell r="Q2314">
            <v>2115</v>
          </cell>
        </row>
        <row r="2315">
          <cell r="B2315" t="str">
            <v>PACIFICA 11026783</v>
          </cell>
          <cell r="C2315">
            <v>22811102</v>
          </cell>
          <cell r="D2315" t="str">
            <v>PACIFICA 1102</v>
          </cell>
          <cell r="E2315">
            <v>6783</v>
          </cell>
          <cell r="F2315" t="b">
            <v>1</v>
          </cell>
          <cell r="G2315">
            <v>6579.5364904246298</v>
          </cell>
          <cell r="H2315">
            <v>0</v>
          </cell>
          <cell r="I2315">
            <v>50</v>
          </cell>
          <cell r="J2315">
            <v>1.72371534836202E-5</v>
          </cell>
          <cell r="K2315">
            <v>3568</v>
          </cell>
          <cell r="L2315">
            <v>6.5146990120410905E-2</v>
          </cell>
          <cell r="M2315">
            <v>3629</v>
          </cell>
          <cell r="N2315">
            <v>1.1229486677014101E-6</v>
          </cell>
          <cell r="O2315">
            <v>3583</v>
          </cell>
          <cell r="P2315">
            <v>1.8</v>
          </cell>
          <cell r="Q2315">
            <v>643</v>
          </cell>
        </row>
        <row r="2316">
          <cell r="B2316" t="str">
            <v>PACIFICA 1102894156</v>
          </cell>
          <cell r="C2316">
            <v>22811102</v>
          </cell>
          <cell r="D2316" t="str">
            <v>PACIFICA 1102</v>
          </cell>
          <cell r="E2316">
            <v>894156</v>
          </cell>
          <cell r="F2316" t="b">
            <v>1</v>
          </cell>
          <cell r="G2316">
            <v>625.37008774825699</v>
          </cell>
          <cell r="H2316">
            <v>625.37008774825699</v>
          </cell>
          <cell r="I2316">
            <v>4</v>
          </cell>
          <cell r="J2316">
            <v>1.30304972117301E-4</v>
          </cell>
          <cell r="K2316">
            <v>1005</v>
          </cell>
          <cell r="L2316">
            <v>6.6110679879784501E-2</v>
          </cell>
          <cell r="M2316">
            <v>3196</v>
          </cell>
          <cell r="N2316">
            <v>8.6111374873124702E-6</v>
          </cell>
          <cell r="O2316">
            <v>3104</v>
          </cell>
          <cell r="Q2316">
            <v>3450</v>
          </cell>
        </row>
        <row r="2317">
          <cell r="B2317" t="str">
            <v>PACIFICA 1102934870</v>
          </cell>
          <cell r="C2317">
            <v>22811102</v>
          </cell>
          <cell r="D2317" t="str">
            <v>PACIFICA 1102</v>
          </cell>
          <cell r="E2317">
            <v>934870</v>
          </cell>
          <cell r="F2317" t="b">
            <v>1</v>
          </cell>
          <cell r="G2317">
            <v>804.85234831538196</v>
          </cell>
          <cell r="H2317">
            <v>147.55244761849201</v>
          </cell>
          <cell r="I2317">
            <v>7</v>
          </cell>
          <cell r="J2317">
            <v>8.4047650748938592E-6</v>
          </cell>
          <cell r="K2317">
            <v>3619</v>
          </cell>
          <cell r="L2317">
            <v>6.5514110028743702E-2</v>
          </cell>
          <cell r="M2317">
            <v>3365</v>
          </cell>
          <cell r="N2317">
            <v>5.49599893024258E-7</v>
          </cell>
          <cell r="O2317">
            <v>3620</v>
          </cell>
          <cell r="Q2317">
            <v>3338</v>
          </cell>
        </row>
        <row r="2318">
          <cell r="B2318" t="str">
            <v>PACIFICA 1102968736</v>
          </cell>
          <cell r="C2318">
            <v>22811102</v>
          </cell>
          <cell r="D2318" t="str">
            <v>PACIFICA 1102</v>
          </cell>
          <cell r="E2318">
            <v>968736</v>
          </cell>
          <cell r="F2318" t="b">
            <v>0</v>
          </cell>
          <cell r="G2318">
            <v>1533.9820933957701</v>
          </cell>
          <cell r="H2318">
            <v>1132.26584085428</v>
          </cell>
          <cell r="I2318">
            <v>9</v>
          </cell>
          <cell r="J2318">
            <v>4.6179419655345501E-5</v>
          </cell>
          <cell r="K2318">
            <v>3133</v>
          </cell>
          <cell r="L2318">
            <v>6.5575296680132497E-2</v>
          </cell>
          <cell r="M2318">
            <v>3349</v>
          </cell>
          <cell r="N2318">
            <v>3.0371583953182001E-6</v>
          </cell>
          <cell r="O2318">
            <v>3408</v>
          </cell>
          <cell r="Q2318">
            <v>2899</v>
          </cell>
        </row>
        <row r="2319">
          <cell r="B2319" t="str">
            <v>PACIFICA 1102CB</v>
          </cell>
          <cell r="C2319">
            <v>22811102</v>
          </cell>
          <cell r="D2319" t="str">
            <v>PACIFICA 1102</v>
          </cell>
          <cell r="E2319" t="str">
            <v>CB</v>
          </cell>
          <cell r="F2319" t="b">
            <v>1</v>
          </cell>
          <cell r="G2319">
            <v>6265.5755368015398</v>
          </cell>
          <cell r="H2319">
            <v>560.12748853620303</v>
          </cell>
          <cell r="I2319">
            <v>51</v>
          </cell>
          <cell r="J2319">
            <v>1.5293704943057101E-5</v>
          </cell>
          <cell r="K2319">
            <v>3585</v>
          </cell>
          <cell r="L2319">
            <v>1.6186480276724799</v>
          </cell>
          <cell r="M2319">
            <v>2858</v>
          </cell>
          <cell r="N2319">
            <v>3.2506672524758902E-5</v>
          </cell>
          <cell r="O2319">
            <v>2923</v>
          </cell>
          <cell r="P2319">
            <v>0.17</v>
          </cell>
          <cell r="Q2319">
            <v>1234</v>
          </cell>
        </row>
        <row r="2320">
          <cell r="B2320" t="str">
            <v>PACIFICA 1103119798</v>
          </cell>
          <cell r="C2320">
            <v>22811103</v>
          </cell>
          <cell r="D2320" t="str">
            <v>PACIFICA 1103</v>
          </cell>
          <cell r="E2320">
            <v>119798</v>
          </cell>
          <cell r="F2320" t="b">
            <v>1</v>
          </cell>
          <cell r="G2320">
            <v>129.70410072300601</v>
          </cell>
          <cell r="H2320">
            <v>129.70410072300601</v>
          </cell>
          <cell r="I2320">
            <v>2</v>
          </cell>
          <cell r="J2320">
            <v>4.94751702717621E-5</v>
          </cell>
          <cell r="K2320">
            <v>3051</v>
          </cell>
          <cell r="L2320">
            <v>6.6431909799575806E-2</v>
          </cell>
          <cell r="M2320">
            <v>2975</v>
          </cell>
          <cell r="N2320">
            <v>3.2867300488123499E-6</v>
          </cell>
          <cell r="O2320">
            <v>3383</v>
          </cell>
          <cell r="Q2320">
            <v>3428</v>
          </cell>
        </row>
        <row r="2321">
          <cell r="B2321" t="str">
            <v>PACIFICA 1103218962</v>
          </cell>
          <cell r="C2321">
            <v>22811103</v>
          </cell>
          <cell r="D2321" t="str">
            <v>PACIFICA 1103</v>
          </cell>
          <cell r="E2321">
            <v>218962</v>
          </cell>
          <cell r="F2321" t="b">
            <v>1</v>
          </cell>
          <cell r="G2321">
            <v>167.28938426792399</v>
          </cell>
          <cell r="H2321">
            <v>86.336332842910096</v>
          </cell>
          <cell r="I2321">
            <v>2</v>
          </cell>
          <cell r="J2321">
            <v>5.4300538977258798E-5</v>
          </cell>
          <cell r="K2321">
            <v>2937</v>
          </cell>
          <cell r="L2321">
            <v>7.8473564237356103E-2</v>
          </cell>
          <cell r="M2321">
            <v>2935</v>
          </cell>
          <cell r="N2321">
            <v>4.2590934514108598E-6</v>
          </cell>
          <cell r="O2321">
            <v>3316</v>
          </cell>
          <cell r="Q2321">
            <v>3037</v>
          </cell>
        </row>
        <row r="2322">
          <cell r="B2322" t="str">
            <v>PACIFICA 1103398620</v>
          </cell>
          <cell r="C2322">
            <v>22811103</v>
          </cell>
          <cell r="D2322" t="str">
            <v>PACIFICA 1103</v>
          </cell>
          <cell r="E2322">
            <v>398620</v>
          </cell>
          <cell r="F2322" t="b">
            <v>1</v>
          </cell>
          <cell r="G2322">
            <v>770.36405510007705</v>
          </cell>
          <cell r="H2322">
            <v>758.08373102466999</v>
          </cell>
          <cell r="I2322">
            <v>7</v>
          </cell>
          <cell r="J2322">
            <v>3.8215057299696901E-5</v>
          </cell>
          <cell r="K2322">
            <v>3297</v>
          </cell>
          <cell r="L2322">
            <v>6.6248349845409393E-2</v>
          </cell>
          <cell r="M2322">
            <v>3163</v>
          </cell>
          <cell r="N2322">
            <v>2.5310429928954401E-6</v>
          </cell>
          <cell r="O2322">
            <v>3464</v>
          </cell>
          <cell r="Q2322">
            <v>3477</v>
          </cell>
        </row>
        <row r="2323">
          <cell r="B2323" t="str">
            <v>PACIFICA 1103885952</v>
          </cell>
          <cell r="C2323">
            <v>22811103</v>
          </cell>
          <cell r="D2323" t="str">
            <v>PACIFICA 1103</v>
          </cell>
          <cell r="E2323">
            <v>885952</v>
          </cell>
          <cell r="F2323" t="b">
            <v>1</v>
          </cell>
          <cell r="G2323">
            <v>299.45020571377398</v>
          </cell>
          <cell r="H2323">
            <v>283.44814745312198</v>
          </cell>
          <cell r="I2323">
            <v>4</v>
          </cell>
          <cell r="J2323">
            <v>7.3951885951828404E-5</v>
          </cell>
          <cell r="K2323">
            <v>2360</v>
          </cell>
          <cell r="L2323">
            <v>6.6110679879784501E-2</v>
          </cell>
          <cell r="M2323">
            <v>3195</v>
          </cell>
          <cell r="N2323">
            <v>4.9074463782257302E-6</v>
          </cell>
          <cell r="O2323">
            <v>3271</v>
          </cell>
          <cell r="Q2323">
            <v>3397</v>
          </cell>
        </row>
        <row r="2324">
          <cell r="B2324" t="str">
            <v>PACIFICA 1103915474</v>
          </cell>
          <cell r="C2324">
            <v>22811103</v>
          </cell>
          <cell r="D2324" t="str">
            <v>PACIFICA 1103</v>
          </cell>
          <cell r="E2324">
            <v>915474</v>
          </cell>
          <cell r="F2324" t="b">
            <v>1</v>
          </cell>
          <cell r="G2324">
            <v>13475.514795827399</v>
          </cell>
          <cell r="H2324">
            <v>697.42374598057097</v>
          </cell>
          <cell r="I2324">
            <v>98</v>
          </cell>
          <cell r="J2324">
            <v>2.30589525857312E-5</v>
          </cell>
          <cell r="K2324">
            <v>3511</v>
          </cell>
          <cell r="L2324">
            <v>6.52125472468989E-2</v>
          </cell>
          <cell r="M2324">
            <v>3504</v>
          </cell>
          <cell r="N2324">
            <v>1.5072528764780001E-6</v>
          </cell>
          <cell r="O2324">
            <v>3548</v>
          </cell>
          <cell r="Q2324">
            <v>2723</v>
          </cell>
        </row>
        <row r="2325">
          <cell r="B2325" t="str">
            <v>PACIFICA 1103CB</v>
          </cell>
          <cell r="C2325">
            <v>22811103</v>
          </cell>
          <cell r="D2325" t="str">
            <v>PACIFICA 1103</v>
          </cell>
          <cell r="E2325" t="str">
            <v>CB</v>
          </cell>
          <cell r="F2325" t="b">
            <v>1</v>
          </cell>
          <cell r="G2325">
            <v>7799.5564539109</v>
          </cell>
          <cell r="H2325">
            <v>109.529614137149</v>
          </cell>
          <cell r="I2325">
            <v>62</v>
          </cell>
          <cell r="J2325">
            <v>3.0749530387534598E-5</v>
          </cell>
          <cell r="K2325">
            <v>3420</v>
          </cell>
          <cell r="L2325">
            <v>6.5188439142319393E-2</v>
          </cell>
          <cell r="M2325">
            <v>3523</v>
          </cell>
          <cell r="N2325">
            <v>2.0045923968539602E-6</v>
          </cell>
          <cell r="O2325">
            <v>3510</v>
          </cell>
          <cell r="P2325">
            <v>0.02</v>
          </cell>
          <cell r="Q2325">
            <v>2475</v>
          </cell>
        </row>
        <row r="2326">
          <cell r="B2326" t="str">
            <v>PACIFICA 1104230272</v>
          </cell>
          <cell r="C2326">
            <v>22811104</v>
          </cell>
          <cell r="D2326" t="str">
            <v>PACIFICA 1104</v>
          </cell>
          <cell r="E2326">
            <v>230272</v>
          </cell>
          <cell r="F2326" t="b">
            <v>0</v>
          </cell>
          <cell r="G2326">
            <v>1833.3676428336901</v>
          </cell>
          <cell r="H2326">
            <v>1377.38995618851</v>
          </cell>
          <cell r="I2326">
            <v>18</v>
          </cell>
          <cell r="J2326">
            <v>5.0411535028160802E-5</v>
          </cell>
          <cell r="K2326">
            <v>3031</v>
          </cell>
          <cell r="L2326">
            <v>15.913821798231799</v>
          </cell>
          <cell r="M2326">
            <v>2516</v>
          </cell>
          <cell r="N2326">
            <v>1.64850663018378E-3</v>
          </cell>
          <cell r="O2326">
            <v>2529</v>
          </cell>
          <cell r="Q2326">
            <v>2836</v>
          </cell>
        </row>
        <row r="2327">
          <cell r="B2327" t="str">
            <v>PALMER 110198478</v>
          </cell>
          <cell r="C2327">
            <v>183031101</v>
          </cell>
          <cell r="D2327" t="str">
            <v>PALMER 1101</v>
          </cell>
          <cell r="E2327">
            <v>98478</v>
          </cell>
          <cell r="F2327" t="b">
            <v>0</v>
          </cell>
          <cell r="G2327">
            <v>9678.6987325411192</v>
          </cell>
          <cell r="H2327">
            <v>9678.6987325411192</v>
          </cell>
          <cell r="I2327">
            <v>34</v>
          </cell>
          <cell r="J2327">
            <v>6.1512780782570803E-5</v>
          </cell>
          <cell r="K2327">
            <v>2732</v>
          </cell>
          <cell r="L2327">
            <v>3101.9251427295399</v>
          </cell>
          <cell r="M2327">
            <v>253</v>
          </cell>
          <cell r="N2327">
            <v>0.19124172086395699</v>
          </cell>
          <cell r="O2327">
            <v>367</v>
          </cell>
          <cell r="P2327">
            <v>0.06</v>
          </cell>
          <cell r="Q2327">
            <v>1824</v>
          </cell>
        </row>
        <row r="2328">
          <cell r="B2328" t="str">
            <v>PALMER 1101M82</v>
          </cell>
          <cell r="C2328">
            <v>183031101</v>
          </cell>
          <cell r="D2328" t="str">
            <v>PALMER 1101</v>
          </cell>
          <cell r="E2328" t="str">
            <v>M82</v>
          </cell>
          <cell r="F2328" t="b">
            <v>0</v>
          </cell>
          <cell r="G2328">
            <v>23986.146285993302</v>
          </cell>
          <cell r="H2328">
            <v>17447.2632471426</v>
          </cell>
          <cell r="I2328">
            <v>149</v>
          </cell>
          <cell r="J2328">
            <v>4.4710377841321901E-5</v>
          </cell>
          <cell r="K2328">
            <v>3168</v>
          </cell>
          <cell r="L2328">
            <v>1573.18692636024</v>
          </cell>
          <cell r="M2328">
            <v>570</v>
          </cell>
          <cell r="N2328">
            <v>8.0327119847400402E-2</v>
          </cell>
          <cell r="O2328">
            <v>894</v>
          </cell>
          <cell r="P2328">
            <v>0.04</v>
          </cell>
          <cell r="Q2328">
            <v>2147</v>
          </cell>
        </row>
        <row r="2329">
          <cell r="B2329" t="str">
            <v>PALMER 1101M84</v>
          </cell>
          <cell r="C2329">
            <v>183031101</v>
          </cell>
          <cell r="D2329" t="str">
            <v>PALMER 1101</v>
          </cell>
          <cell r="E2329" t="str">
            <v>M84</v>
          </cell>
          <cell r="F2329" t="b">
            <v>0</v>
          </cell>
          <cell r="G2329">
            <v>39352.921367680101</v>
          </cell>
          <cell r="H2329">
            <v>37718.994968427898</v>
          </cell>
          <cell r="I2329">
            <v>145</v>
          </cell>
          <cell r="J2329">
            <v>7.1467300740677098E-5</v>
          </cell>
          <cell r="K2329">
            <v>2434</v>
          </cell>
          <cell r="L2329">
            <v>3431.3832462969999</v>
          </cell>
          <cell r="M2329">
            <v>209</v>
          </cell>
          <cell r="N2329">
            <v>0.23169489638146101</v>
          </cell>
          <cell r="O2329">
            <v>256</v>
          </cell>
          <cell r="P2329">
            <v>0.05</v>
          </cell>
          <cell r="Q2329">
            <v>2018</v>
          </cell>
        </row>
        <row r="2330">
          <cell r="B2330" t="str">
            <v>PALMER 1101M88</v>
          </cell>
          <cell r="C2330">
            <v>183031101</v>
          </cell>
          <cell r="D2330" t="str">
            <v>PALMER 1101</v>
          </cell>
          <cell r="E2330" t="str">
            <v>M88</v>
          </cell>
          <cell r="F2330" t="b">
            <v>0</v>
          </cell>
          <cell r="G2330">
            <v>24723.957713146199</v>
          </cell>
          <cell r="H2330">
            <v>4969.3509608545</v>
          </cell>
          <cell r="I2330">
            <v>85</v>
          </cell>
          <cell r="J2330">
            <v>4.8500189267114703E-5</v>
          </cell>
          <cell r="K2330">
            <v>3076</v>
          </cell>
          <cell r="L2330">
            <v>599.81183106180504</v>
          </cell>
          <cell r="M2330">
            <v>1100</v>
          </cell>
          <cell r="N2330">
            <v>5.2933212916826802E-2</v>
          </cell>
          <cell r="O2330">
            <v>1147</v>
          </cell>
          <cell r="P2330">
            <v>0.01</v>
          </cell>
          <cell r="Q2330">
            <v>2589</v>
          </cell>
        </row>
        <row r="2331">
          <cell r="B2331" t="str">
            <v>PALO SECO 0401CB</v>
          </cell>
          <cell r="C2331">
            <v>13180401</v>
          </cell>
          <cell r="D2331" t="str">
            <v>PALO SECO 0401</v>
          </cell>
          <cell r="E2331" t="str">
            <v>CB</v>
          </cell>
          <cell r="F2331" t="b">
            <v>0</v>
          </cell>
          <cell r="G2331">
            <v>7634.7257732047001</v>
          </cell>
          <cell r="H2331">
            <v>7634.7257732047001</v>
          </cell>
          <cell r="I2331">
            <v>55</v>
          </cell>
          <cell r="J2331">
            <v>8.4536531969867806E-5</v>
          </cell>
          <cell r="K2331">
            <v>2075</v>
          </cell>
          <cell r="L2331">
            <v>6.6408547623590899E-2</v>
          </cell>
          <cell r="M2331">
            <v>3116</v>
          </cell>
          <cell r="N2331">
            <v>5.6154333904205398E-6</v>
          </cell>
          <cell r="O2331">
            <v>3236</v>
          </cell>
          <cell r="P2331">
            <v>0.16</v>
          </cell>
          <cell r="Q2331">
            <v>1263</v>
          </cell>
        </row>
        <row r="2332">
          <cell r="B2332" t="str">
            <v>PANOCHE 11034008</v>
          </cell>
          <cell r="C2332">
            <v>253671103</v>
          </cell>
          <cell r="D2332" t="str">
            <v>PANOCHE 1103</v>
          </cell>
          <cell r="E2332">
            <v>4008</v>
          </cell>
          <cell r="F2332" t="b">
            <v>0</v>
          </cell>
          <cell r="G2332">
            <v>56919.565189351197</v>
          </cell>
          <cell r="H2332">
            <v>56919.565189351197</v>
          </cell>
          <cell r="I2332">
            <v>138</v>
          </cell>
          <cell r="J2332">
            <v>4.9605389728474702E-5</v>
          </cell>
          <cell r="K2332">
            <v>3045</v>
          </cell>
          <cell r="L2332">
            <v>221.146782734363</v>
          </cell>
          <cell r="M2332">
            <v>1603</v>
          </cell>
          <cell r="N2332">
            <v>9.7858700456093396E-3</v>
          </cell>
          <cell r="O2332">
            <v>1967</v>
          </cell>
          <cell r="P2332">
            <v>0.04</v>
          </cell>
          <cell r="Q2332">
            <v>2151</v>
          </cell>
        </row>
        <row r="2333">
          <cell r="B2333" t="str">
            <v>PANOCHE 11034016</v>
          </cell>
          <cell r="C2333">
            <v>253671103</v>
          </cell>
          <cell r="D2333" t="str">
            <v>PANOCHE 1103</v>
          </cell>
          <cell r="E2333">
            <v>4016</v>
          </cell>
          <cell r="F2333" t="b">
            <v>0</v>
          </cell>
          <cell r="G2333">
            <v>20664.956496833402</v>
          </cell>
          <cell r="H2333">
            <v>3776.8409226285899</v>
          </cell>
          <cell r="I2333">
            <v>59</v>
          </cell>
          <cell r="J2333">
            <v>4.6142173263872501E-5</v>
          </cell>
          <cell r="K2333">
            <v>3134</v>
          </cell>
          <cell r="L2333">
            <v>98.572262453704496</v>
          </cell>
          <cell r="M2333">
            <v>1963</v>
          </cell>
          <cell r="N2333">
            <v>3.80450298964039E-3</v>
          </cell>
          <cell r="O2333">
            <v>2269</v>
          </cell>
          <cell r="P2333">
            <v>0.01</v>
          </cell>
          <cell r="Q2333">
            <v>2621</v>
          </cell>
        </row>
        <row r="2334">
          <cell r="B2334" t="str">
            <v>PANOCHE 11034036</v>
          </cell>
          <cell r="C2334">
            <v>253671103</v>
          </cell>
          <cell r="D2334" t="str">
            <v>PANOCHE 1103</v>
          </cell>
          <cell r="E2334">
            <v>4036</v>
          </cell>
          <cell r="F2334" t="b">
            <v>0</v>
          </cell>
          <cell r="G2334">
            <v>40366.181570853303</v>
          </cell>
          <cell r="H2334">
            <v>16000.3844512299</v>
          </cell>
          <cell r="I2334">
            <v>57</v>
          </cell>
          <cell r="J2334">
            <v>4.32719683336678E-5</v>
          </cell>
          <cell r="K2334">
            <v>3204</v>
          </cell>
          <cell r="L2334">
            <v>184.90551784634499</v>
          </cell>
          <cell r="M2334">
            <v>1674</v>
          </cell>
          <cell r="N2334">
            <v>7.3003485473792E-3</v>
          </cell>
          <cell r="O2334">
            <v>2080</v>
          </cell>
          <cell r="P2334">
            <v>0.02</v>
          </cell>
          <cell r="Q2334">
            <v>2455</v>
          </cell>
        </row>
        <row r="2335">
          <cell r="B2335" t="str">
            <v>PANORAMA 1101713592</v>
          </cell>
          <cell r="C2335">
            <v>103461101</v>
          </cell>
          <cell r="D2335" t="str">
            <v>PANORAMA 1101</v>
          </cell>
          <cell r="E2335">
            <v>713592</v>
          </cell>
          <cell r="F2335" t="b">
            <v>0</v>
          </cell>
          <cell r="G2335">
            <v>16948.279230915199</v>
          </cell>
          <cell r="H2335">
            <v>16715.240517533399</v>
          </cell>
          <cell r="I2335">
            <v>152</v>
          </cell>
          <cell r="J2335">
            <v>6.2494318716457294E-5</v>
          </cell>
          <cell r="K2335">
            <v>2704</v>
          </cell>
          <cell r="L2335">
            <v>490.92007641823301</v>
          </cell>
          <cell r="M2335">
            <v>1208</v>
          </cell>
          <cell r="N2335">
            <v>3.0005471897589099E-2</v>
          </cell>
          <cell r="O2335">
            <v>1460</v>
          </cell>
          <cell r="Q2335">
            <v>2997</v>
          </cell>
        </row>
        <row r="2336">
          <cell r="B2336" t="str">
            <v>PANORAMA 1101885215</v>
          </cell>
          <cell r="C2336">
            <v>103461101</v>
          </cell>
          <cell r="D2336" t="str">
            <v>PANORAMA 1101</v>
          </cell>
          <cell r="E2336">
            <v>885215</v>
          </cell>
          <cell r="F2336" t="b">
            <v>0</v>
          </cell>
          <cell r="G2336">
            <v>3239.6898896993898</v>
          </cell>
          <cell r="H2336">
            <v>3225.5677534013398</v>
          </cell>
          <cell r="I2336">
            <v>23</v>
          </cell>
          <cell r="J2336">
            <v>4.59662593208992E-5</v>
          </cell>
          <cell r="K2336">
            <v>3138</v>
          </cell>
          <cell r="L2336">
            <v>3739.8152120230902</v>
          </cell>
          <cell r="M2336">
            <v>178</v>
          </cell>
          <cell r="N2336">
            <v>0.18704600453640199</v>
          </cell>
          <cell r="O2336">
            <v>380</v>
          </cell>
          <cell r="Q2336">
            <v>3435</v>
          </cell>
        </row>
        <row r="2337">
          <cell r="B2337" t="str">
            <v>PANORAMA 11019092</v>
          </cell>
          <cell r="C2337">
            <v>103461101</v>
          </cell>
          <cell r="D2337" t="str">
            <v>PANORAMA 1101</v>
          </cell>
          <cell r="E2337">
            <v>9092</v>
          </cell>
          <cell r="F2337" t="b">
            <v>1</v>
          </cell>
          <cell r="G2337">
            <v>15725.9351187592</v>
          </cell>
          <cell r="H2337">
            <v>255.123769955265</v>
          </cell>
          <cell r="I2337">
            <v>113</v>
          </cell>
          <cell r="J2337">
            <v>1.0249745223397599E-4</v>
          </cell>
          <cell r="K2337">
            <v>1589</v>
          </cell>
          <cell r="L2337">
            <v>29.608349528235902</v>
          </cell>
          <cell r="M2337">
            <v>2349</v>
          </cell>
          <cell r="N2337">
            <v>3.8237263441342302E-3</v>
          </cell>
          <cell r="O2337">
            <v>2266</v>
          </cell>
          <cell r="P2337">
            <v>1.99</v>
          </cell>
          <cell r="Q2337">
            <v>627</v>
          </cell>
        </row>
        <row r="2338">
          <cell r="B2338" t="str">
            <v>PANORAMA 1101CB</v>
          </cell>
          <cell r="C2338">
            <v>103461101</v>
          </cell>
          <cell r="D2338" t="str">
            <v>PANORAMA 1101</v>
          </cell>
          <cell r="E2338" t="str">
            <v>CB</v>
          </cell>
          <cell r="F2338" t="b">
            <v>0</v>
          </cell>
          <cell r="G2338">
            <v>27174.167429640402</v>
          </cell>
          <cell r="H2338">
            <v>1828.8440035213901</v>
          </cell>
          <cell r="I2338">
            <v>175</v>
          </cell>
          <cell r="J2338">
            <v>1.0539778708334701E-4</v>
          </cell>
          <cell r="K2338">
            <v>1510</v>
          </cell>
          <cell r="L2338">
            <v>467.15026958223802</v>
          </cell>
          <cell r="M2338">
            <v>1226</v>
          </cell>
          <cell r="N2338">
            <v>6.2374207915988897E-2</v>
          </cell>
          <cell r="O2338">
            <v>1038</v>
          </cell>
          <cell r="P2338">
            <v>0.02</v>
          </cell>
          <cell r="Q2338">
            <v>2425</v>
          </cell>
        </row>
        <row r="2339">
          <cell r="B2339" t="str">
            <v>PANORAMA 11021632</v>
          </cell>
          <cell r="C2339">
            <v>103461102</v>
          </cell>
          <cell r="D2339" t="str">
            <v>PANORAMA 1102</v>
          </cell>
          <cell r="E2339">
            <v>1632</v>
          </cell>
          <cell r="F2339" t="b">
            <v>0</v>
          </cell>
          <cell r="G2339">
            <v>13751.6317611914</v>
          </cell>
          <cell r="H2339">
            <v>13751.6317611914</v>
          </cell>
          <cell r="I2339">
            <v>19</v>
          </cell>
          <cell r="J2339">
            <v>8.8891283858653203E-5</v>
          </cell>
          <cell r="K2339">
            <v>1954</v>
          </cell>
          <cell r="L2339">
            <v>4338.5100573336204</v>
          </cell>
          <cell r="M2339">
            <v>118</v>
          </cell>
          <cell r="N2339">
            <v>0.33244438987512198</v>
          </cell>
          <cell r="O2339">
            <v>105</v>
          </cell>
          <cell r="P2339">
            <v>0.05</v>
          </cell>
          <cell r="Q2339">
            <v>1948</v>
          </cell>
        </row>
        <row r="2340">
          <cell r="B2340" t="str">
            <v>PANORAMA 1102280170</v>
          </cell>
          <cell r="C2340">
            <v>103461102</v>
          </cell>
          <cell r="D2340" t="str">
            <v>PANORAMA 1102</v>
          </cell>
          <cell r="E2340">
            <v>280170</v>
          </cell>
          <cell r="F2340" t="b">
            <v>0</v>
          </cell>
          <cell r="G2340">
            <v>24945.613610037501</v>
          </cell>
          <cell r="H2340">
            <v>20943.3131718158</v>
          </cell>
          <cell r="I2340">
            <v>102</v>
          </cell>
          <cell r="J2340">
            <v>1.10052814070513E-4</v>
          </cell>
          <cell r="K2340">
            <v>1411</v>
          </cell>
          <cell r="L2340">
            <v>2725.4901464582599</v>
          </cell>
          <cell r="M2340">
            <v>307</v>
          </cell>
          <cell r="N2340">
            <v>0.284257758549537</v>
          </cell>
          <cell r="O2340">
            <v>148</v>
          </cell>
          <cell r="Q2340">
            <v>2855</v>
          </cell>
        </row>
        <row r="2341">
          <cell r="B2341" t="str">
            <v>PANORAMA 1102508502</v>
          </cell>
          <cell r="C2341">
            <v>103461102</v>
          </cell>
          <cell r="D2341" t="str">
            <v>PANORAMA 1102</v>
          </cell>
          <cell r="E2341">
            <v>508502</v>
          </cell>
          <cell r="F2341" t="b">
            <v>0</v>
          </cell>
          <cell r="G2341">
            <v>25902.2252999679</v>
          </cell>
          <cell r="H2341">
            <v>18917.8930122602</v>
          </cell>
          <cell r="I2341">
            <v>115</v>
          </cell>
          <cell r="J2341">
            <v>8.1214701311725E-5</v>
          </cell>
          <cell r="K2341">
            <v>2178</v>
          </cell>
          <cell r="L2341">
            <v>2793.3825740766802</v>
          </cell>
          <cell r="M2341">
            <v>300</v>
          </cell>
          <cell r="N2341">
            <v>0.22042708497161601</v>
          </cell>
          <cell r="O2341">
            <v>283</v>
          </cell>
          <cell r="Q2341">
            <v>2971</v>
          </cell>
        </row>
        <row r="2342">
          <cell r="B2342" t="str">
            <v>PARADISE 1103143744</v>
          </cell>
          <cell r="C2342">
            <v>102831103</v>
          </cell>
          <cell r="D2342" t="str">
            <v>PARADISE 1103</v>
          </cell>
          <cell r="E2342">
            <v>143744</v>
          </cell>
          <cell r="F2342" t="b">
            <v>0</v>
          </cell>
          <cell r="G2342">
            <v>1706.11152122867</v>
          </cell>
          <cell r="H2342">
            <v>1706.11152122867</v>
          </cell>
          <cell r="I2342">
            <v>13</v>
          </cell>
          <cell r="J2342">
            <v>4.5932302041015E-4</v>
          </cell>
          <cell r="K2342">
            <v>45</v>
          </cell>
          <cell r="L2342">
            <v>1.8946215564072499</v>
          </cell>
          <cell r="M2342">
            <v>2847</v>
          </cell>
          <cell r="N2342">
            <v>3.3981343863451099E-4</v>
          </cell>
          <cell r="O2342">
            <v>2784</v>
          </cell>
          <cell r="Q2342">
            <v>3153</v>
          </cell>
        </row>
        <row r="2343">
          <cell r="B2343" t="str">
            <v>PARADISE 11032534</v>
          </cell>
          <cell r="C2343">
            <v>102831103</v>
          </cell>
          <cell r="D2343" t="str">
            <v>PARADISE 1103</v>
          </cell>
          <cell r="E2343">
            <v>2534</v>
          </cell>
          <cell r="F2343" t="b">
            <v>0</v>
          </cell>
          <cell r="G2343">
            <v>5245.4729146474101</v>
          </cell>
          <cell r="H2343">
            <v>5105.9058983007799</v>
          </cell>
          <cell r="I2343">
            <v>49</v>
          </cell>
          <cell r="J2343">
            <v>5.0354359284808298E-4</v>
          </cell>
          <cell r="K2343">
            <v>30</v>
          </cell>
          <cell r="L2343">
            <v>6.6326875386692602E-2</v>
          </cell>
          <cell r="M2343">
            <v>3143</v>
          </cell>
          <cell r="N2343">
            <v>3.3374938314538897E-5</v>
          </cell>
          <cell r="O2343">
            <v>2922</v>
          </cell>
          <cell r="P2343">
            <v>0.49</v>
          </cell>
          <cell r="Q2343">
            <v>899</v>
          </cell>
        </row>
        <row r="2344">
          <cell r="B2344" t="str">
            <v>PARADISE 1103468200</v>
          </cell>
          <cell r="C2344">
            <v>102831103</v>
          </cell>
          <cell r="D2344" t="str">
            <v>PARADISE 1103</v>
          </cell>
          <cell r="E2344">
            <v>468200</v>
          </cell>
          <cell r="F2344" t="b">
            <v>1</v>
          </cell>
          <cell r="G2344">
            <v>531.68008337479</v>
          </cell>
          <cell r="H2344">
            <v>531.68008337479</v>
          </cell>
          <cell r="I2344">
            <v>4</v>
          </cell>
          <cell r="J2344">
            <v>7.2422141238348504E-4</v>
          </cell>
          <cell r="K2344">
            <v>6</v>
          </cell>
          <cell r="L2344">
            <v>6.6431380861030107E-2</v>
          </cell>
          <cell r="M2344">
            <v>3033</v>
          </cell>
          <cell r="N2344">
            <v>4.81110284737605E-5</v>
          </cell>
          <cell r="O2344">
            <v>2904</v>
          </cell>
          <cell r="Q2344">
            <v>3132</v>
          </cell>
        </row>
        <row r="2345">
          <cell r="B2345" t="str">
            <v>PARADISE 1103772517</v>
          </cell>
          <cell r="C2345">
            <v>102831103</v>
          </cell>
          <cell r="D2345" t="str">
            <v>PARADISE 1103</v>
          </cell>
          <cell r="E2345">
            <v>772517</v>
          </cell>
          <cell r="F2345" t="b">
            <v>0</v>
          </cell>
          <cell r="G2345">
            <v>2777.2440005395601</v>
          </cell>
          <cell r="H2345">
            <v>2777.2440005395601</v>
          </cell>
          <cell r="I2345">
            <v>24</v>
          </cell>
          <cell r="J2345">
            <v>3.5423408492836901E-4</v>
          </cell>
          <cell r="K2345">
            <v>87</v>
          </cell>
          <cell r="L2345">
            <v>6.6378039525170393E-2</v>
          </cell>
          <cell r="M2345">
            <v>3129</v>
          </cell>
          <cell r="N2345">
            <v>2.3519222945788099E-5</v>
          </cell>
          <cell r="O2345">
            <v>2955</v>
          </cell>
          <cell r="Q2345">
            <v>3281</v>
          </cell>
        </row>
        <row r="2346">
          <cell r="B2346" t="str">
            <v>PARADISE 1103CB</v>
          </cell>
          <cell r="C2346">
            <v>102831103</v>
          </cell>
          <cell r="D2346" t="str">
            <v>PARADISE 1103</v>
          </cell>
          <cell r="E2346" t="str">
            <v>CB</v>
          </cell>
          <cell r="F2346" t="b">
            <v>0</v>
          </cell>
          <cell r="G2346">
            <v>5575.8129415224703</v>
          </cell>
          <cell r="H2346">
            <v>2217.6155190015702</v>
          </cell>
          <cell r="I2346">
            <v>61</v>
          </cell>
          <cell r="J2346">
            <v>6.53601491768447E-4</v>
          </cell>
          <cell r="K2346">
            <v>11</v>
          </cell>
          <cell r="L2346">
            <v>4.7351477207473902</v>
          </cell>
          <cell r="M2346">
            <v>2763</v>
          </cell>
          <cell r="N2346">
            <v>3.97467118106473E-3</v>
          </cell>
          <cell r="O2346">
            <v>2257</v>
          </cell>
          <cell r="P2346">
            <v>15.11</v>
          </cell>
          <cell r="Q2346">
            <v>350</v>
          </cell>
        </row>
        <row r="2347">
          <cell r="B2347" t="str">
            <v>PARADISE 11042034</v>
          </cell>
          <cell r="C2347">
            <v>102831104</v>
          </cell>
          <cell r="D2347" t="str">
            <v>PARADISE 1104</v>
          </cell>
          <cell r="E2347">
            <v>2034</v>
          </cell>
          <cell r="F2347" t="b">
            <v>0</v>
          </cell>
          <cell r="G2347">
            <v>17672.004694946099</v>
          </cell>
          <cell r="H2347">
            <v>17659.708717323902</v>
          </cell>
          <cell r="I2347">
            <v>99</v>
          </cell>
          <cell r="J2347">
            <v>2.36193782646816E-4</v>
          </cell>
          <cell r="K2347">
            <v>258</v>
          </cell>
          <cell r="L2347">
            <v>172.914119737905</v>
          </cell>
          <cell r="M2347">
            <v>1707</v>
          </cell>
          <cell r="N2347">
            <v>2.5841557038428099E-2</v>
          </cell>
          <cell r="O2347">
            <v>1537</v>
          </cell>
          <cell r="P2347">
            <v>0.4</v>
          </cell>
          <cell r="Q2347">
            <v>942</v>
          </cell>
        </row>
        <row r="2348">
          <cell r="B2348" t="str">
            <v>PARADISE 11042206</v>
          </cell>
          <cell r="C2348">
            <v>102831104</v>
          </cell>
          <cell r="D2348" t="str">
            <v>PARADISE 1104</v>
          </cell>
          <cell r="E2348">
            <v>2206</v>
          </cell>
          <cell r="F2348" t="b">
            <v>0</v>
          </cell>
          <cell r="G2348">
            <v>27876.592369387301</v>
          </cell>
          <cell r="H2348">
            <v>6659.30306265735</v>
          </cell>
          <cell r="I2348">
            <v>227</v>
          </cell>
          <cell r="J2348">
            <v>5.0120767204601404E-4</v>
          </cell>
          <cell r="K2348">
            <v>31</v>
          </cell>
          <cell r="L2348">
            <v>12.7345763204567</v>
          </cell>
          <cell r="M2348">
            <v>2573</v>
          </cell>
          <cell r="N2348">
            <v>2.70004485643165E-3</v>
          </cell>
          <cell r="O2348">
            <v>2383</v>
          </cell>
          <cell r="Q2348">
            <v>2664</v>
          </cell>
        </row>
        <row r="2349">
          <cell r="B2349" t="str">
            <v>PARADISE 11042486</v>
          </cell>
          <cell r="C2349">
            <v>102831104</v>
          </cell>
          <cell r="D2349" t="str">
            <v>PARADISE 1104</v>
          </cell>
          <cell r="E2349">
            <v>2486</v>
          </cell>
          <cell r="F2349" t="b">
            <v>1</v>
          </cell>
          <cell r="G2349">
            <v>189.79162646555599</v>
          </cell>
          <cell r="H2349">
            <v>146.422847849888</v>
          </cell>
          <cell r="I2349">
            <v>2</v>
          </cell>
          <cell r="J2349">
            <v>6.7148345988243797E-4</v>
          </cell>
          <cell r="K2349">
            <v>8</v>
          </cell>
          <cell r="L2349">
            <v>6.5791284830713295E-2</v>
          </cell>
          <cell r="M2349">
            <v>3270</v>
          </cell>
          <cell r="N2349">
            <v>4.42683681240134E-5</v>
          </cell>
          <cell r="O2349">
            <v>2906</v>
          </cell>
          <cell r="Q2349">
            <v>3565</v>
          </cell>
        </row>
        <row r="2350">
          <cell r="B2350" t="str">
            <v>PARADISE 11042488</v>
          </cell>
          <cell r="C2350">
            <v>102831104</v>
          </cell>
          <cell r="D2350" t="str">
            <v>PARADISE 1104</v>
          </cell>
          <cell r="E2350">
            <v>2488</v>
          </cell>
          <cell r="F2350" t="b">
            <v>0</v>
          </cell>
          <cell r="G2350">
            <v>5690.0714290113701</v>
          </cell>
          <cell r="H2350">
            <v>5690.0714290113701</v>
          </cell>
          <cell r="I2350">
            <v>47</v>
          </cell>
          <cell r="J2350">
            <v>4.8559804634622E-4</v>
          </cell>
          <cell r="K2350">
            <v>34</v>
          </cell>
          <cell r="L2350">
            <v>6.6431380861029996E-2</v>
          </cell>
          <cell r="M2350">
            <v>3043</v>
          </cell>
          <cell r="N2350">
            <v>3.2258948762197897E-5</v>
          </cell>
          <cell r="O2350">
            <v>2924</v>
          </cell>
          <cell r="Q2350">
            <v>2916</v>
          </cell>
        </row>
        <row r="2351">
          <cell r="B2351" t="str">
            <v>PARADISE 1104283794</v>
          </cell>
          <cell r="C2351">
            <v>102831104</v>
          </cell>
          <cell r="D2351" t="str">
            <v>PARADISE 1104</v>
          </cell>
          <cell r="E2351">
            <v>283794</v>
          </cell>
          <cell r="F2351" t="b">
            <v>0</v>
          </cell>
          <cell r="G2351">
            <v>4034.8506938678302</v>
          </cell>
          <cell r="H2351">
            <v>3810.7404337028402</v>
          </cell>
          <cell r="I2351">
            <v>37</v>
          </cell>
          <cell r="J2351">
            <v>4.82673334379403E-4</v>
          </cell>
          <cell r="K2351">
            <v>38</v>
          </cell>
          <cell r="L2351">
            <v>6.6327581504762506E-2</v>
          </cell>
          <cell r="M2351">
            <v>3142</v>
          </cell>
          <cell r="N2351">
            <v>3.2003649416228501E-5</v>
          </cell>
          <cell r="O2351">
            <v>2926</v>
          </cell>
          <cell r="Q2351">
            <v>2942</v>
          </cell>
        </row>
        <row r="2352">
          <cell r="B2352" t="str">
            <v>PARADISE 110439216</v>
          </cell>
          <cell r="C2352">
            <v>102831104</v>
          </cell>
          <cell r="D2352" t="str">
            <v>PARADISE 1104</v>
          </cell>
          <cell r="E2352">
            <v>39216</v>
          </cell>
          <cell r="F2352" t="b">
            <v>0</v>
          </cell>
          <cell r="G2352">
            <v>5158.2622566457703</v>
          </cell>
          <cell r="H2352">
            <v>2624.8047312866001</v>
          </cell>
          <cell r="I2352">
            <v>41</v>
          </cell>
          <cell r="J2352">
            <v>4.9127995716844396E-4</v>
          </cell>
          <cell r="K2352">
            <v>32</v>
          </cell>
          <cell r="L2352">
            <v>7.6004549599883102</v>
          </cell>
          <cell r="M2352">
            <v>2675</v>
          </cell>
          <cell r="N2352">
            <v>2.0999598373745701E-3</v>
          </cell>
          <cell r="O2352">
            <v>2467</v>
          </cell>
          <cell r="P2352">
            <v>0.31</v>
          </cell>
          <cell r="Q2352">
            <v>998</v>
          </cell>
        </row>
        <row r="2353">
          <cell r="B2353" t="str">
            <v>PARADISE 1104409622</v>
          </cell>
          <cell r="C2353">
            <v>102831104</v>
          </cell>
          <cell r="D2353" t="str">
            <v>PARADISE 1104</v>
          </cell>
          <cell r="E2353">
            <v>409622</v>
          </cell>
          <cell r="F2353" t="b">
            <v>0</v>
          </cell>
          <cell r="G2353">
            <v>20757.6390086807</v>
          </cell>
          <cell r="H2353">
            <v>20534.7896259931</v>
          </cell>
          <cell r="I2353">
            <v>156</v>
          </cell>
          <cell r="J2353">
            <v>3.4981001445908599E-4</v>
          </cell>
          <cell r="K2353">
            <v>90</v>
          </cell>
          <cell r="L2353">
            <v>622.08805620187798</v>
          </cell>
          <cell r="M2353">
            <v>1080</v>
          </cell>
          <cell r="N2353">
            <v>9.0830940057169199E-2</v>
          </cell>
          <cell r="O2353">
            <v>817</v>
          </cell>
          <cell r="Q2353">
            <v>2825</v>
          </cell>
        </row>
        <row r="2354">
          <cell r="B2354" t="str">
            <v>PARADISE 110443008</v>
          </cell>
          <cell r="C2354">
            <v>102831104</v>
          </cell>
          <cell r="D2354" t="str">
            <v>PARADISE 1104</v>
          </cell>
          <cell r="E2354">
            <v>43008</v>
          </cell>
          <cell r="F2354" t="b">
            <v>0</v>
          </cell>
          <cell r="G2354">
            <v>20752.8611759138</v>
          </cell>
          <cell r="H2354">
            <v>20697.773187615701</v>
          </cell>
          <cell r="I2354">
            <v>145</v>
          </cell>
          <cell r="J2354">
            <v>2.4314960725766E-4</v>
          </cell>
          <cell r="K2354">
            <v>238</v>
          </cell>
          <cell r="L2354">
            <v>866.32168657942805</v>
          </cell>
          <cell r="M2354">
            <v>903</v>
          </cell>
          <cell r="N2354">
            <v>0.105013327115273</v>
          </cell>
          <cell r="O2354">
            <v>734</v>
          </cell>
          <cell r="Q2354">
            <v>3002</v>
          </cell>
        </row>
        <row r="2355">
          <cell r="B2355" t="str">
            <v>PARADISE 1104457900</v>
          </cell>
          <cell r="C2355">
            <v>102831104</v>
          </cell>
          <cell r="D2355" t="str">
            <v>PARADISE 1104</v>
          </cell>
          <cell r="E2355">
            <v>457900</v>
          </cell>
          <cell r="F2355" t="b">
            <v>0</v>
          </cell>
          <cell r="G2355">
            <v>26252.311802920402</v>
          </cell>
          <cell r="H2355">
            <v>19380.7292858002</v>
          </cell>
          <cell r="I2355">
            <v>208</v>
          </cell>
          <cell r="J2355">
            <v>4.7135137378204102E-4</v>
          </cell>
          <cell r="K2355">
            <v>40</v>
          </cell>
          <cell r="L2355">
            <v>18.128464371027501</v>
          </cell>
          <cell r="M2355">
            <v>2474</v>
          </cell>
          <cell r="N2355">
            <v>3.0984840100988001E-3</v>
          </cell>
          <cell r="O2355">
            <v>2340</v>
          </cell>
          <cell r="Q2355">
            <v>2650</v>
          </cell>
        </row>
        <row r="2356">
          <cell r="B2356" t="str">
            <v>PARADISE 110453544</v>
          </cell>
          <cell r="C2356">
            <v>102831104</v>
          </cell>
          <cell r="D2356" t="str">
            <v>PARADISE 1104</v>
          </cell>
          <cell r="E2356">
            <v>53544</v>
          </cell>
          <cell r="F2356" t="b">
            <v>0</v>
          </cell>
          <cell r="G2356">
            <v>1728.20426875367</v>
          </cell>
          <cell r="H2356">
            <v>1035.11823317779</v>
          </cell>
          <cell r="I2356">
            <v>19</v>
          </cell>
          <cell r="J2356">
            <v>3.86132101228117E-4</v>
          </cell>
          <cell r="K2356">
            <v>71</v>
          </cell>
          <cell r="L2356">
            <v>6.5690217036452794E-2</v>
          </cell>
          <cell r="M2356">
            <v>3314</v>
          </cell>
          <cell r="N2356">
            <v>2.5313998536335299E-5</v>
          </cell>
          <cell r="O2356">
            <v>2950</v>
          </cell>
          <cell r="Q2356">
            <v>2807</v>
          </cell>
        </row>
        <row r="2357">
          <cell r="B2357" t="str">
            <v>PARADISE 1104920400</v>
          </cell>
          <cell r="C2357">
            <v>102831104</v>
          </cell>
          <cell r="D2357" t="str">
            <v>PARADISE 1104</v>
          </cell>
          <cell r="E2357">
            <v>920400</v>
          </cell>
          <cell r="F2357" t="b">
            <v>0</v>
          </cell>
          <cell r="G2357">
            <v>7975.4069697001396</v>
          </cell>
          <cell r="H2357">
            <v>7538.7640444486597</v>
          </cell>
          <cell r="I2357">
            <v>66</v>
          </cell>
          <cell r="J2357">
            <v>4.4142082289468001E-4</v>
          </cell>
          <cell r="K2357">
            <v>53</v>
          </cell>
          <cell r="L2357">
            <v>18.073216693632101</v>
          </cell>
          <cell r="M2357">
            <v>2478</v>
          </cell>
          <cell r="N2357">
            <v>6.4968241065286904E-3</v>
          </cell>
          <cell r="O2357">
            <v>2126</v>
          </cell>
          <cell r="Q2357">
            <v>2964</v>
          </cell>
        </row>
        <row r="2358">
          <cell r="B2358" t="str">
            <v>PARADISE 1104954322</v>
          </cell>
          <cell r="C2358">
            <v>102831104</v>
          </cell>
          <cell r="D2358" t="str">
            <v>PARADISE 1104</v>
          </cell>
          <cell r="E2358">
            <v>954322</v>
          </cell>
          <cell r="F2358" t="b">
            <v>0</v>
          </cell>
          <cell r="G2358">
            <v>6923.0972849833297</v>
          </cell>
          <cell r="H2358">
            <v>6923.0972849833297</v>
          </cell>
          <cell r="I2358">
            <v>63</v>
          </cell>
          <cell r="J2358">
            <v>4.2679650031791498E-4</v>
          </cell>
          <cell r="K2358">
            <v>60</v>
          </cell>
          <cell r="L2358">
            <v>6.6431380861029996E-2</v>
          </cell>
          <cell r="M2358">
            <v>3044</v>
          </cell>
          <cell r="N2358">
            <v>2.8352680862774102E-5</v>
          </cell>
          <cell r="O2358">
            <v>2943</v>
          </cell>
          <cell r="Q2358">
            <v>2742</v>
          </cell>
        </row>
        <row r="2359">
          <cell r="B2359" t="str">
            <v>PARADISE 1104961990</v>
          </cell>
          <cell r="C2359">
            <v>102831104</v>
          </cell>
          <cell r="D2359" t="str">
            <v>PARADISE 1104</v>
          </cell>
          <cell r="E2359">
            <v>961990</v>
          </cell>
          <cell r="F2359" t="b">
            <v>0</v>
          </cell>
          <cell r="G2359">
            <v>10972.260230456801</v>
          </cell>
          <cell r="H2359">
            <v>10972.260230456801</v>
          </cell>
          <cell r="I2359">
            <v>91</v>
          </cell>
          <cell r="J2359">
            <v>3.5642034668893698E-4</v>
          </cell>
          <cell r="K2359">
            <v>85</v>
          </cell>
          <cell r="L2359">
            <v>6.6431380861030107E-2</v>
          </cell>
          <cell r="M2359">
            <v>3018</v>
          </cell>
          <cell r="N2359">
            <v>2.3677495797513098E-5</v>
          </cell>
          <cell r="O2359">
            <v>2954</v>
          </cell>
          <cell r="Q2359">
            <v>2984</v>
          </cell>
        </row>
        <row r="2360">
          <cell r="B2360" t="str">
            <v>PARADISE 1104CB</v>
          </cell>
          <cell r="C2360">
            <v>102831104</v>
          </cell>
          <cell r="D2360" t="str">
            <v>PARADISE 1104</v>
          </cell>
          <cell r="E2360" t="str">
            <v>CB</v>
          </cell>
          <cell r="F2360" t="b">
            <v>0</v>
          </cell>
          <cell r="G2360">
            <v>5993.69160802237</v>
          </cell>
          <cell r="H2360">
            <v>2211.8341392942998</v>
          </cell>
          <cell r="I2360">
            <v>46</v>
          </cell>
          <cell r="J2360">
            <v>4.4180446324885802E-4</v>
          </cell>
          <cell r="K2360">
            <v>52</v>
          </cell>
          <cell r="L2360">
            <v>6.5540812471024196E-2</v>
          </cell>
          <cell r="M2360">
            <v>3355</v>
          </cell>
          <cell r="N2360">
            <v>2.9017667702852301E-5</v>
          </cell>
          <cell r="O2360">
            <v>2941</v>
          </cell>
          <cell r="P2360">
            <v>4.5599999999999996</v>
          </cell>
          <cell r="Q2360">
            <v>515</v>
          </cell>
        </row>
        <row r="2361">
          <cell r="B2361" t="str">
            <v>PARADISE 1105121988</v>
          </cell>
          <cell r="C2361">
            <v>102831105</v>
          </cell>
          <cell r="D2361" t="str">
            <v>PARADISE 1105</v>
          </cell>
          <cell r="E2361">
            <v>121988</v>
          </cell>
          <cell r="F2361" t="b">
            <v>0</v>
          </cell>
          <cell r="G2361">
            <v>11219.171181931901</v>
          </cell>
          <cell r="H2361">
            <v>11219.171181931901</v>
          </cell>
          <cell r="I2361">
            <v>92</v>
          </cell>
          <cell r="J2361">
            <v>2.7094210267735E-4</v>
          </cell>
          <cell r="K2361">
            <v>171</v>
          </cell>
          <cell r="L2361">
            <v>5.2336123812587703</v>
          </cell>
          <cell r="M2361">
            <v>2742</v>
          </cell>
          <cell r="N2361">
            <v>1.9488083132049301E-3</v>
          </cell>
          <cell r="O2361">
            <v>2484</v>
          </cell>
          <cell r="Q2361">
            <v>2725</v>
          </cell>
        </row>
        <row r="2362">
          <cell r="B2362" t="str">
            <v>PARADISE 11052214</v>
          </cell>
          <cell r="C2362">
            <v>102831105</v>
          </cell>
          <cell r="D2362" t="str">
            <v>PARADISE 1105</v>
          </cell>
          <cell r="E2362">
            <v>2214</v>
          </cell>
          <cell r="F2362" t="b">
            <v>0</v>
          </cell>
          <cell r="G2362">
            <v>29878.705392325501</v>
          </cell>
          <cell r="H2362">
            <v>24265.0128645806</v>
          </cell>
          <cell r="I2362">
            <v>233</v>
          </cell>
          <cell r="J2362">
            <v>4.2567800656395698E-4</v>
          </cell>
          <cell r="K2362">
            <v>61</v>
          </cell>
          <cell r="L2362">
            <v>48.084400250674001</v>
          </cell>
          <cell r="M2362">
            <v>2221</v>
          </cell>
          <cell r="N2362">
            <v>6.2243294229232101E-3</v>
          </cell>
          <cell r="O2362">
            <v>2141</v>
          </cell>
          <cell r="P2362">
            <v>51.75</v>
          </cell>
          <cell r="Q2362">
            <v>113</v>
          </cell>
        </row>
        <row r="2363">
          <cell r="B2363" t="str">
            <v>PARADISE 110536656</v>
          </cell>
          <cell r="C2363">
            <v>102831105</v>
          </cell>
          <cell r="D2363" t="str">
            <v>PARADISE 1105</v>
          </cell>
          <cell r="E2363">
            <v>36656</v>
          </cell>
          <cell r="F2363" t="b">
            <v>1</v>
          </cell>
          <cell r="G2363">
            <v>1041.7397547452099</v>
          </cell>
          <cell r="H2363">
            <v>220.79890913171801</v>
          </cell>
          <cell r="I2363">
            <v>14</v>
          </cell>
          <cell r="J2363">
            <v>9.8372294674985692E-4</v>
          </cell>
          <cell r="K2363">
            <v>2</v>
          </cell>
          <cell r="L2363">
            <v>6.5516957960577604E-2</v>
          </cell>
          <cell r="M2363">
            <v>3361</v>
          </cell>
          <cell r="N2363">
            <v>6.4705920541965705E-5</v>
          </cell>
          <cell r="O2363">
            <v>2895</v>
          </cell>
          <cell r="Q2363">
            <v>3040</v>
          </cell>
        </row>
        <row r="2364">
          <cell r="B2364" t="str">
            <v>PARADISE 1105828400</v>
          </cell>
          <cell r="C2364">
            <v>102831105</v>
          </cell>
          <cell r="D2364" t="str">
            <v>PARADISE 1105</v>
          </cell>
          <cell r="E2364">
            <v>828400</v>
          </cell>
          <cell r="F2364" t="b">
            <v>1</v>
          </cell>
          <cell r="G2364">
            <v>50.109397096743301</v>
          </cell>
          <cell r="H2364">
            <v>50.109397096743301</v>
          </cell>
          <cell r="I2364">
            <v>2</v>
          </cell>
          <cell r="J2364">
            <v>6.6465628333389705E-4</v>
          </cell>
          <cell r="K2364">
            <v>9</v>
          </cell>
          <cell r="L2364">
            <v>6.6431380861030107E-2</v>
          </cell>
          <cell r="M2364">
            <v>3040</v>
          </cell>
          <cell r="N2364">
            <v>4.4154034699830897E-5</v>
          </cell>
          <cell r="O2364">
            <v>2907</v>
          </cell>
          <cell r="Q2364">
            <v>3627</v>
          </cell>
        </row>
        <row r="2365">
          <cell r="B2365" t="str">
            <v>PARADISE 1105829194</v>
          </cell>
          <cell r="C2365">
            <v>102831105</v>
          </cell>
          <cell r="D2365" t="str">
            <v>PARADISE 1105</v>
          </cell>
          <cell r="E2365">
            <v>829194</v>
          </cell>
          <cell r="F2365" t="b">
            <v>0</v>
          </cell>
          <cell r="G2365">
            <v>18124.382602925201</v>
          </cell>
          <cell r="H2365">
            <v>18124.382602925201</v>
          </cell>
          <cell r="I2365">
            <v>142</v>
          </cell>
          <cell r="J2365">
            <v>2.29785947404182E-4</v>
          </cell>
          <cell r="K2365">
            <v>286</v>
          </cell>
          <cell r="L2365">
            <v>0.40120650833992499</v>
          </cell>
          <cell r="M2365">
            <v>2916</v>
          </cell>
          <cell r="N2365">
            <v>1.6421603350541899E-4</v>
          </cell>
          <cell r="O2365">
            <v>2849</v>
          </cell>
          <cell r="Q2365">
            <v>2858</v>
          </cell>
        </row>
        <row r="2366">
          <cell r="B2366" t="str">
            <v>PARADISE 1105878870</v>
          </cell>
          <cell r="C2366">
            <v>102831105</v>
          </cell>
          <cell r="D2366" t="str">
            <v>PARADISE 1105</v>
          </cell>
          <cell r="E2366">
            <v>878870</v>
          </cell>
          <cell r="F2366" t="b">
            <v>0</v>
          </cell>
          <cell r="G2366">
            <v>4057.4460106125898</v>
          </cell>
          <cell r="H2366">
            <v>4057.4460106125898</v>
          </cell>
          <cell r="I2366">
            <v>29</v>
          </cell>
          <cell r="J2366">
            <v>4.8816324375240602E-4</v>
          </cell>
          <cell r="K2366">
            <v>33</v>
          </cell>
          <cell r="L2366">
            <v>4.9841625638268203</v>
          </cell>
          <cell r="M2366">
            <v>2754</v>
          </cell>
          <cell r="N2366">
            <v>4.8412113035583501E-3</v>
          </cell>
          <cell r="O2366">
            <v>2211</v>
          </cell>
          <cell r="Q2366">
            <v>2967</v>
          </cell>
        </row>
        <row r="2367">
          <cell r="B2367" t="str">
            <v>PARADISE 110599226</v>
          </cell>
          <cell r="C2367">
            <v>102831105</v>
          </cell>
          <cell r="D2367" t="str">
            <v>PARADISE 1105</v>
          </cell>
          <cell r="E2367">
            <v>99226</v>
          </cell>
          <cell r="F2367" t="b">
            <v>0</v>
          </cell>
          <cell r="G2367">
            <v>5537.6206089529596</v>
          </cell>
          <cell r="H2367">
            <v>1841.8714671755799</v>
          </cell>
          <cell r="I2367">
            <v>42</v>
          </cell>
          <cell r="J2367">
            <v>6.2785556552366205E-4</v>
          </cell>
          <cell r="K2367">
            <v>15</v>
          </cell>
          <cell r="L2367">
            <v>6.5638881013971306E-2</v>
          </cell>
          <cell r="M2367">
            <v>3326</v>
          </cell>
          <cell r="N2367">
            <v>4.1187161195157398E-5</v>
          </cell>
          <cell r="O2367">
            <v>2912</v>
          </cell>
          <cell r="Q2367">
            <v>3154</v>
          </cell>
        </row>
        <row r="2368">
          <cell r="B2368" t="str">
            <v>PARADISE 1105CB</v>
          </cell>
          <cell r="C2368">
            <v>102831105</v>
          </cell>
          <cell r="D2368" t="str">
            <v>PARADISE 1105</v>
          </cell>
          <cell r="E2368" t="str">
            <v>CB</v>
          </cell>
          <cell r="F2368" t="b">
            <v>0</v>
          </cell>
          <cell r="G2368">
            <v>11616.1021434052</v>
          </cell>
          <cell r="H2368">
            <v>9822.6917614627691</v>
          </cell>
          <cell r="I2368">
            <v>86</v>
          </cell>
          <cell r="J2368">
            <v>5.4579887584496102E-4</v>
          </cell>
          <cell r="K2368">
            <v>25</v>
          </cell>
          <cell r="L2368">
            <v>1.1716552433114</v>
          </cell>
          <cell r="M2368">
            <v>2883</v>
          </cell>
          <cell r="N2368">
            <v>2.6896989802338101E-4</v>
          </cell>
          <cell r="O2368">
            <v>2808</v>
          </cell>
          <cell r="P2368">
            <v>19.78</v>
          </cell>
          <cell r="Q2368">
            <v>308</v>
          </cell>
        </row>
        <row r="2369">
          <cell r="B2369" t="str">
            <v>PARADISE 11061212</v>
          </cell>
          <cell r="C2369">
            <v>102831106</v>
          </cell>
          <cell r="D2369" t="str">
            <v>PARADISE 1106</v>
          </cell>
          <cell r="E2369">
            <v>1212</v>
          </cell>
          <cell r="F2369" t="b">
            <v>0</v>
          </cell>
          <cell r="G2369">
            <v>3248.6095332291502</v>
          </cell>
          <cell r="H2369">
            <v>3232.60749299995</v>
          </cell>
          <cell r="I2369">
            <v>33</v>
          </cell>
          <cell r="J2369">
            <v>6.4006987866543398E-4</v>
          </cell>
          <cell r="K2369">
            <v>12</v>
          </cell>
          <cell r="L2369">
            <v>6.6392587162223002E-2</v>
          </cell>
          <cell r="M2369">
            <v>3123</v>
          </cell>
          <cell r="N2369">
            <v>4.2502533264197801E-5</v>
          </cell>
          <cell r="O2369">
            <v>2910</v>
          </cell>
          <cell r="Q2369">
            <v>3117</v>
          </cell>
        </row>
        <row r="2370">
          <cell r="B2370" t="str">
            <v>PARADISE 110636042</v>
          </cell>
          <cell r="C2370">
            <v>102831106</v>
          </cell>
          <cell r="D2370" t="str">
            <v>PARADISE 1106</v>
          </cell>
          <cell r="E2370">
            <v>36042</v>
          </cell>
          <cell r="F2370" t="b">
            <v>0</v>
          </cell>
          <cell r="G2370">
            <v>14063.6210651119</v>
          </cell>
          <cell r="H2370">
            <v>13184.510337975</v>
          </cell>
          <cell r="I2370">
            <v>119</v>
          </cell>
          <cell r="J2370">
            <v>4.64906853595807E-4</v>
          </cell>
          <cell r="K2370">
            <v>42</v>
          </cell>
          <cell r="L2370">
            <v>6.6334559612746993E-2</v>
          </cell>
          <cell r="M2370">
            <v>3138</v>
          </cell>
          <cell r="N2370">
            <v>3.0817248705115997E-5</v>
          </cell>
          <cell r="O2370">
            <v>2933</v>
          </cell>
          <cell r="Q2370">
            <v>2883</v>
          </cell>
        </row>
        <row r="2371">
          <cell r="B2371" t="str">
            <v>PARADISE 1106CB</v>
          </cell>
          <cell r="C2371">
            <v>102831106</v>
          </cell>
          <cell r="D2371" t="str">
            <v>PARADISE 1106</v>
          </cell>
          <cell r="E2371" t="str">
            <v>CB</v>
          </cell>
          <cell r="F2371" t="b">
            <v>0</v>
          </cell>
          <cell r="G2371">
            <v>7764.6761543257498</v>
          </cell>
          <cell r="H2371">
            <v>7472.6669501383403</v>
          </cell>
          <cell r="I2371">
            <v>53</v>
          </cell>
          <cell r="J2371">
            <v>5.7990432297920697E-4</v>
          </cell>
          <cell r="K2371">
            <v>22</v>
          </cell>
          <cell r="L2371">
            <v>0.96330359832935097</v>
          </cell>
          <cell r="M2371">
            <v>2896</v>
          </cell>
          <cell r="N2371">
            <v>2.4569902038379198E-4</v>
          </cell>
          <cell r="O2371">
            <v>2813</v>
          </cell>
          <cell r="P2371">
            <v>38.979999999999997</v>
          </cell>
          <cell r="Q2371">
            <v>191</v>
          </cell>
        </row>
        <row r="2372">
          <cell r="B2372" t="str">
            <v>PASO ROBLES 11032731</v>
          </cell>
          <cell r="C2372">
            <v>182611103</v>
          </cell>
          <cell r="D2372" t="str">
            <v>PASO ROBLES 1103</v>
          </cell>
          <cell r="E2372">
            <v>2731</v>
          </cell>
          <cell r="F2372" t="b">
            <v>0</v>
          </cell>
          <cell r="G2372">
            <v>2630.6286336231201</v>
          </cell>
          <cell r="H2372">
            <v>2630.6286336231201</v>
          </cell>
          <cell r="I2372">
            <v>13</v>
          </cell>
          <cell r="J2372">
            <v>8.1625814905587093E-5</v>
          </cell>
          <cell r="K2372">
            <v>2166</v>
          </cell>
          <cell r="L2372">
            <v>3132.51661236584</v>
          </cell>
          <cell r="M2372">
            <v>251</v>
          </cell>
          <cell r="N2372">
            <v>0.22959570327916301</v>
          </cell>
          <cell r="O2372">
            <v>260</v>
          </cell>
          <cell r="P2372">
            <v>0.25</v>
          </cell>
          <cell r="Q2372">
            <v>1088</v>
          </cell>
        </row>
        <row r="2373">
          <cell r="B2373" t="str">
            <v>PASO ROBLES 1103351084</v>
          </cell>
          <cell r="C2373">
            <v>182611103</v>
          </cell>
          <cell r="D2373" t="str">
            <v>PASO ROBLES 1103</v>
          </cell>
          <cell r="E2373">
            <v>351084</v>
          </cell>
          <cell r="F2373" t="b">
            <v>0</v>
          </cell>
          <cell r="G2373">
            <v>14339.9461343613</v>
          </cell>
          <cell r="H2373">
            <v>3813.7275079112301</v>
          </cell>
          <cell r="I2373">
            <v>91</v>
          </cell>
          <cell r="J2373">
            <v>6.4148196381413203E-5</v>
          </cell>
          <cell r="K2373">
            <v>2639</v>
          </cell>
          <cell r="L2373">
            <v>844.84848601485601</v>
          </cell>
          <cell r="M2373">
            <v>915</v>
          </cell>
          <cell r="N2373">
            <v>4.4255414212585498E-2</v>
          </cell>
          <cell r="O2373">
            <v>1239</v>
          </cell>
          <cell r="Q2373">
            <v>2770</v>
          </cell>
        </row>
        <row r="2374">
          <cell r="B2374" t="str">
            <v>PASO ROBLES 1103451760</v>
          </cell>
          <cell r="C2374">
            <v>182611103</v>
          </cell>
          <cell r="D2374" t="str">
            <v>PASO ROBLES 1103</v>
          </cell>
          <cell r="E2374">
            <v>451760</v>
          </cell>
          <cell r="F2374" t="b">
            <v>1</v>
          </cell>
          <cell r="G2374">
            <v>98.256309893833006</v>
          </cell>
          <cell r="H2374">
            <v>98.256309893833006</v>
          </cell>
          <cell r="I2374">
            <v>2</v>
          </cell>
          <cell r="J2374">
            <v>1.5500444715144099E-4</v>
          </cell>
          <cell r="K2374">
            <v>694</v>
          </cell>
          <cell r="L2374">
            <v>6.6431909799575806E-2</v>
          </cell>
          <cell r="M2374">
            <v>2956</v>
          </cell>
          <cell r="N2374">
            <v>1.0297241451697599E-5</v>
          </cell>
          <cell r="O2374">
            <v>3061</v>
          </cell>
          <cell r="Q2374">
            <v>3571</v>
          </cell>
        </row>
        <row r="2375">
          <cell r="B2375" t="str">
            <v>PASO ROBLES 110359763</v>
          </cell>
          <cell r="C2375">
            <v>182611103</v>
          </cell>
          <cell r="D2375" t="str">
            <v>PASO ROBLES 1103</v>
          </cell>
          <cell r="E2375">
            <v>59763</v>
          </cell>
          <cell r="F2375" t="b">
            <v>0</v>
          </cell>
          <cell r="G2375">
            <v>4532.1932628879404</v>
          </cell>
          <cell r="H2375">
            <v>4532.1932628879404</v>
          </cell>
          <cell r="I2375">
            <v>30</v>
          </cell>
          <cell r="J2375">
            <v>5.4980547611194101E-5</v>
          </cell>
          <cell r="K2375">
            <v>2912</v>
          </cell>
          <cell r="L2375">
            <v>2480.2070329835001</v>
          </cell>
          <cell r="M2375">
            <v>346</v>
          </cell>
          <cell r="N2375">
            <v>0.127164618288931</v>
          </cell>
          <cell r="O2375">
            <v>615</v>
          </cell>
          <cell r="P2375">
            <v>2.2599999999999998</v>
          </cell>
          <cell r="Q2375">
            <v>616</v>
          </cell>
        </row>
        <row r="2376">
          <cell r="B2376" t="str">
            <v>PASO ROBLES 1103N02</v>
          </cell>
          <cell r="C2376">
            <v>182611103</v>
          </cell>
          <cell r="D2376" t="str">
            <v>PASO ROBLES 1103</v>
          </cell>
          <cell r="E2376" t="str">
            <v>N02</v>
          </cell>
          <cell r="F2376" t="b">
            <v>1</v>
          </cell>
          <cell r="G2376">
            <v>70.934037489954903</v>
          </cell>
          <cell r="H2376">
            <v>70.934037489954903</v>
          </cell>
          <cell r="I2376">
            <v>1</v>
          </cell>
          <cell r="J2376">
            <v>2.5247808662243101E-4</v>
          </cell>
          <cell r="K2376">
            <v>210</v>
          </cell>
          <cell r="L2376">
            <v>1429.57458496093</v>
          </cell>
          <cell r="M2376">
            <v>625</v>
          </cell>
          <cell r="N2376">
            <v>0.36093625589499401</v>
          </cell>
          <cell r="O2376">
            <v>87</v>
          </cell>
          <cell r="P2376">
            <v>2.56</v>
          </cell>
          <cell r="Q2376">
            <v>597</v>
          </cell>
        </row>
        <row r="2377">
          <cell r="B2377" t="str">
            <v>PASO ROBLES 1103N04</v>
          </cell>
          <cell r="C2377">
            <v>182611103</v>
          </cell>
          <cell r="D2377" t="str">
            <v>PASO ROBLES 1103</v>
          </cell>
          <cell r="E2377" t="str">
            <v>N04</v>
          </cell>
          <cell r="F2377" t="b">
            <v>1</v>
          </cell>
          <cell r="G2377">
            <v>859.58413502614906</v>
          </cell>
          <cell r="H2377">
            <v>859.58413502614906</v>
          </cell>
          <cell r="I2377">
            <v>4</v>
          </cell>
          <cell r="J2377">
            <v>1.3463635150401301E-4</v>
          </cell>
          <cell r="K2377">
            <v>932</v>
          </cell>
          <cell r="L2377">
            <v>1420.92960877716</v>
          </cell>
          <cell r="M2377">
            <v>631</v>
          </cell>
          <cell r="N2377">
            <v>0.15160355540630199</v>
          </cell>
          <cell r="O2377">
            <v>510</v>
          </cell>
          <cell r="P2377">
            <v>10.35</v>
          </cell>
          <cell r="Q2377">
            <v>398</v>
          </cell>
        </row>
        <row r="2378">
          <cell r="B2378" t="str">
            <v>PASO ROBLES 1103N50</v>
          </cell>
          <cell r="C2378">
            <v>182611103</v>
          </cell>
          <cell r="D2378" t="str">
            <v>PASO ROBLES 1103</v>
          </cell>
          <cell r="E2378" t="str">
            <v>N50</v>
          </cell>
          <cell r="F2378" t="b">
            <v>0</v>
          </cell>
          <cell r="G2378">
            <v>3586.1974338212499</v>
          </cell>
          <cell r="H2378">
            <v>3586.1974338212499</v>
          </cell>
          <cell r="I2378">
            <v>24</v>
          </cell>
          <cell r="J2378">
            <v>2.0174229465065599E-4</v>
          </cell>
          <cell r="K2378">
            <v>390</v>
          </cell>
          <cell r="L2378">
            <v>1403.0605057800799</v>
          </cell>
          <cell r="M2378">
            <v>636</v>
          </cell>
          <cell r="N2378">
            <v>0.30039099606438102</v>
          </cell>
          <cell r="O2378">
            <v>138</v>
          </cell>
          <cell r="P2378">
            <v>6.6</v>
          </cell>
          <cell r="Q2378">
            <v>465</v>
          </cell>
        </row>
        <row r="2379">
          <cell r="B2379" t="str">
            <v>PASO ROBLES 1103N52</v>
          </cell>
          <cell r="C2379">
            <v>182611103</v>
          </cell>
          <cell r="D2379" t="str">
            <v>PASO ROBLES 1103</v>
          </cell>
          <cell r="E2379" t="str">
            <v>N52</v>
          </cell>
          <cell r="F2379" t="b">
            <v>0</v>
          </cell>
          <cell r="G2379">
            <v>10571.3697561225</v>
          </cell>
          <cell r="H2379">
            <v>10571.3697561225</v>
          </cell>
          <cell r="I2379">
            <v>32</v>
          </cell>
          <cell r="J2379">
            <v>1.6961477160748399E-4</v>
          </cell>
          <cell r="K2379">
            <v>565</v>
          </cell>
          <cell r="L2379">
            <v>1370.1643910978401</v>
          </cell>
          <cell r="M2379">
            <v>652</v>
          </cell>
          <cell r="N2379">
            <v>0.21643044942145701</v>
          </cell>
          <cell r="O2379">
            <v>291</v>
          </cell>
          <cell r="P2379">
            <v>0.06</v>
          </cell>
          <cell r="Q2379">
            <v>1851</v>
          </cell>
        </row>
        <row r="2380">
          <cell r="B2380" t="str">
            <v>PASO ROBLES 1103N54</v>
          </cell>
          <cell r="C2380">
            <v>182611103</v>
          </cell>
          <cell r="D2380" t="str">
            <v>PASO ROBLES 1103</v>
          </cell>
          <cell r="E2380" t="str">
            <v>N54</v>
          </cell>
          <cell r="F2380" t="b">
            <v>0</v>
          </cell>
          <cell r="G2380">
            <v>34748.723612137503</v>
          </cell>
          <cell r="H2380">
            <v>32201.178339406299</v>
          </cell>
          <cell r="I2380">
            <v>221</v>
          </cell>
          <cell r="J2380">
            <v>9.3044925261682903E-5</v>
          </cell>
          <cell r="K2380">
            <v>1819</v>
          </cell>
          <cell r="L2380">
            <v>4184.3432433850903</v>
          </cell>
          <cell r="M2380">
            <v>138</v>
          </cell>
          <cell r="N2380">
            <v>0.38568069998891902</v>
          </cell>
          <cell r="O2380">
            <v>69</v>
          </cell>
          <cell r="P2380">
            <v>3.07</v>
          </cell>
          <cell r="Q2380">
            <v>564</v>
          </cell>
        </row>
        <row r="2381">
          <cell r="B2381" t="str">
            <v>PASO ROBLES 1103N58</v>
          </cell>
          <cell r="C2381">
            <v>182611103</v>
          </cell>
          <cell r="D2381" t="str">
            <v>PASO ROBLES 1103</v>
          </cell>
          <cell r="E2381" t="str">
            <v>N58</v>
          </cell>
          <cell r="F2381" t="b">
            <v>0</v>
          </cell>
          <cell r="G2381">
            <v>11929.783817662401</v>
          </cell>
          <cell r="H2381">
            <v>7319.60942829756</v>
          </cell>
          <cell r="I2381">
            <v>91</v>
          </cell>
          <cell r="J2381">
            <v>8.9682646325349604E-5</v>
          </cell>
          <cell r="K2381">
            <v>1923</v>
          </cell>
          <cell r="L2381">
            <v>2958.7212783298801</v>
          </cell>
          <cell r="M2381">
            <v>277</v>
          </cell>
          <cell r="N2381">
            <v>0.23099409451470199</v>
          </cell>
          <cell r="O2381">
            <v>257</v>
          </cell>
          <cell r="P2381">
            <v>1.43</v>
          </cell>
          <cell r="Q2381">
            <v>676</v>
          </cell>
        </row>
        <row r="2382">
          <cell r="B2382" t="str">
            <v>PASO ROBLES 1104P02</v>
          </cell>
          <cell r="C2382">
            <v>182611104</v>
          </cell>
          <cell r="D2382" t="str">
            <v>PASO ROBLES 1104</v>
          </cell>
          <cell r="E2382" t="str">
            <v>P02</v>
          </cell>
          <cell r="F2382" t="b">
            <v>1</v>
          </cell>
          <cell r="G2382">
            <v>11656.6661101151</v>
          </cell>
          <cell r="H2382">
            <v>515.03217747312101</v>
          </cell>
          <cell r="I2382">
            <v>93</v>
          </cell>
          <cell r="J2382">
            <v>5.0919490307854198E-5</v>
          </cell>
          <cell r="K2382">
            <v>3016</v>
          </cell>
          <cell r="L2382">
            <v>803.92558240882397</v>
          </cell>
          <cell r="M2382">
            <v>936</v>
          </cell>
          <cell r="N2382">
            <v>6.6820399351433996E-2</v>
          </cell>
          <cell r="O2382">
            <v>1006</v>
          </cell>
          <cell r="P2382">
            <v>0.32</v>
          </cell>
          <cell r="Q2382">
            <v>993</v>
          </cell>
        </row>
        <row r="2383">
          <cell r="B2383" t="str">
            <v>PASO ROBLES 1104R12</v>
          </cell>
          <cell r="C2383">
            <v>182611104</v>
          </cell>
          <cell r="D2383" t="str">
            <v>PASO ROBLES 1104</v>
          </cell>
          <cell r="E2383" t="str">
            <v>R12</v>
          </cell>
          <cell r="F2383" t="b">
            <v>0</v>
          </cell>
          <cell r="G2383">
            <v>64632.535096654399</v>
          </cell>
          <cell r="H2383">
            <v>52796.268571841501</v>
          </cell>
          <cell r="I2383">
            <v>278</v>
          </cell>
          <cell r="J2383">
            <v>5.1482847720103803E-5</v>
          </cell>
          <cell r="K2383">
            <v>3005</v>
          </cell>
          <cell r="L2383">
            <v>1212.06242073978</v>
          </cell>
          <cell r="M2383">
            <v>725</v>
          </cell>
          <cell r="N2383">
            <v>6.4341108790660906E-2</v>
          </cell>
          <cell r="O2383">
            <v>1025</v>
          </cell>
          <cell r="P2383">
            <v>0.1</v>
          </cell>
          <cell r="Q2383">
            <v>1470</v>
          </cell>
        </row>
        <row r="2384">
          <cell r="B2384" t="str">
            <v>PASO ROBLES 1104R56</v>
          </cell>
          <cell r="C2384">
            <v>182611104</v>
          </cell>
          <cell r="D2384" t="str">
            <v>PASO ROBLES 1104</v>
          </cell>
          <cell r="E2384" t="str">
            <v>R56</v>
          </cell>
          <cell r="F2384" t="b">
            <v>0</v>
          </cell>
          <cell r="G2384">
            <v>19965.750539578101</v>
          </cell>
          <cell r="H2384">
            <v>18526.185522609801</v>
          </cell>
          <cell r="I2384">
            <v>117</v>
          </cell>
          <cell r="J2384">
            <v>9.8996636031506893E-5</v>
          </cell>
          <cell r="K2384">
            <v>1669</v>
          </cell>
          <cell r="L2384">
            <v>2922.39659828094</v>
          </cell>
          <cell r="M2384">
            <v>284</v>
          </cell>
          <cell r="N2384">
            <v>0.23419628436776299</v>
          </cell>
          <cell r="O2384">
            <v>251</v>
          </cell>
          <cell r="P2384">
            <v>1.75</v>
          </cell>
          <cell r="Q2384">
            <v>644</v>
          </cell>
        </row>
        <row r="2385">
          <cell r="B2385" t="str">
            <v>PASO ROBLES 1107289947</v>
          </cell>
          <cell r="C2385">
            <v>182611107</v>
          </cell>
          <cell r="D2385" t="str">
            <v>PASO ROBLES 1107</v>
          </cell>
          <cell r="E2385">
            <v>289947</v>
          </cell>
          <cell r="F2385" t="b">
            <v>1</v>
          </cell>
          <cell r="G2385">
            <v>3212.1672784560201</v>
          </cell>
          <cell r="H2385">
            <v>447.63574011523599</v>
          </cell>
          <cell r="I2385">
            <v>21</v>
          </cell>
          <cell r="J2385">
            <v>8.5183908595354296E-5</v>
          </cell>
          <cell r="K2385">
            <v>2054</v>
          </cell>
          <cell r="L2385">
            <v>855.707266437155</v>
          </cell>
          <cell r="M2385">
            <v>911</v>
          </cell>
          <cell r="N2385">
            <v>5.7657505573639099E-2</v>
          </cell>
          <cell r="O2385">
            <v>1081</v>
          </cell>
          <cell r="Q2385">
            <v>3472</v>
          </cell>
        </row>
        <row r="2386">
          <cell r="B2386" t="str">
            <v>PAUL SWEET 210210290</v>
          </cell>
          <cell r="C2386">
            <v>83252102</v>
          </cell>
          <cell r="D2386" t="str">
            <v>PAUL SWEET 2102</v>
          </cell>
          <cell r="E2386">
            <v>10290</v>
          </cell>
          <cell r="F2386" t="b">
            <v>1</v>
          </cell>
          <cell r="G2386">
            <v>9277.2510164737505</v>
          </cell>
          <cell r="H2386">
            <v>4.5720448353703702</v>
          </cell>
          <cell r="I2386">
            <v>75</v>
          </cell>
          <cell r="J2386">
            <v>7.2678537006294397E-5</v>
          </cell>
          <cell r="K2386">
            <v>2399</v>
          </cell>
          <cell r="L2386">
            <v>6.51641223827997E-2</v>
          </cell>
          <cell r="M2386">
            <v>3550</v>
          </cell>
          <cell r="N2386">
            <v>4.7387563650351098E-6</v>
          </cell>
          <cell r="O2386">
            <v>3278</v>
          </cell>
          <cell r="Q2386">
            <v>2841</v>
          </cell>
        </row>
        <row r="2387">
          <cell r="B2387" t="str">
            <v>PAUL SWEET 210212850</v>
          </cell>
          <cell r="C2387">
            <v>83252102</v>
          </cell>
          <cell r="D2387" t="str">
            <v>PAUL SWEET 2102</v>
          </cell>
          <cell r="E2387">
            <v>12850</v>
          </cell>
          <cell r="F2387" t="b">
            <v>0</v>
          </cell>
          <cell r="G2387">
            <v>6644.9449395854199</v>
          </cell>
          <cell r="H2387">
            <v>1063.4476420451899</v>
          </cell>
          <cell r="I2387">
            <v>52</v>
          </cell>
          <cell r="J2387">
            <v>6.6461576917955994E-5</v>
          </cell>
          <cell r="K2387">
            <v>2576</v>
          </cell>
          <cell r="L2387">
            <v>6.5295250083391404E-2</v>
          </cell>
          <cell r="M2387">
            <v>3464</v>
          </cell>
          <cell r="N2387">
            <v>4.3733306960226298E-6</v>
          </cell>
          <cell r="O2387">
            <v>3306</v>
          </cell>
          <cell r="P2387">
            <v>0.02</v>
          </cell>
          <cell r="Q2387">
            <v>2487</v>
          </cell>
        </row>
        <row r="2388">
          <cell r="B2388" t="str">
            <v>PAUL SWEET 2102168368</v>
          </cell>
          <cell r="C2388">
            <v>83252102</v>
          </cell>
          <cell r="D2388" t="str">
            <v>PAUL SWEET 2102</v>
          </cell>
          <cell r="E2388">
            <v>168368</v>
          </cell>
          <cell r="F2388" t="b">
            <v>1</v>
          </cell>
          <cell r="G2388">
            <v>1090.7031207498601</v>
          </cell>
          <cell r="H2388">
            <v>590.44709334823494</v>
          </cell>
          <cell r="I2388">
            <v>8</v>
          </cell>
          <cell r="J2388">
            <v>1.0338689268489E-4</v>
          </cell>
          <cell r="K2388">
            <v>1562</v>
          </cell>
          <cell r="L2388">
            <v>6.5307605080306502E-2</v>
          </cell>
          <cell r="M2388">
            <v>3460</v>
          </cell>
          <cell r="N2388">
            <v>6.7491073132199796E-6</v>
          </cell>
          <cell r="O2388">
            <v>3176</v>
          </cell>
          <cell r="Q2388">
            <v>3294</v>
          </cell>
        </row>
        <row r="2389">
          <cell r="B2389" t="str">
            <v>PAUL SWEET 2102337544</v>
          </cell>
          <cell r="C2389">
            <v>83252102</v>
          </cell>
          <cell r="D2389" t="str">
            <v>PAUL SWEET 2102</v>
          </cell>
          <cell r="E2389">
            <v>337544</v>
          </cell>
          <cell r="F2389" t="b">
            <v>1</v>
          </cell>
          <cell r="G2389">
            <v>1419.0102670342101</v>
          </cell>
          <cell r="H2389">
            <v>579.06420189669996</v>
          </cell>
          <cell r="I2389">
            <v>13</v>
          </cell>
          <cell r="J2389">
            <v>1.1348436629095099E-4</v>
          </cell>
          <cell r="K2389">
            <v>1333</v>
          </cell>
          <cell r="L2389">
            <v>3.7153166784689899</v>
          </cell>
          <cell r="M2389">
            <v>2783</v>
          </cell>
          <cell r="N2389">
            <v>3.7689387153985E-4</v>
          </cell>
          <cell r="O2389">
            <v>2773</v>
          </cell>
          <cell r="Q2389">
            <v>3561</v>
          </cell>
        </row>
        <row r="2390">
          <cell r="B2390" t="str">
            <v>PAUL SWEET 2102959032</v>
          </cell>
          <cell r="C2390">
            <v>83252102</v>
          </cell>
          <cell r="D2390" t="str">
            <v>PAUL SWEET 2102</v>
          </cell>
          <cell r="E2390">
            <v>959032</v>
          </cell>
          <cell r="F2390" t="b">
            <v>0</v>
          </cell>
          <cell r="G2390">
            <v>1582.9543601374701</v>
          </cell>
          <cell r="H2390">
            <v>1283.5288389407799</v>
          </cell>
          <cell r="I2390">
            <v>11</v>
          </cell>
          <cell r="J2390">
            <v>1.28851110639516E-4</v>
          </cell>
          <cell r="K2390">
            <v>1030</v>
          </cell>
          <cell r="L2390">
            <v>15.184679584747</v>
          </cell>
          <cell r="M2390">
            <v>2528</v>
          </cell>
          <cell r="N2390">
            <v>1.20343332933622E-3</v>
          </cell>
          <cell r="O2390">
            <v>2597</v>
          </cell>
          <cell r="Q2390">
            <v>3517</v>
          </cell>
        </row>
        <row r="2391">
          <cell r="B2391" t="str">
            <v>PAUL SWEET 210411074</v>
          </cell>
          <cell r="C2391">
            <v>83252104</v>
          </cell>
          <cell r="D2391" t="str">
            <v>PAUL SWEET 2104</v>
          </cell>
          <cell r="E2391">
            <v>11074</v>
          </cell>
          <cell r="F2391" t="b">
            <v>0</v>
          </cell>
          <cell r="G2391">
            <v>4972.7566524588101</v>
          </cell>
          <cell r="H2391">
            <v>4718.3100426363098</v>
          </cell>
          <cell r="I2391">
            <v>41</v>
          </cell>
          <cell r="J2391">
            <v>4.83740664321885E-5</v>
          </cell>
          <cell r="K2391">
            <v>3082</v>
          </cell>
          <cell r="L2391">
            <v>6.6275212277726397E-2</v>
          </cell>
          <cell r="M2391">
            <v>3154</v>
          </cell>
          <cell r="N2391">
            <v>3.1904909352359101E-6</v>
          </cell>
          <cell r="O2391">
            <v>3389</v>
          </cell>
          <cell r="P2391">
            <v>0.48</v>
          </cell>
          <cell r="Q2391">
            <v>903</v>
          </cell>
        </row>
        <row r="2392">
          <cell r="B2392" t="str">
            <v>PAUL SWEET 21045394</v>
          </cell>
          <cell r="C2392">
            <v>83252104</v>
          </cell>
          <cell r="D2392" t="str">
            <v>PAUL SWEET 2104</v>
          </cell>
          <cell r="E2392">
            <v>5394</v>
          </cell>
          <cell r="F2392" t="b">
            <v>0</v>
          </cell>
          <cell r="G2392">
            <v>24529.1371620543</v>
          </cell>
          <cell r="H2392">
            <v>23340.393758093898</v>
          </cell>
          <cell r="I2392">
            <v>180</v>
          </cell>
          <cell r="J2392">
            <v>1.3063488892214799E-4</v>
          </cell>
          <cell r="K2392">
            <v>998</v>
          </cell>
          <cell r="L2392">
            <v>7.7217550022734498</v>
          </cell>
          <cell r="M2392">
            <v>2674</v>
          </cell>
          <cell r="N2392">
            <v>9.9214422963362411E-4</v>
          </cell>
          <cell r="O2392">
            <v>2636</v>
          </cell>
          <cell r="P2392">
            <v>43.45</v>
          </cell>
          <cell r="Q2392">
            <v>169</v>
          </cell>
        </row>
        <row r="2393">
          <cell r="B2393" t="str">
            <v>PAUL SWEET 2105CB</v>
          </cell>
          <cell r="C2393">
            <v>83252105</v>
          </cell>
          <cell r="D2393" t="str">
            <v>PAUL SWEET 2105</v>
          </cell>
          <cell r="E2393" t="str">
            <v>CB</v>
          </cell>
          <cell r="F2393" t="b">
            <v>0</v>
          </cell>
          <cell r="G2393">
            <v>14092.5760230337</v>
          </cell>
          <cell r="H2393">
            <v>11980.8022194279</v>
          </cell>
          <cell r="I2393">
            <v>86</v>
          </cell>
          <cell r="J2393">
            <v>1.2586297281998101E-4</v>
          </cell>
          <cell r="K2393">
            <v>1080</v>
          </cell>
          <cell r="L2393">
            <v>5.5912281191626203</v>
          </cell>
          <cell r="M2393">
            <v>2727</v>
          </cell>
          <cell r="N2393">
            <v>1.0024224860167999E-3</v>
          </cell>
          <cell r="O2393">
            <v>2633</v>
          </cell>
          <cell r="P2393">
            <v>0.22</v>
          </cell>
          <cell r="Q2393">
            <v>1132</v>
          </cell>
        </row>
        <row r="2394">
          <cell r="B2394" t="str">
            <v>PAUL SWEET 210610424</v>
          </cell>
          <cell r="C2394">
            <v>83252106</v>
          </cell>
          <cell r="D2394" t="str">
            <v>PAUL SWEET 2106</v>
          </cell>
          <cell r="E2394">
            <v>10424</v>
          </cell>
          <cell r="F2394" t="b">
            <v>0</v>
          </cell>
          <cell r="G2394">
            <v>11629.493416543</v>
          </cell>
          <cell r="H2394">
            <v>9151.9906450503004</v>
          </cell>
          <cell r="I2394">
            <v>87</v>
          </cell>
          <cell r="J2394">
            <v>1.3475415425478099E-4</v>
          </cell>
          <cell r="K2394">
            <v>931</v>
          </cell>
          <cell r="L2394">
            <v>22.367038987063101</v>
          </cell>
          <cell r="M2394">
            <v>2420</v>
          </cell>
          <cell r="N2394">
            <v>3.02665061954979E-3</v>
          </cell>
          <cell r="O2394">
            <v>2346</v>
          </cell>
          <cell r="P2394">
            <v>0.25</v>
          </cell>
          <cell r="Q2394">
            <v>1072</v>
          </cell>
        </row>
        <row r="2395">
          <cell r="B2395" t="str">
            <v>PAUL SWEET 2106428102</v>
          </cell>
          <cell r="C2395">
            <v>83252106</v>
          </cell>
          <cell r="D2395" t="str">
            <v>PAUL SWEET 2106</v>
          </cell>
          <cell r="E2395">
            <v>428102</v>
          </cell>
          <cell r="F2395" t="b">
            <v>0</v>
          </cell>
          <cell r="G2395">
            <v>20879.8446205172</v>
          </cell>
          <cell r="H2395">
            <v>19729.942107417701</v>
          </cell>
          <cell r="I2395">
            <v>158</v>
          </cell>
          <cell r="J2395">
            <v>1.27805114211293E-4</v>
          </cell>
          <cell r="K2395">
            <v>1053</v>
          </cell>
          <cell r="L2395">
            <v>4.9781922545708399</v>
          </cell>
          <cell r="M2395">
            <v>2755</v>
          </cell>
          <cell r="N2395">
            <v>6.8263549544274999E-4</v>
          </cell>
          <cell r="O2395">
            <v>2691</v>
          </cell>
          <cell r="P2395">
            <v>0.55000000000000004</v>
          </cell>
          <cell r="Q2395">
            <v>866</v>
          </cell>
        </row>
        <row r="2396">
          <cell r="B2396" t="str">
            <v>PAUL SWEET 21065178</v>
          </cell>
          <cell r="C2396">
            <v>83252106</v>
          </cell>
          <cell r="D2396" t="str">
            <v>PAUL SWEET 2106</v>
          </cell>
          <cell r="E2396">
            <v>5178</v>
          </cell>
          <cell r="F2396" t="b">
            <v>0</v>
          </cell>
          <cell r="G2396">
            <v>11550.9266623288</v>
          </cell>
          <cell r="H2396">
            <v>11550.9266623288</v>
          </cell>
          <cell r="I2396">
            <v>84</v>
          </cell>
          <cell r="J2396">
            <v>1.8260345409327599E-4</v>
          </cell>
          <cell r="K2396">
            <v>491</v>
          </cell>
          <cell r="L2396">
            <v>17.8913214579803</v>
          </cell>
          <cell r="M2396">
            <v>2483</v>
          </cell>
          <cell r="N2396">
            <v>3.24081963925341E-3</v>
          </cell>
          <cell r="O2396">
            <v>2323</v>
          </cell>
          <cell r="P2396">
            <v>0.57999999999999996</v>
          </cell>
          <cell r="Q2396">
            <v>856</v>
          </cell>
        </row>
        <row r="2397">
          <cell r="B2397" t="str">
            <v>PAUL SWEET 21068091</v>
          </cell>
          <cell r="C2397">
            <v>83252106</v>
          </cell>
          <cell r="D2397" t="str">
            <v>PAUL SWEET 2106</v>
          </cell>
          <cell r="E2397">
            <v>8091</v>
          </cell>
          <cell r="F2397" t="b">
            <v>0</v>
          </cell>
          <cell r="G2397">
            <v>9678.4780418423106</v>
          </cell>
          <cell r="H2397">
            <v>9678.4780418423106</v>
          </cell>
          <cell r="I2397">
            <v>69</v>
          </cell>
          <cell r="J2397">
            <v>1.82961201273323E-4</v>
          </cell>
          <cell r="K2397">
            <v>489</v>
          </cell>
          <cell r="L2397">
            <v>17.283438942281599</v>
          </cell>
          <cell r="M2397">
            <v>2497</v>
          </cell>
          <cell r="N2397">
            <v>2.9647803119603601E-3</v>
          </cell>
          <cell r="O2397">
            <v>2357</v>
          </cell>
          <cell r="P2397">
            <v>0.38</v>
          </cell>
          <cell r="Q2397">
            <v>961</v>
          </cell>
        </row>
        <row r="2398">
          <cell r="B2398" t="str">
            <v>PAUL SWEET 2106CB</v>
          </cell>
          <cell r="C2398">
            <v>83252106</v>
          </cell>
          <cell r="D2398" t="str">
            <v>PAUL SWEET 2106</v>
          </cell>
          <cell r="E2398" t="str">
            <v>CB</v>
          </cell>
          <cell r="F2398" t="b">
            <v>0</v>
          </cell>
          <cell r="G2398">
            <v>18604.474610446399</v>
          </cell>
          <cell r="H2398">
            <v>8502.7440756054293</v>
          </cell>
          <cell r="I2398">
            <v>115</v>
          </cell>
          <cell r="J2398">
            <v>8.1073681479593704E-5</v>
          </cell>
          <cell r="K2398">
            <v>2181</v>
          </cell>
          <cell r="L2398">
            <v>1.4421130560662401</v>
          </cell>
          <cell r="M2398">
            <v>2868</v>
          </cell>
          <cell r="N2398">
            <v>2.58950539862431E-4</v>
          </cell>
          <cell r="O2398">
            <v>2811</v>
          </cell>
          <cell r="P2398">
            <v>0.23</v>
          </cell>
          <cell r="Q2398">
            <v>1110</v>
          </cell>
        </row>
        <row r="2399">
          <cell r="B2399" t="str">
            <v>PAUL SWEET 210710986</v>
          </cell>
          <cell r="C2399">
            <v>83252107</v>
          </cell>
          <cell r="D2399" t="str">
            <v>PAUL SWEET 2107</v>
          </cell>
          <cell r="E2399">
            <v>10986</v>
          </cell>
          <cell r="F2399" t="b">
            <v>0</v>
          </cell>
          <cell r="G2399">
            <v>31785.025478259799</v>
          </cell>
          <cell r="H2399">
            <v>14988.5932922342</v>
          </cell>
          <cell r="I2399">
            <v>180</v>
          </cell>
          <cell r="J2399">
            <v>9.4350616748228202E-5</v>
          </cell>
          <cell r="K2399">
            <v>1785</v>
          </cell>
          <cell r="L2399">
            <v>282.18212837966701</v>
          </cell>
          <cell r="M2399">
            <v>1470</v>
          </cell>
          <cell r="N2399">
            <v>2.7410737929627501E-2</v>
          </cell>
          <cell r="O2399">
            <v>1507</v>
          </cell>
          <cell r="P2399">
            <v>0.19</v>
          </cell>
          <cell r="Q2399">
            <v>1190</v>
          </cell>
        </row>
        <row r="2400">
          <cell r="B2400" t="str">
            <v>PAUL SWEET 21075291</v>
          </cell>
          <cell r="C2400">
            <v>83252107</v>
          </cell>
          <cell r="D2400" t="str">
            <v>PAUL SWEET 2107</v>
          </cell>
          <cell r="E2400">
            <v>5291</v>
          </cell>
          <cell r="F2400" t="b">
            <v>1</v>
          </cell>
          <cell r="G2400">
            <v>1596.26098443978</v>
          </cell>
          <cell r="H2400">
            <v>50.439007259438199</v>
          </cell>
          <cell r="I2400">
            <v>14</v>
          </cell>
          <cell r="J2400">
            <v>1.2857709342434999E-4</v>
          </cell>
          <cell r="K2400">
            <v>1037</v>
          </cell>
          <cell r="L2400">
            <v>6.5238770097494098E-2</v>
          </cell>
          <cell r="M2400">
            <v>3485</v>
          </cell>
          <cell r="N2400">
            <v>8.4226108155848301E-6</v>
          </cell>
          <cell r="O2400">
            <v>3109</v>
          </cell>
          <cell r="Q2400">
            <v>3053</v>
          </cell>
        </row>
        <row r="2401">
          <cell r="B2401" t="str">
            <v>PAUL SWEET 2107774760</v>
          </cell>
          <cell r="C2401">
            <v>83252107</v>
          </cell>
          <cell r="D2401" t="str">
            <v>PAUL SWEET 2107</v>
          </cell>
          <cell r="E2401">
            <v>774760</v>
          </cell>
          <cell r="F2401" t="b">
            <v>0</v>
          </cell>
          <cell r="G2401">
            <v>5348.86298620461</v>
          </cell>
          <cell r="H2401">
            <v>5348.86298620461</v>
          </cell>
          <cell r="I2401">
            <v>37</v>
          </cell>
          <cell r="J2401">
            <v>2.2083156816095001E-4</v>
          </cell>
          <cell r="K2401">
            <v>317</v>
          </cell>
          <cell r="L2401">
            <v>0.70854446372470303</v>
          </cell>
          <cell r="M2401">
            <v>2908</v>
          </cell>
          <cell r="N2401">
            <v>1.11969827505544E-4</v>
          </cell>
          <cell r="O2401">
            <v>2869</v>
          </cell>
          <cell r="Q2401">
            <v>3263</v>
          </cell>
        </row>
        <row r="2402">
          <cell r="B2402" t="str">
            <v>PAUL SWEET 210912828</v>
          </cell>
          <cell r="C2402">
            <v>83252109</v>
          </cell>
          <cell r="D2402" t="str">
            <v>PAUL SWEET 2109</v>
          </cell>
          <cell r="E2402">
            <v>12828</v>
          </cell>
          <cell r="F2402" t="b">
            <v>0</v>
          </cell>
          <cell r="G2402">
            <v>7906.67193049241</v>
          </cell>
          <cell r="H2402">
            <v>1834.1594938636099</v>
          </cell>
          <cell r="I2402">
            <v>66</v>
          </cell>
          <cell r="J2402">
            <v>4.4983646065785098E-5</v>
          </cell>
          <cell r="K2402">
            <v>3161</v>
          </cell>
          <cell r="L2402">
            <v>6.5458485800208396E-2</v>
          </cell>
          <cell r="M2402">
            <v>3393</v>
          </cell>
          <cell r="N2402">
            <v>2.96512451031458E-6</v>
          </cell>
          <cell r="O2402">
            <v>3414</v>
          </cell>
          <cell r="Q2402">
            <v>2662</v>
          </cell>
        </row>
        <row r="2403">
          <cell r="B2403" t="str">
            <v>PAUL SWEET 2109634576</v>
          </cell>
          <cell r="C2403">
            <v>83252109</v>
          </cell>
          <cell r="D2403" t="str">
            <v>PAUL SWEET 2109</v>
          </cell>
          <cell r="E2403">
            <v>634576</v>
          </cell>
          <cell r="F2403" t="b">
            <v>0</v>
          </cell>
          <cell r="G2403">
            <v>3306.7048870373101</v>
          </cell>
          <cell r="H2403">
            <v>2935.0444196506301</v>
          </cell>
          <cell r="I2403">
            <v>29</v>
          </cell>
          <cell r="J2403">
            <v>8.2017088594699906E-5</v>
          </cell>
          <cell r="K2403">
            <v>2152</v>
          </cell>
          <cell r="L2403">
            <v>6.6254679499001295E-2</v>
          </cell>
          <cell r="M2403">
            <v>3159</v>
          </cell>
          <cell r="N2403">
            <v>5.4461635749783297E-6</v>
          </cell>
          <cell r="O2403">
            <v>3240</v>
          </cell>
          <cell r="Q2403">
            <v>2939</v>
          </cell>
        </row>
        <row r="2404">
          <cell r="B2404" t="str">
            <v>PAUL SWEET 2109680537</v>
          </cell>
          <cell r="C2404">
            <v>83252109</v>
          </cell>
          <cell r="D2404" t="str">
            <v>PAUL SWEET 2109</v>
          </cell>
          <cell r="E2404">
            <v>680537</v>
          </cell>
          <cell r="F2404" t="b">
            <v>1</v>
          </cell>
          <cell r="G2404">
            <v>1060.8184071861299</v>
          </cell>
          <cell r="H2404">
            <v>362.729259255876</v>
          </cell>
          <cell r="I2404">
            <v>9</v>
          </cell>
          <cell r="J2404">
            <v>3.9362486556152898E-5</v>
          </cell>
          <cell r="K2404">
            <v>3278</v>
          </cell>
          <cell r="L2404">
            <v>6.5432527826892004E-2</v>
          </cell>
          <cell r="M2404">
            <v>3403</v>
          </cell>
          <cell r="N2404">
            <v>2.5979160120780098E-6</v>
          </cell>
          <cell r="O2404">
            <v>3454</v>
          </cell>
          <cell r="Q2404">
            <v>3424</v>
          </cell>
        </row>
        <row r="2405">
          <cell r="B2405" t="str">
            <v>PAUL SWEET 2109687295</v>
          </cell>
          <cell r="C2405">
            <v>83252109</v>
          </cell>
          <cell r="D2405" t="str">
            <v>PAUL SWEET 2109</v>
          </cell>
          <cell r="E2405">
            <v>687295</v>
          </cell>
          <cell r="F2405" t="b">
            <v>0</v>
          </cell>
          <cell r="G2405">
            <v>1495.54503000867</v>
          </cell>
          <cell r="H2405">
            <v>1495.54503000867</v>
          </cell>
          <cell r="I2405">
            <v>14</v>
          </cell>
          <cell r="J2405">
            <v>7.0919275718292005E-5</v>
          </cell>
          <cell r="K2405">
            <v>2445</v>
          </cell>
          <cell r="L2405">
            <v>6.6431909799575806E-2</v>
          </cell>
          <cell r="M2405">
            <v>2963</v>
          </cell>
          <cell r="N2405">
            <v>4.7113029275688201E-6</v>
          </cell>
          <cell r="O2405">
            <v>3279</v>
          </cell>
          <cell r="Q2405">
            <v>2878</v>
          </cell>
        </row>
        <row r="2406">
          <cell r="B2406" t="str">
            <v>PAUL SWEET 2109CB</v>
          </cell>
          <cell r="C2406">
            <v>83252109</v>
          </cell>
          <cell r="D2406" t="str">
            <v>PAUL SWEET 2109</v>
          </cell>
          <cell r="E2406" t="str">
            <v>CB</v>
          </cell>
          <cell r="F2406" t="b">
            <v>1</v>
          </cell>
          <cell r="G2406">
            <v>18410.636877963901</v>
          </cell>
          <cell r="H2406">
            <v>20.738787053310698</v>
          </cell>
          <cell r="I2406">
            <v>171</v>
          </cell>
          <cell r="J2406">
            <v>3.67490320333684E-5</v>
          </cell>
          <cell r="K2406">
            <v>3319</v>
          </cell>
          <cell r="L2406">
            <v>6.5154504270581406E-2</v>
          </cell>
          <cell r="M2406">
            <v>3560</v>
          </cell>
          <cell r="N2406">
            <v>2.3947810994894301E-6</v>
          </cell>
          <cell r="O2406">
            <v>3474</v>
          </cell>
          <cell r="P2406">
            <v>0.28000000000000003</v>
          </cell>
          <cell r="Q2406">
            <v>1039</v>
          </cell>
        </row>
        <row r="2407">
          <cell r="B2407" t="str">
            <v>PEABODY 2106250154</v>
          </cell>
          <cell r="C2407">
            <v>63642106</v>
          </cell>
          <cell r="D2407" t="str">
            <v>PEABODY 2106</v>
          </cell>
          <cell r="E2407">
            <v>250154</v>
          </cell>
          <cell r="F2407" t="b">
            <v>1</v>
          </cell>
          <cell r="G2407">
            <v>458.54891259786501</v>
          </cell>
          <cell r="H2407">
            <v>458.54891259786501</v>
          </cell>
          <cell r="I2407">
            <v>4</v>
          </cell>
          <cell r="J2407">
            <v>1.14194933303224E-4</v>
          </cell>
          <cell r="K2407">
            <v>1315</v>
          </cell>
          <cell r="L2407">
            <v>5210.7291623992496</v>
          </cell>
          <cell r="M2407">
            <v>61</v>
          </cell>
          <cell r="N2407">
            <v>0.55242642055856805</v>
          </cell>
          <cell r="O2407">
            <v>26</v>
          </cell>
          <cell r="Q2407">
            <v>3150</v>
          </cell>
        </row>
        <row r="2408">
          <cell r="B2408" t="str">
            <v>PEABODY 2106592742</v>
          </cell>
          <cell r="C2408">
            <v>63642106</v>
          </cell>
          <cell r="D2408" t="str">
            <v>PEABODY 2106</v>
          </cell>
          <cell r="E2408">
            <v>592742</v>
          </cell>
          <cell r="F2408" t="b">
            <v>1</v>
          </cell>
          <cell r="G2408">
            <v>684.45516640598601</v>
          </cell>
          <cell r="H2408">
            <v>546.74530491875998</v>
          </cell>
          <cell r="I2408">
            <v>5</v>
          </cell>
          <cell r="J2408">
            <v>6.9919283305353006E-5</v>
          </cell>
          <cell r="K2408">
            <v>2474</v>
          </cell>
          <cell r="L2408">
            <v>5228.5371438880702</v>
          </cell>
          <cell r="M2408">
            <v>60</v>
          </cell>
          <cell r="N2408">
            <v>0.36226808068576399</v>
          </cell>
          <cell r="O2408">
            <v>84</v>
          </cell>
          <cell r="Q2408">
            <v>3618</v>
          </cell>
        </row>
        <row r="2409">
          <cell r="B2409" t="str">
            <v>PEABODY 2106CB</v>
          </cell>
          <cell r="C2409">
            <v>63642106</v>
          </cell>
          <cell r="D2409" t="str">
            <v>PEABODY 2106</v>
          </cell>
          <cell r="E2409" t="str">
            <v>CB</v>
          </cell>
          <cell r="F2409" t="b">
            <v>1</v>
          </cell>
          <cell r="G2409">
            <v>1275.2264964789299</v>
          </cell>
          <cell r="H2409">
            <v>525.80961447818197</v>
          </cell>
          <cell r="I2409">
            <v>9</v>
          </cell>
          <cell r="J2409">
            <v>1.39229478918423E-4</v>
          </cell>
          <cell r="K2409">
            <v>884</v>
          </cell>
          <cell r="L2409">
            <v>1814.56212051548</v>
          </cell>
          <cell r="M2409">
            <v>503</v>
          </cell>
          <cell r="N2409">
            <v>0.32441627406032297</v>
          </cell>
          <cell r="O2409">
            <v>109</v>
          </cell>
          <cell r="P2409">
            <v>0.04</v>
          </cell>
          <cell r="Q2409">
            <v>2217</v>
          </cell>
        </row>
        <row r="2410">
          <cell r="B2410" t="str">
            <v>PEABODY 2108113684</v>
          </cell>
          <cell r="C2410">
            <v>63642108</v>
          </cell>
          <cell r="D2410" t="str">
            <v>PEABODY 2108</v>
          </cell>
          <cell r="E2410">
            <v>113684</v>
          </cell>
          <cell r="F2410" t="b">
            <v>1</v>
          </cell>
          <cell r="G2410">
            <v>748.95739734640802</v>
          </cell>
          <cell r="H2410">
            <v>590.652129229558</v>
          </cell>
          <cell r="I2410">
            <v>4</v>
          </cell>
          <cell r="J2410">
            <v>9.2987941570754602E-5</v>
          </cell>
          <cell r="K2410">
            <v>1823</v>
          </cell>
          <cell r="L2410">
            <v>6848.1416920040701</v>
          </cell>
          <cell r="M2410">
            <v>10</v>
          </cell>
          <cell r="N2410">
            <v>0.55275579482224202</v>
          </cell>
          <cell r="O2410">
            <v>25</v>
          </cell>
          <cell r="Q2410">
            <v>3509</v>
          </cell>
        </row>
        <row r="2411">
          <cell r="B2411" t="str">
            <v>PEABODY 2113873304</v>
          </cell>
          <cell r="C2411">
            <v>63642113</v>
          </cell>
          <cell r="D2411" t="str">
            <v>PEABODY 2113</v>
          </cell>
          <cell r="E2411">
            <v>873304</v>
          </cell>
          <cell r="F2411" t="b">
            <v>0</v>
          </cell>
          <cell r="G2411">
            <v>1312.95083240636</v>
          </cell>
          <cell r="H2411">
            <v>1312.95083240636</v>
          </cell>
          <cell r="I2411">
            <v>5</v>
          </cell>
          <cell r="J2411">
            <v>6.9450322553166096E-5</v>
          </cell>
          <cell r="K2411">
            <v>2489</v>
          </cell>
          <cell r="L2411">
            <v>4833.6393847661202</v>
          </cell>
          <cell r="M2411">
            <v>88</v>
          </cell>
          <cell r="N2411">
            <v>0.25418868845015502</v>
          </cell>
          <cell r="O2411">
            <v>207</v>
          </cell>
          <cell r="Q2411">
            <v>3605</v>
          </cell>
        </row>
        <row r="2412">
          <cell r="B2412" t="str">
            <v>PEABODY 2113945670</v>
          </cell>
          <cell r="C2412">
            <v>63642113</v>
          </cell>
          <cell r="D2412" t="str">
            <v>PEABODY 2113</v>
          </cell>
          <cell r="E2412">
            <v>945670</v>
          </cell>
          <cell r="F2412" t="b">
            <v>1</v>
          </cell>
          <cell r="G2412">
            <v>403.09740163753099</v>
          </cell>
          <cell r="H2412">
            <v>334.42972335501798</v>
          </cell>
          <cell r="I2412">
            <v>3</v>
          </cell>
          <cell r="J2412">
            <v>6.3935200159903602E-5</v>
          </cell>
          <cell r="K2412">
            <v>2648</v>
          </cell>
          <cell r="L2412">
            <v>5860.0064208865897</v>
          </cell>
          <cell r="M2412">
            <v>36</v>
          </cell>
          <cell r="N2412">
            <v>0.35536242354638098</v>
          </cell>
          <cell r="O2412">
            <v>93</v>
          </cell>
          <cell r="Q2412">
            <v>3578</v>
          </cell>
        </row>
        <row r="2413">
          <cell r="B2413" t="str">
            <v>PEABODY 2113CB</v>
          </cell>
          <cell r="C2413">
            <v>63642113</v>
          </cell>
          <cell r="D2413" t="str">
            <v>PEABODY 2113</v>
          </cell>
          <cell r="E2413" t="str">
            <v>CB</v>
          </cell>
          <cell r="F2413" t="b">
            <v>1</v>
          </cell>
          <cell r="G2413">
            <v>8317.4056920511994</v>
          </cell>
          <cell r="H2413">
            <v>587.38809161527399</v>
          </cell>
          <cell r="I2413">
            <v>40</v>
          </cell>
          <cell r="J2413">
            <v>7.0186421350714893E-5</v>
          </cell>
          <cell r="K2413">
            <v>2464</v>
          </cell>
          <cell r="L2413">
            <v>270.69889016822799</v>
          </cell>
          <cell r="M2413">
            <v>1494</v>
          </cell>
          <cell r="N2413">
            <v>2.6425678647369801E-2</v>
          </cell>
          <cell r="O2413">
            <v>1525</v>
          </cell>
          <cell r="P2413">
            <v>2.37</v>
          </cell>
          <cell r="Q2413">
            <v>608</v>
          </cell>
        </row>
        <row r="2414">
          <cell r="B2414" t="str">
            <v>PENNGROVE 1101170</v>
          </cell>
          <cell r="C2414">
            <v>43471101</v>
          </cell>
          <cell r="D2414" t="str">
            <v>PENNGROVE 1101</v>
          </cell>
          <cell r="E2414">
            <v>170</v>
          </cell>
          <cell r="F2414" t="b">
            <v>0</v>
          </cell>
          <cell r="G2414">
            <v>33470.215787803099</v>
          </cell>
          <cell r="H2414">
            <v>28905.2433416694</v>
          </cell>
          <cell r="I2414">
            <v>223</v>
          </cell>
          <cell r="J2414">
            <v>9.0997057508074606E-5</v>
          </cell>
          <cell r="K2414">
            <v>1881</v>
          </cell>
          <cell r="L2414">
            <v>278.37016722157301</v>
          </cell>
          <cell r="M2414">
            <v>1476</v>
          </cell>
          <cell r="N2414">
            <v>2.3284854327308702E-2</v>
          </cell>
          <cell r="O2414">
            <v>1595</v>
          </cell>
          <cell r="P2414">
            <v>10.49</v>
          </cell>
          <cell r="Q2414">
            <v>396</v>
          </cell>
        </row>
        <row r="2415">
          <cell r="B2415" t="str">
            <v>PENNGROVE 1101247511</v>
          </cell>
          <cell r="C2415">
            <v>43471101</v>
          </cell>
          <cell r="D2415" t="str">
            <v>PENNGROVE 1101</v>
          </cell>
          <cell r="E2415">
            <v>247511</v>
          </cell>
          <cell r="F2415" t="b">
            <v>0</v>
          </cell>
          <cell r="G2415">
            <v>3219.7108854195599</v>
          </cell>
          <cell r="H2415">
            <v>1938.41110103755</v>
          </cell>
          <cell r="I2415">
            <v>26</v>
          </cell>
          <cell r="J2415">
            <v>5.8721682657610801E-5</v>
          </cell>
          <cell r="K2415">
            <v>2816</v>
          </cell>
          <cell r="L2415">
            <v>39.409958462882301</v>
          </cell>
          <cell r="M2415">
            <v>2279</v>
          </cell>
          <cell r="N2415">
            <v>2.5357488135612201E-3</v>
          </cell>
          <cell r="O2415">
            <v>2405</v>
          </cell>
          <cell r="Q2415">
            <v>2844</v>
          </cell>
        </row>
        <row r="2416">
          <cell r="B2416" t="str">
            <v>PENNGROVE 1101461338</v>
          </cell>
          <cell r="C2416">
            <v>43471101</v>
          </cell>
          <cell r="D2416" t="str">
            <v>PENNGROVE 1101</v>
          </cell>
          <cell r="E2416">
            <v>461338</v>
          </cell>
          <cell r="F2416" t="b">
            <v>0</v>
          </cell>
          <cell r="G2416">
            <v>2872.7741628615499</v>
          </cell>
          <cell r="H2416">
            <v>2872.7741628615499</v>
          </cell>
          <cell r="I2416">
            <v>24</v>
          </cell>
          <cell r="J2416">
            <v>9.4012504632701098E-5</v>
          </cell>
          <cell r="K2416">
            <v>1793</v>
          </cell>
          <cell r="L2416">
            <v>40.814441165157803</v>
          </cell>
          <cell r="M2416">
            <v>2273</v>
          </cell>
          <cell r="N2416">
            <v>3.5590684248437898E-3</v>
          </cell>
          <cell r="O2416">
            <v>2290</v>
          </cell>
          <cell r="Q2416">
            <v>2814</v>
          </cell>
        </row>
        <row r="2417">
          <cell r="B2417" t="str">
            <v>PENNGROVE 1101554</v>
          </cell>
          <cell r="C2417">
            <v>43471101</v>
          </cell>
          <cell r="D2417" t="str">
            <v>PENNGROVE 1101</v>
          </cell>
          <cell r="E2417">
            <v>554</v>
          </cell>
          <cell r="F2417" t="b">
            <v>1</v>
          </cell>
          <cell r="G2417">
            <v>17322.4157483698</v>
          </cell>
          <cell r="H2417">
            <v>0</v>
          </cell>
          <cell r="I2417">
            <v>130</v>
          </cell>
          <cell r="J2417">
            <v>6.9535938832426505E-5</v>
          </cell>
          <cell r="K2417">
            <v>2487</v>
          </cell>
          <cell r="L2417">
            <v>22.3741466781869</v>
          </cell>
          <cell r="M2417">
            <v>2419</v>
          </cell>
          <cell r="N2417">
            <v>2.1107422156956298E-3</v>
          </cell>
          <cell r="O2417">
            <v>2466</v>
          </cell>
          <cell r="P2417">
            <v>0.33</v>
          </cell>
          <cell r="Q2417">
            <v>985</v>
          </cell>
        </row>
        <row r="2418">
          <cell r="B2418" t="str">
            <v>PENRYN 11032198</v>
          </cell>
          <cell r="C2418">
            <v>152561103</v>
          </cell>
          <cell r="D2418" t="str">
            <v>PENRYN 1103</v>
          </cell>
          <cell r="E2418">
            <v>2198</v>
          </cell>
          <cell r="F2418" t="b">
            <v>0</v>
          </cell>
          <cell r="G2418">
            <v>33673.983663285297</v>
          </cell>
          <cell r="H2418">
            <v>32552.0609441296</v>
          </cell>
          <cell r="I2418">
            <v>248</v>
          </cell>
          <cell r="J2418">
            <v>1.5744609105504699E-4</v>
          </cell>
          <cell r="K2418">
            <v>669</v>
          </cell>
          <cell r="L2418">
            <v>1901.3176177758801</v>
          </cell>
          <cell r="M2418">
            <v>477</v>
          </cell>
          <cell r="N2418">
            <v>0.27290600219572098</v>
          </cell>
          <cell r="O2418">
            <v>173</v>
          </cell>
          <cell r="P2418">
            <v>5.01</v>
          </cell>
          <cell r="Q2418">
            <v>498</v>
          </cell>
        </row>
        <row r="2419">
          <cell r="B2419" t="str">
            <v>PENRYN 110351658</v>
          </cell>
          <cell r="C2419">
            <v>152561103</v>
          </cell>
          <cell r="D2419" t="str">
            <v>PENRYN 1103</v>
          </cell>
          <cell r="E2419">
            <v>51658</v>
          </cell>
          <cell r="F2419" t="b">
            <v>0</v>
          </cell>
          <cell r="G2419">
            <v>14039.378858956599</v>
          </cell>
          <cell r="H2419">
            <v>13140.120873477899</v>
          </cell>
          <cell r="I2419">
            <v>108</v>
          </cell>
          <cell r="J2419">
            <v>1.16841253236122E-4</v>
          </cell>
          <cell r="K2419">
            <v>1253</v>
          </cell>
          <cell r="L2419">
            <v>818.13475885985201</v>
          </cell>
          <cell r="M2419">
            <v>925</v>
          </cell>
          <cell r="N2419">
            <v>8.4001850159782898E-2</v>
          </cell>
          <cell r="O2419">
            <v>871</v>
          </cell>
          <cell r="P2419">
            <v>1.43</v>
          </cell>
          <cell r="Q2419">
            <v>677</v>
          </cell>
        </row>
        <row r="2420">
          <cell r="B2420" t="str">
            <v>PENRYN 1103604</v>
          </cell>
          <cell r="C2420">
            <v>152561103</v>
          </cell>
          <cell r="D2420" t="str">
            <v>PENRYN 1103</v>
          </cell>
          <cell r="E2420">
            <v>604</v>
          </cell>
          <cell r="F2420" t="b">
            <v>0</v>
          </cell>
          <cell r="G2420">
            <v>42817.3578286259</v>
          </cell>
          <cell r="H2420">
            <v>42516.879335965299</v>
          </cell>
          <cell r="I2420">
            <v>240</v>
          </cell>
          <cell r="J2420">
            <v>1.20607394330531E-4</v>
          </cell>
          <cell r="K2420">
            <v>1176</v>
          </cell>
          <cell r="L2420">
            <v>1665.6014164139499</v>
          </cell>
          <cell r="M2420">
            <v>537</v>
          </cell>
          <cell r="N2420">
            <v>0.193154274189413</v>
          </cell>
          <cell r="O2420">
            <v>358</v>
          </cell>
          <cell r="P2420">
            <v>8.39</v>
          </cell>
          <cell r="Q2420">
            <v>428</v>
          </cell>
        </row>
        <row r="2421">
          <cell r="B2421" t="str">
            <v>PENRYN 1103660</v>
          </cell>
          <cell r="C2421">
            <v>152561103</v>
          </cell>
          <cell r="D2421" t="str">
            <v>PENRYN 1103</v>
          </cell>
          <cell r="E2421">
            <v>660</v>
          </cell>
          <cell r="F2421" t="b">
            <v>0</v>
          </cell>
          <cell r="G2421">
            <v>31347.051428311399</v>
          </cell>
          <cell r="H2421">
            <v>16353.714551368401</v>
          </cell>
          <cell r="I2421">
            <v>233</v>
          </cell>
          <cell r="J2421">
            <v>1.1882803529717499E-4</v>
          </cell>
          <cell r="K2421">
            <v>1211</v>
          </cell>
          <cell r="L2421">
            <v>1011.38747031011</v>
          </cell>
          <cell r="M2421">
            <v>826</v>
          </cell>
          <cell r="N2421">
            <v>9.2166245183264398E-2</v>
          </cell>
          <cell r="O2421">
            <v>813</v>
          </cell>
          <cell r="P2421">
            <v>0.63</v>
          </cell>
          <cell r="Q2421">
            <v>835</v>
          </cell>
        </row>
        <row r="2422">
          <cell r="B2422" t="str">
            <v>PENRYN 1103CB</v>
          </cell>
          <cell r="C2422">
            <v>152561103</v>
          </cell>
          <cell r="D2422" t="str">
            <v>PENRYN 1103</v>
          </cell>
          <cell r="E2422" t="str">
            <v>CB</v>
          </cell>
          <cell r="F2422" t="b">
            <v>0</v>
          </cell>
          <cell r="G2422">
            <v>5107.0559254795198</v>
          </cell>
          <cell r="H2422">
            <v>3866.6598767503701</v>
          </cell>
          <cell r="I2422">
            <v>37</v>
          </cell>
          <cell r="J2422">
            <v>1.3282875502104401E-4</v>
          </cell>
          <cell r="K2422">
            <v>961</v>
          </cell>
          <cell r="L2422">
            <v>86.715019443914102</v>
          </cell>
          <cell r="M2422">
            <v>2017</v>
          </cell>
          <cell r="N2422">
            <v>1.34988438712739E-2</v>
          </cell>
          <cell r="O2422">
            <v>1832</v>
          </cell>
          <cell r="P2422">
            <v>0.56999999999999995</v>
          </cell>
          <cell r="Q2422">
            <v>862</v>
          </cell>
        </row>
        <row r="2423">
          <cell r="B2423" t="str">
            <v>PENRYN 1105119949</v>
          </cell>
          <cell r="C2423">
            <v>152561105</v>
          </cell>
          <cell r="D2423" t="str">
            <v>PENRYN 1105</v>
          </cell>
          <cell r="E2423">
            <v>119949</v>
          </cell>
          <cell r="F2423" t="b">
            <v>0</v>
          </cell>
          <cell r="G2423">
            <v>3756.7927350077598</v>
          </cell>
          <cell r="H2423">
            <v>2221.8701730746102</v>
          </cell>
          <cell r="I2423">
            <v>25</v>
          </cell>
          <cell r="J2423">
            <v>7.5612632523795203E-5</v>
          </cell>
          <cell r="K2423">
            <v>2320</v>
          </cell>
          <cell r="L2423">
            <v>1497.97838974403</v>
          </cell>
          <cell r="M2423">
            <v>598</v>
          </cell>
          <cell r="N2423">
            <v>0.115286441642608</v>
          </cell>
          <cell r="O2423">
            <v>670</v>
          </cell>
          <cell r="Q2423">
            <v>3429</v>
          </cell>
        </row>
        <row r="2424">
          <cell r="B2424" t="str">
            <v>PENRYN 11051342</v>
          </cell>
          <cell r="C2424">
            <v>152561105</v>
          </cell>
          <cell r="D2424" t="str">
            <v>PENRYN 1105</v>
          </cell>
          <cell r="E2424">
            <v>1342</v>
          </cell>
          <cell r="F2424" t="b">
            <v>0</v>
          </cell>
          <cell r="G2424">
            <v>62297.503289225599</v>
          </cell>
          <cell r="H2424">
            <v>33351.197196594898</v>
          </cell>
          <cell r="I2424">
            <v>440</v>
          </cell>
          <cell r="J2424">
            <v>1.1151391886300799E-4</v>
          </cell>
          <cell r="K2424">
            <v>1385</v>
          </cell>
          <cell r="L2424">
            <v>593.37645280491597</v>
          </cell>
          <cell r="M2424">
            <v>1111</v>
          </cell>
          <cell r="N2424">
            <v>6.5365700060064605E-2</v>
          </cell>
          <cell r="O2424">
            <v>1016</v>
          </cell>
          <cell r="P2424">
            <v>1.74</v>
          </cell>
          <cell r="Q2424">
            <v>645</v>
          </cell>
        </row>
        <row r="2425">
          <cell r="B2425" t="str">
            <v>PENRYN 11051378</v>
          </cell>
          <cell r="C2425">
            <v>152561105</v>
          </cell>
          <cell r="D2425" t="str">
            <v>PENRYN 1105</v>
          </cell>
          <cell r="E2425">
            <v>1378</v>
          </cell>
          <cell r="F2425" t="b">
            <v>0</v>
          </cell>
          <cell r="G2425">
            <v>3084.1466976526799</v>
          </cell>
          <cell r="H2425">
            <v>1447.51889337836</v>
          </cell>
          <cell r="I2425">
            <v>25</v>
          </cell>
          <cell r="J2425">
            <v>1.11314198729814E-4</v>
          </cell>
          <cell r="K2425">
            <v>1388</v>
          </cell>
          <cell r="L2425">
            <v>372.47276260923002</v>
          </cell>
          <cell r="M2425">
            <v>1334</v>
          </cell>
          <cell r="N2425">
            <v>4.3839167269612803E-2</v>
          </cell>
          <cell r="O2425">
            <v>1244</v>
          </cell>
          <cell r="P2425">
            <v>0.02</v>
          </cell>
          <cell r="Q2425">
            <v>2452</v>
          </cell>
        </row>
        <row r="2426">
          <cell r="B2426" t="str">
            <v>PENRYN 1105154362</v>
          </cell>
          <cell r="C2426">
            <v>152561105</v>
          </cell>
          <cell r="D2426" t="str">
            <v>PENRYN 1105</v>
          </cell>
          <cell r="E2426">
            <v>154362</v>
          </cell>
          <cell r="F2426" t="b">
            <v>0</v>
          </cell>
          <cell r="G2426">
            <v>11970.182430824099</v>
          </cell>
          <cell r="H2426">
            <v>3480.2712484636299</v>
          </cell>
          <cell r="I2426">
            <v>90</v>
          </cell>
          <cell r="J2426">
            <v>1.1043615548137599E-4</v>
          </cell>
          <cell r="K2426">
            <v>1403</v>
          </cell>
          <cell r="L2426">
            <v>797.55419076147098</v>
          </cell>
          <cell r="M2426">
            <v>943</v>
          </cell>
          <cell r="N2426">
            <v>9.8415036552160398E-2</v>
          </cell>
          <cell r="O2426">
            <v>772</v>
          </cell>
          <cell r="Q2426">
            <v>2686</v>
          </cell>
        </row>
        <row r="2427">
          <cell r="B2427" t="str">
            <v>PENRYN 1105168616</v>
          </cell>
          <cell r="C2427">
            <v>152561105</v>
          </cell>
          <cell r="D2427" t="str">
            <v>PENRYN 1105</v>
          </cell>
          <cell r="E2427">
            <v>168616</v>
          </cell>
          <cell r="F2427" t="b">
            <v>0</v>
          </cell>
          <cell r="G2427">
            <v>13634.7639359613</v>
          </cell>
          <cell r="H2427">
            <v>5078.9904590137603</v>
          </cell>
          <cell r="I2427">
            <v>102</v>
          </cell>
          <cell r="J2427">
            <v>1.27033140861563E-4</v>
          </cell>
          <cell r="K2427">
            <v>1064</v>
          </cell>
          <cell r="L2427">
            <v>319.48145674497698</v>
          </cell>
          <cell r="M2427">
            <v>1417</v>
          </cell>
          <cell r="N2427">
            <v>3.7050003091866499E-2</v>
          </cell>
          <cell r="O2427">
            <v>1338</v>
          </cell>
          <cell r="Q2427">
            <v>3144</v>
          </cell>
        </row>
        <row r="2428">
          <cell r="B2428" t="str">
            <v>PENRYN 11052406</v>
          </cell>
          <cell r="C2428">
            <v>152561105</v>
          </cell>
          <cell r="D2428" t="str">
            <v>PENRYN 1105</v>
          </cell>
          <cell r="E2428">
            <v>2406</v>
          </cell>
          <cell r="F2428" t="b">
            <v>1</v>
          </cell>
          <cell r="G2428">
            <v>6309.8621877989099</v>
          </cell>
          <cell r="H2428">
            <v>123.563573867101</v>
          </cell>
          <cell r="I2428">
            <v>50</v>
          </cell>
          <cell r="J2428">
            <v>1.4880414360959499E-4</v>
          </cell>
          <cell r="K2428">
            <v>754</v>
          </cell>
          <cell r="L2428">
            <v>13.0397736029102</v>
          </cell>
          <cell r="M2428">
            <v>2568</v>
          </cell>
          <cell r="N2428">
            <v>1.6854391379128001E-3</v>
          </cell>
          <cell r="O2428">
            <v>2522</v>
          </cell>
          <cell r="P2428">
            <v>0.98</v>
          </cell>
          <cell r="Q2428">
            <v>736</v>
          </cell>
        </row>
        <row r="2429">
          <cell r="B2429" t="str">
            <v>PENRYN 110550548</v>
          </cell>
          <cell r="C2429">
            <v>152561105</v>
          </cell>
          <cell r="D2429" t="str">
            <v>PENRYN 1105</v>
          </cell>
          <cell r="E2429">
            <v>50548</v>
          </cell>
          <cell r="F2429" t="b">
            <v>1</v>
          </cell>
          <cell r="G2429">
            <v>7824.3085430756701</v>
          </cell>
          <cell r="H2429">
            <v>154.22718172688801</v>
          </cell>
          <cell r="I2429">
            <v>58</v>
          </cell>
          <cell r="J2429">
            <v>1.40867404015493E-4</v>
          </cell>
          <cell r="K2429">
            <v>856</v>
          </cell>
          <cell r="L2429">
            <v>418.20263951951603</v>
          </cell>
          <cell r="M2429">
            <v>1274</v>
          </cell>
          <cell r="N2429">
            <v>5.0695405603354102E-2</v>
          </cell>
          <cell r="O2429">
            <v>1170</v>
          </cell>
          <cell r="P2429">
            <v>1.85</v>
          </cell>
          <cell r="Q2429">
            <v>638</v>
          </cell>
        </row>
        <row r="2430">
          <cell r="B2430" t="str">
            <v>PENRYN 110550550</v>
          </cell>
          <cell r="C2430">
            <v>152561105</v>
          </cell>
          <cell r="D2430" t="str">
            <v>PENRYN 1105</v>
          </cell>
          <cell r="E2430">
            <v>50550</v>
          </cell>
          <cell r="F2430" t="b">
            <v>1</v>
          </cell>
          <cell r="G2430">
            <v>16250.026578953701</v>
          </cell>
          <cell r="H2430">
            <v>0</v>
          </cell>
          <cell r="I2430">
            <v>127</v>
          </cell>
          <cell r="J2430">
            <v>1.2612218905435501E-4</v>
          </cell>
          <cell r="K2430">
            <v>1078</v>
          </cell>
          <cell r="L2430">
            <v>64.734532691734898</v>
          </cell>
          <cell r="M2430">
            <v>2124</v>
          </cell>
          <cell r="N2430">
            <v>6.6812758003533396E-3</v>
          </cell>
          <cell r="O2430">
            <v>2110</v>
          </cell>
          <cell r="P2430">
            <v>0.74</v>
          </cell>
          <cell r="Q2430">
            <v>790</v>
          </cell>
        </row>
        <row r="2431">
          <cell r="B2431" t="str">
            <v>PENRYN 110551676</v>
          </cell>
          <cell r="C2431">
            <v>152561105</v>
          </cell>
          <cell r="D2431" t="str">
            <v>PENRYN 1105</v>
          </cell>
          <cell r="E2431">
            <v>51676</v>
          </cell>
          <cell r="F2431" t="b">
            <v>0</v>
          </cell>
          <cell r="G2431">
            <v>18975.723221203501</v>
          </cell>
          <cell r="H2431">
            <v>12910.451563831301</v>
          </cell>
          <cell r="I2431">
            <v>145</v>
          </cell>
          <cell r="J2431">
            <v>1.5332487402764801E-4</v>
          </cell>
          <cell r="K2431">
            <v>718</v>
          </cell>
          <cell r="L2431">
            <v>372.99736701979401</v>
          </cell>
          <cell r="M2431">
            <v>1332</v>
          </cell>
          <cell r="N2431">
            <v>4.8603166305688297E-2</v>
          </cell>
          <cell r="O2431">
            <v>1191</v>
          </cell>
          <cell r="P2431">
            <v>1.53</v>
          </cell>
          <cell r="Q2431">
            <v>667</v>
          </cell>
        </row>
        <row r="2432">
          <cell r="B2432" t="str">
            <v>PENRYN 1105817491</v>
          </cell>
          <cell r="C2432">
            <v>152561105</v>
          </cell>
          <cell r="D2432" t="str">
            <v>PENRYN 1105</v>
          </cell>
          <cell r="E2432">
            <v>817491</v>
          </cell>
          <cell r="F2432" t="b">
            <v>0</v>
          </cell>
          <cell r="G2432">
            <v>3153.3615679311201</v>
          </cell>
          <cell r="H2432">
            <v>2279.4584152092102</v>
          </cell>
          <cell r="I2432">
            <v>24</v>
          </cell>
          <cell r="J2432">
            <v>1.05085648707851E-4</v>
          </cell>
          <cell r="K2432">
            <v>1523</v>
          </cell>
          <cell r="L2432">
            <v>532.84274623754595</v>
          </cell>
          <cell r="M2432">
            <v>1169</v>
          </cell>
          <cell r="N2432">
            <v>4.6182590584659802E-2</v>
          </cell>
          <cell r="O2432">
            <v>1221</v>
          </cell>
          <cell r="Q2432">
            <v>3191</v>
          </cell>
        </row>
        <row r="2433">
          <cell r="B2433" t="str">
            <v>PENRYN 1105CB</v>
          </cell>
          <cell r="C2433">
            <v>152561105</v>
          </cell>
          <cell r="D2433" t="str">
            <v>PENRYN 1105</v>
          </cell>
          <cell r="E2433" t="str">
            <v>CB</v>
          </cell>
          <cell r="F2433" t="b">
            <v>1</v>
          </cell>
          <cell r="G2433">
            <v>1663.8055887795899</v>
          </cell>
          <cell r="H2433">
            <v>978.50434872483902</v>
          </cell>
          <cell r="I2433">
            <v>7</v>
          </cell>
          <cell r="J2433">
            <v>2.9336276929825501E-4</v>
          </cell>
          <cell r="K2433">
            <v>136</v>
          </cell>
          <cell r="L2433">
            <v>117.597533397831</v>
          </cell>
          <cell r="M2433">
            <v>1884</v>
          </cell>
          <cell r="N2433">
            <v>3.5133054075027197E-2</v>
          </cell>
          <cell r="O2433">
            <v>1372</v>
          </cell>
          <cell r="P2433">
            <v>0.22</v>
          </cell>
          <cell r="Q2433">
            <v>1130</v>
          </cell>
        </row>
        <row r="2434">
          <cell r="B2434" t="str">
            <v>PENRYN 1106212772</v>
          </cell>
          <cell r="C2434">
            <v>152561106</v>
          </cell>
          <cell r="D2434" t="str">
            <v>PENRYN 1106</v>
          </cell>
          <cell r="E2434">
            <v>212772</v>
          </cell>
          <cell r="F2434" t="b">
            <v>0</v>
          </cell>
          <cell r="G2434">
            <v>1753.1584878557901</v>
          </cell>
          <cell r="H2434">
            <v>1609.19804008407</v>
          </cell>
          <cell r="I2434">
            <v>11</v>
          </cell>
          <cell r="J2434">
            <v>1.02272014191839E-4</v>
          </cell>
          <cell r="K2434">
            <v>1596</v>
          </cell>
          <cell r="L2434">
            <v>1767.7040962332301</v>
          </cell>
          <cell r="M2434">
            <v>510</v>
          </cell>
          <cell r="N2434">
            <v>0.18554156352149201</v>
          </cell>
          <cell r="O2434">
            <v>385</v>
          </cell>
          <cell r="Q2434">
            <v>3087</v>
          </cell>
        </row>
        <row r="2435">
          <cell r="B2435" t="str">
            <v>PENRYN 11072410</v>
          </cell>
          <cell r="C2435">
            <v>152561107</v>
          </cell>
          <cell r="D2435" t="str">
            <v>PENRYN 1107</v>
          </cell>
          <cell r="E2435">
            <v>2410</v>
          </cell>
          <cell r="F2435" t="b">
            <v>0</v>
          </cell>
          <cell r="G2435">
            <v>12099.1952310705</v>
          </cell>
          <cell r="H2435">
            <v>5248.3007510347197</v>
          </cell>
          <cell r="I2435">
            <v>96</v>
          </cell>
          <cell r="J2435">
            <v>1.12079582095248E-4</v>
          </cell>
          <cell r="K2435">
            <v>1366</v>
          </cell>
          <cell r="L2435">
            <v>705.39708015531198</v>
          </cell>
          <cell r="M2435">
            <v>1019</v>
          </cell>
          <cell r="N2435">
            <v>7.6748281900551801E-2</v>
          </cell>
          <cell r="O2435">
            <v>929</v>
          </cell>
          <cell r="P2435">
            <v>0.05</v>
          </cell>
          <cell r="Q2435">
            <v>1959</v>
          </cell>
        </row>
        <row r="2436">
          <cell r="B2436" t="str">
            <v>PENRYN 11072704</v>
          </cell>
          <cell r="C2436">
            <v>152561107</v>
          </cell>
          <cell r="D2436" t="str">
            <v>PENRYN 1107</v>
          </cell>
          <cell r="E2436">
            <v>2704</v>
          </cell>
          <cell r="F2436" t="b">
            <v>0</v>
          </cell>
          <cell r="G2436">
            <v>9132.5937281057595</v>
          </cell>
          <cell r="H2436">
            <v>2300.3426338767299</v>
          </cell>
          <cell r="I2436">
            <v>76</v>
          </cell>
          <cell r="J2436">
            <v>1.6087580235379299E-4</v>
          </cell>
          <cell r="K2436">
            <v>633</v>
          </cell>
          <cell r="L2436">
            <v>611.82818132090097</v>
          </cell>
          <cell r="M2436">
            <v>1093</v>
          </cell>
          <cell r="N2436">
            <v>9.3023275147318701E-2</v>
          </cell>
          <cell r="O2436">
            <v>807</v>
          </cell>
          <cell r="P2436">
            <v>0.54</v>
          </cell>
          <cell r="Q2436">
            <v>874</v>
          </cell>
        </row>
        <row r="2437">
          <cell r="B2437" t="str">
            <v>PENRYN 11072706</v>
          </cell>
          <cell r="C2437">
            <v>152561107</v>
          </cell>
          <cell r="D2437" t="str">
            <v>PENRYN 1107</v>
          </cell>
          <cell r="E2437">
            <v>2706</v>
          </cell>
          <cell r="F2437" t="b">
            <v>0</v>
          </cell>
          <cell r="G2437">
            <v>23999.908080780799</v>
          </cell>
          <cell r="H2437">
            <v>9304.8866724831805</v>
          </cell>
          <cell r="I2437">
            <v>190</v>
          </cell>
          <cell r="J2437">
            <v>1.4069706004719501E-4</v>
          </cell>
          <cell r="K2437">
            <v>858</v>
          </cell>
          <cell r="L2437">
            <v>837.75497191967099</v>
          </cell>
          <cell r="M2437">
            <v>918</v>
          </cell>
          <cell r="N2437">
            <v>9.7849872304402799E-2</v>
          </cell>
          <cell r="O2437">
            <v>777</v>
          </cell>
          <cell r="P2437">
            <v>0.94</v>
          </cell>
          <cell r="Q2437">
            <v>743</v>
          </cell>
        </row>
        <row r="2438">
          <cell r="B2438" t="str">
            <v>PENRYN 11072708</v>
          </cell>
          <cell r="C2438">
            <v>152561107</v>
          </cell>
          <cell r="D2438" t="str">
            <v>PENRYN 1107</v>
          </cell>
          <cell r="E2438">
            <v>2708</v>
          </cell>
          <cell r="F2438" t="b">
            <v>0</v>
          </cell>
          <cell r="G2438">
            <v>17128.5396172045</v>
          </cell>
          <cell r="H2438">
            <v>15094.999176794299</v>
          </cell>
          <cell r="I2438">
            <v>124</v>
          </cell>
          <cell r="J2438">
            <v>1.1703283736654E-4</v>
          </cell>
          <cell r="K2438">
            <v>1249</v>
          </cell>
          <cell r="L2438">
            <v>634.21201440080995</v>
          </cell>
          <cell r="M2438">
            <v>1074</v>
          </cell>
          <cell r="N2438">
            <v>5.8775321671275603E-2</v>
          </cell>
          <cell r="O2438">
            <v>1071</v>
          </cell>
          <cell r="P2438">
            <v>0.09</v>
          </cell>
          <cell r="Q2438">
            <v>1533</v>
          </cell>
        </row>
        <row r="2439">
          <cell r="B2439" t="str">
            <v>PENRYN 1107346</v>
          </cell>
          <cell r="C2439">
            <v>152561107</v>
          </cell>
          <cell r="D2439" t="str">
            <v>PENRYN 1107</v>
          </cell>
          <cell r="E2439">
            <v>346</v>
          </cell>
          <cell r="F2439" t="b">
            <v>0</v>
          </cell>
          <cell r="G2439">
            <v>40386.109901262898</v>
          </cell>
          <cell r="H2439">
            <v>22629.4943912177</v>
          </cell>
          <cell r="I2439">
            <v>309</v>
          </cell>
          <cell r="J2439">
            <v>1.39853573973802E-4</v>
          </cell>
          <cell r="K2439">
            <v>869</v>
          </cell>
          <cell r="L2439">
            <v>232.580000252291</v>
          </cell>
          <cell r="M2439">
            <v>1582</v>
          </cell>
          <cell r="N2439">
            <v>2.5706338150458599E-2</v>
          </cell>
          <cell r="O2439">
            <v>1538</v>
          </cell>
          <cell r="P2439">
            <v>7.0000000000000007E-2</v>
          </cell>
          <cell r="Q2439">
            <v>1770</v>
          </cell>
        </row>
        <row r="2440">
          <cell r="B2440" t="str">
            <v>PENRYN 110790970</v>
          </cell>
          <cell r="C2440">
            <v>152561107</v>
          </cell>
          <cell r="D2440" t="str">
            <v>PENRYN 1107</v>
          </cell>
          <cell r="E2440">
            <v>90970</v>
          </cell>
          <cell r="F2440" t="b">
            <v>0</v>
          </cell>
          <cell r="G2440">
            <v>6924.4220872428104</v>
          </cell>
          <cell r="H2440">
            <v>2317.6471538289802</v>
          </cell>
          <cell r="I2440">
            <v>45</v>
          </cell>
          <cell r="J2440">
            <v>1.47994294407412E-4</v>
          </cell>
          <cell r="K2440">
            <v>763</v>
          </cell>
          <cell r="L2440">
            <v>359.42995245310698</v>
          </cell>
          <cell r="M2440">
            <v>1356</v>
          </cell>
          <cell r="N2440">
            <v>5.1234027102928903E-2</v>
          </cell>
          <cell r="O2440">
            <v>1165</v>
          </cell>
          <cell r="P2440">
            <v>0.91</v>
          </cell>
          <cell r="Q2440">
            <v>749</v>
          </cell>
        </row>
        <row r="2441">
          <cell r="B2441" t="str">
            <v>PENRYN 1107CB</v>
          </cell>
          <cell r="C2441">
            <v>152561107</v>
          </cell>
          <cell r="D2441" t="str">
            <v>PENRYN 1107</v>
          </cell>
          <cell r="E2441" t="str">
            <v>CB</v>
          </cell>
          <cell r="F2441" t="b">
            <v>0</v>
          </cell>
          <cell r="G2441">
            <v>25933.755775576799</v>
          </cell>
          <cell r="H2441">
            <v>8735.2446413490106</v>
          </cell>
          <cell r="I2441">
            <v>200</v>
          </cell>
          <cell r="J2441">
            <v>1.4635781144305601E-4</v>
          </cell>
          <cell r="K2441">
            <v>784</v>
          </cell>
          <cell r="L2441">
            <v>521.671446249817</v>
          </cell>
          <cell r="M2441">
            <v>1181</v>
          </cell>
          <cell r="N2441">
            <v>7.2647428768316605E-2</v>
          </cell>
          <cell r="O2441">
            <v>960</v>
          </cell>
          <cell r="P2441">
            <v>0.55000000000000004</v>
          </cell>
          <cell r="Q2441">
            <v>869</v>
          </cell>
        </row>
        <row r="2442">
          <cell r="B2442" t="str">
            <v>PEORIA 1701169700</v>
          </cell>
          <cell r="C2442">
            <v>163781701</v>
          </cell>
          <cell r="D2442" t="str">
            <v>PEORIA 1701</v>
          </cell>
          <cell r="E2442">
            <v>169700</v>
          </cell>
          <cell r="F2442" t="b">
            <v>0</v>
          </cell>
          <cell r="G2442">
            <v>13421.5221661657</v>
          </cell>
          <cell r="H2442">
            <v>13421.5221661657</v>
          </cell>
          <cell r="I2442">
            <v>63</v>
          </cell>
          <cell r="J2442">
            <v>7.40105099375507E-5</v>
          </cell>
          <cell r="K2442">
            <v>2357</v>
          </cell>
          <cell r="L2442">
            <v>25.345969789794498</v>
          </cell>
          <cell r="M2442">
            <v>2387</v>
          </cell>
          <cell r="N2442">
            <v>1.9730327739274599E-3</v>
          </cell>
          <cell r="O2442">
            <v>2479</v>
          </cell>
          <cell r="Q2442">
            <v>2693</v>
          </cell>
        </row>
        <row r="2443">
          <cell r="B2443" t="str">
            <v>PEORIA 17013186</v>
          </cell>
          <cell r="C2443">
            <v>163781701</v>
          </cell>
          <cell r="D2443" t="str">
            <v>PEORIA 1701</v>
          </cell>
          <cell r="E2443">
            <v>3186</v>
          </cell>
          <cell r="F2443" t="b">
            <v>0</v>
          </cell>
          <cell r="G2443">
            <v>15806.1877194258</v>
          </cell>
          <cell r="H2443">
            <v>15806.1877194258</v>
          </cell>
          <cell r="I2443">
            <v>143</v>
          </cell>
          <cell r="J2443">
            <v>7.9358048277900498E-5</v>
          </cell>
          <cell r="K2443">
            <v>2223</v>
          </cell>
          <cell r="L2443">
            <v>0.39871393071187899</v>
          </cell>
          <cell r="M2443">
            <v>2917</v>
          </cell>
          <cell r="N2443">
            <v>3.1550838587939697E-5</v>
          </cell>
          <cell r="O2443">
            <v>2929</v>
          </cell>
          <cell r="P2443">
            <v>0.04</v>
          </cell>
          <cell r="Q2443">
            <v>2226</v>
          </cell>
        </row>
        <row r="2444">
          <cell r="B2444" t="str">
            <v>PEORIA 170169124</v>
          </cell>
          <cell r="C2444">
            <v>163781701</v>
          </cell>
          <cell r="D2444" t="str">
            <v>PEORIA 1701</v>
          </cell>
          <cell r="E2444">
            <v>69124</v>
          </cell>
          <cell r="F2444" t="b">
            <v>0</v>
          </cell>
          <cell r="G2444">
            <v>4347.27916763126</v>
          </cell>
          <cell r="H2444">
            <v>4347.27916763126</v>
          </cell>
          <cell r="I2444">
            <v>33</v>
          </cell>
          <cell r="J2444">
            <v>8.5315118750176297E-5</v>
          </cell>
          <cell r="K2444">
            <v>2047</v>
          </cell>
          <cell r="L2444">
            <v>1.5063206670862199</v>
          </cell>
          <cell r="M2444">
            <v>2864</v>
          </cell>
          <cell r="N2444">
            <v>1.09169720983147E-4</v>
          </cell>
          <cell r="O2444">
            <v>2871</v>
          </cell>
          <cell r="P2444">
            <v>0.05</v>
          </cell>
          <cell r="Q2444">
            <v>2055</v>
          </cell>
        </row>
        <row r="2445">
          <cell r="B2445" t="str">
            <v>PEORIA 170176030</v>
          </cell>
          <cell r="C2445">
            <v>163781701</v>
          </cell>
          <cell r="D2445" t="str">
            <v>PEORIA 1701</v>
          </cell>
          <cell r="E2445">
            <v>76030</v>
          </cell>
          <cell r="F2445" t="b">
            <v>0</v>
          </cell>
          <cell r="G2445">
            <v>10072.83551302</v>
          </cell>
          <cell r="H2445">
            <v>8222.4339479598402</v>
          </cell>
          <cell r="I2445">
            <v>55</v>
          </cell>
          <cell r="J2445">
            <v>9.5569959309862199E-5</v>
          </cell>
          <cell r="K2445">
            <v>1739</v>
          </cell>
          <cell r="L2445">
            <v>498.73265173557098</v>
          </cell>
          <cell r="M2445">
            <v>1202</v>
          </cell>
          <cell r="N2445">
            <v>4.0366079168934303E-2</v>
          </cell>
          <cell r="O2445">
            <v>1298</v>
          </cell>
          <cell r="P2445">
            <v>0.02</v>
          </cell>
          <cell r="Q2445">
            <v>2538</v>
          </cell>
        </row>
        <row r="2446">
          <cell r="B2446" t="str">
            <v>PEORIA 170184318</v>
          </cell>
          <cell r="C2446">
            <v>163781701</v>
          </cell>
          <cell r="D2446" t="str">
            <v>PEORIA 1701</v>
          </cell>
          <cell r="E2446">
            <v>84318</v>
          </cell>
          <cell r="F2446" t="b">
            <v>0</v>
          </cell>
          <cell r="G2446">
            <v>16486.090180155799</v>
          </cell>
          <cell r="H2446">
            <v>16486.090180155799</v>
          </cell>
          <cell r="I2446">
            <v>142</v>
          </cell>
          <cell r="J2446">
            <v>8.5469625497660697E-5</v>
          </cell>
          <cell r="K2446">
            <v>2041</v>
          </cell>
          <cell r="L2446">
            <v>8.7666049838905593</v>
          </cell>
          <cell r="M2446">
            <v>2648</v>
          </cell>
          <cell r="N2446">
            <v>3.3804139062639503E-4</v>
          </cell>
          <cell r="O2446">
            <v>2785</v>
          </cell>
          <cell r="P2446">
            <v>0.05</v>
          </cell>
          <cell r="Q2446">
            <v>2065</v>
          </cell>
        </row>
        <row r="2447">
          <cell r="B2447" t="str">
            <v>PEORIA 170190090</v>
          </cell>
          <cell r="C2447">
            <v>163781701</v>
          </cell>
          <cell r="D2447" t="str">
            <v>PEORIA 1701</v>
          </cell>
          <cell r="E2447">
            <v>90090</v>
          </cell>
          <cell r="F2447" t="b">
            <v>0</v>
          </cell>
          <cell r="G2447">
            <v>48332.111004527302</v>
          </cell>
          <cell r="H2447">
            <v>48332.111004527302</v>
          </cell>
          <cell r="I2447">
            <v>168</v>
          </cell>
          <cell r="J2447">
            <v>9.2358661421291407E-5</v>
          </cell>
          <cell r="K2447">
            <v>1833</v>
          </cell>
          <cell r="L2447">
            <v>1129.7718372529</v>
          </cell>
          <cell r="M2447">
            <v>764</v>
          </cell>
          <cell r="N2447">
            <v>9.6920370929994407E-2</v>
          </cell>
          <cell r="O2447">
            <v>780</v>
          </cell>
          <cell r="P2447">
            <v>0.05</v>
          </cell>
          <cell r="Q2447">
            <v>2011</v>
          </cell>
        </row>
        <row r="2448">
          <cell r="B2448" t="str">
            <v>PEORIA 17019811</v>
          </cell>
          <cell r="C2448">
            <v>163781701</v>
          </cell>
          <cell r="D2448" t="str">
            <v>PEORIA 1701</v>
          </cell>
          <cell r="E2448">
            <v>9811</v>
          </cell>
          <cell r="F2448" t="b">
            <v>0</v>
          </cell>
          <cell r="G2448">
            <v>14351.9183694734</v>
          </cell>
          <cell r="H2448">
            <v>5776.4656675406004</v>
          </cell>
          <cell r="I2448">
            <v>92</v>
          </cell>
          <cell r="J2448">
            <v>8.2867947639897398E-5</v>
          </cell>
          <cell r="K2448">
            <v>2133</v>
          </cell>
          <cell r="L2448">
            <v>845.35803289695195</v>
          </cell>
          <cell r="M2448">
            <v>914</v>
          </cell>
          <cell r="N2448">
            <v>9.5333213465855299E-2</v>
          </cell>
          <cell r="O2448">
            <v>788</v>
          </cell>
          <cell r="P2448">
            <v>0.03</v>
          </cell>
          <cell r="Q2448">
            <v>2316</v>
          </cell>
        </row>
        <row r="2449">
          <cell r="B2449" t="str">
            <v>PEORIA 1701CB</v>
          </cell>
          <cell r="C2449">
            <v>163781701</v>
          </cell>
          <cell r="D2449" t="str">
            <v>PEORIA 1701</v>
          </cell>
          <cell r="E2449" t="str">
            <v>CB</v>
          </cell>
          <cell r="F2449" t="b">
            <v>0</v>
          </cell>
          <cell r="G2449">
            <v>14117.793314746101</v>
          </cell>
          <cell r="H2449">
            <v>14117.793314746101</v>
          </cell>
          <cell r="I2449">
            <v>70</v>
          </cell>
          <cell r="J2449">
            <v>8.3931957877731594E-5</v>
          </cell>
          <cell r="K2449">
            <v>2095</v>
          </cell>
          <cell r="L2449">
            <v>1625.1548691179</v>
          </cell>
          <cell r="M2449">
            <v>551</v>
          </cell>
          <cell r="N2449">
            <v>0.13063135751754501</v>
          </cell>
          <cell r="O2449">
            <v>601</v>
          </cell>
          <cell r="P2449">
            <v>0.03</v>
          </cell>
          <cell r="Q2449">
            <v>2355</v>
          </cell>
        </row>
        <row r="2450">
          <cell r="B2450" t="str">
            <v>PEORIA 170411232</v>
          </cell>
          <cell r="C2450">
            <v>163781704</v>
          </cell>
          <cell r="D2450" t="str">
            <v>PEORIA 1704</v>
          </cell>
          <cell r="E2450">
            <v>11232</v>
          </cell>
          <cell r="F2450" t="b">
            <v>0</v>
          </cell>
          <cell r="G2450">
            <v>27747.6591195939</v>
          </cell>
          <cell r="H2450">
            <v>20505.6080493462</v>
          </cell>
          <cell r="I2450">
            <v>222</v>
          </cell>
          <cell r="J2450">
            <v>7.7667505228509094E-5</v>
          </cell>
          <cell r="K2450">
            <v>2269</v>
          </cell>
          <cell r="L2450">
            <v>1686.0292393704301</v>
          </cell>
          <cell r="M2450">
            <v>527</v>
          </cell>
          <cell r="N2450">
            <v>0.116564131704664</v>
          </cell>
          <cell r="O2450">
            <v>665</v>
          </cell>
          <cell r="P2450">
            <v>3.3</v>
          </cell>
          <cell r="Q2450">
            <v>550</v>
          </cell>
        </row>
        <row r="2451">
          <cell r="B2451" t="str">
            <v>PEORIA 170413490</v>
          </cell>
          <cell r="C2451">
            <v>163781704</v>
          </cell>
          <cell r="D2451" t="str">
            <v>PEORIA 1704</v>
          </cell>
          <cell r="E2451">
            <v>13490</v>
          </cell>
          <cell r="F2451" t="b">
            <v>0</v>
          </cell>
          <cell r="G2451">
            <v>8773.5040432802798</v>
          </cell>
          <cell r="H2451">
            <v>6875.4255852341003</v>
          </cell>
          <cell r="I2451">
            <v>49</v>
          </cell>
          <cell r="J2451">
            <v>1.5838060759012799E-4</v>
          </cell>
          <cell r="K2451">
            <v>660</v>
          </cell>
          <cell r="L2451">
            <v>538.43807523350597</v>
          </cell>
          <cell r="M2451">
            <v>1161</v>
          </cell>
          <cell r="N2451">
            <v>7.1877638045708597E-2</v>
          </cell>
          <cell r="O2451">
            <v>967</v>
          </cell>
          <cell r="P2451">
            <v>0.05</v>
          </cell>
          <cell r="Q2451">
            <v>1975</v>
          </cell>
        </row>
        <row r="2452">
          <cell r="B2452" t="str">
            <v>PEORIA 170413494</v>
          </cell>
          <cell r="C2452">
            <v>163781704</v>
          </cell>
          <cell r="D2452" t="str">
            <v>PEORIA 1704</v>
          </cell>
          <cell r="E2452">
            <v>13494</v>
          </cell>
          <cell r="F2452" t="b">
            <v>0</v>
          </cell>
          <cell r="G2452">
            <v>12093.2449289913</v>
          </cell>
          <cell r="H2452">
            <v>4454.7349886901202</v>
          </cell>
          <cell r="I2452">
            <v>93</v>
          </cell>
          <cell r="J2452">
            <v>8.9665479277090294E-5</v>
          </cell>
          <cell r="K2452">
            <v>1924</v>
          </cell>
          <cell r="L2452">
            <v>170.620158660513</v>
          </cell>
          <cell r="M2452">
            <v>1712</v>
          </cell>
          <cell r="N2452">
            <v>1.5212467845807201E-2</v>
          </cell>
          <cell r="O2452">
            <v>1775</v>
          </cell>
          <cell r="P2452">
            <v>2.5499999999999998</v>
          </cell>
          <cell r="Q2452">
            <v>598</v>
          </cell>
        </row>
        <row r="2453">
          <cell r="B2453" t="str">
            <v>PEORIA 170459596</v>
          </cell>
          <cell r="C2453">
            <v>163781704</v>
          </cell>
          <cell r="D2453" t="str">
            <v>PEORIA 1704</v>
          </cell>
          <cell r="E2453">
            <v>59596</v>
          </cell>
          <cell r="F2453" t="b">
            <v>0</v>
          </cell>
          <cell r="G2453">
            <v>58128.597258170703</v>
          </cell>
          <cell r="H2453">
            <v>33598.812961770498</v>
          </cell>
          <cell r="I2453">
            <v>294</v>
          </cell>
          <cell r="J2453">
            <v>6.8689289635075898E-5</v>
          </cell>
          <cell r="K2453">
            <v>2517</v>
          </cell>
          <cell r="L2453">
            <v>659.40107344619605</v>
          </cell>
          <cell r="M2453">
            <v>1054</v>
          </cell>
          <cell r="N2453">
            <v>4.7552915704415097E-2</v>
          </cell>
          <cell r="O2453">
            <v>1203</v>
          </cell>
          <cell r="P2453">
            <v>0.08</v>
          </cell>
          <cell r="Q2453">
            <v>1603</v>
          </cell>
        </row>
        <row r="2454">
          <cell r="B2454" t="str">
            <v>PEORIA 17046090</v>
          </cell>
          <cell r="C2454">
            <v>163781704</v>
          </cell>
          <cell r="D2454" t="str">
            <v>PEORIA 1704</v>
          </cell>
          <cell r="E2454">
            <v>6090</v>
          </cell>
          <cell r="F2454" t="b">
            <v>1</v>
          </cell>
          <cell r="G2454">
            <v>1284.8209511258301</v>
          </cell>
          <cell r="H2454">
            <v>879.542099649899</v>
          </cell>
          <cell r="I2454">
            <v>10</v>
          </cell>
          <cell r="J2454">
            <v>1.57757885608589E-4</v>
          </cell>
          <cell r="K2454">
            <v>667</v>
          </cell>
          <cell r="L2454">
            <v>641.96984608928597</v>
          </cell>
          <cell r="M2454">
            <v>1070</v>
          </cell>
          <cell r="N2454">
            <v>0.16726324918110599</v>
          </cell>
          <cell r="O2454">
            <v>445</v>
          </cell>
          <cell r="P2454">
            <v>0.04</v>
          </cell>
          <cell r="Q2454">
            <v>2133</v>
          </cell>
        </row>
        <row r="2455">
          <cell r="B2455" t="str">
            <v>PEORIA 17048040</v>
          </cell>
          <cell r="C2455">
            <v>163781704</v>
          </cell>
          <cell r="D2455" t="str">
            <v>PEORIA 1704</v>
          </cell>
          <cell r="E2455">
            <v>8040</v>
          </cell>
          <cell r="F2455" t="b">
            <v>0</v>
          </cell>
          <cell r="G2455">
            <v>41434.284877965998</v>
          </cell>
          <cell r="H2455">
            <v>11785.984708100599</v>
          </cell>
          <cell r="I2455">
            <v>145</v>
          </cell>
          <cell r="J2455">
            <v>5.9130706399405602E-5</v>
          </cell>
          <cell r="K2455">
            <v>2803</v>
          </cell>
          <cell r="L2455">
            <v>495.05597585812399</v>
          </cell>
          <cell r="M2455">
            <v>1206</v>
          </cell>
          <cell r="N2455">
            <v>2.98704667900388E-2</v>
          </cell>
          <cell r="O2455">
            <v>1465</v>
          </cell>
          <cell r="P2455">
            <v>0.01</v>
          </cell>
          <cell r="Q2455">
            <v>2600</v>
          </cell>
        </row>
        <row r="2456">
          <cell r="B2456" t="str">
            <v>PEORIA 1704877670</v>
          </cell>
          <cell r="C2456">
            <v>163781704</v>
          </cell>
          <cell r="D2456" t="str">
            <v>PEORIA 1704</v>
          </cell>
          <cell r="E2456">
            <v>877670</v>
          </cell>
          <cell r="F2456" t="b">
            <v>0</v>
          </cell>
          <cell r="G2456">
            <v>10595.299624601201</v>
          </cell>
          <cell r="H2456">
            <v>10595.299624601201</v>
          </cell>
          <cell r="I2456">
            <v>28</v>
          </cell>
          <cell r="J2456">
            <v>7.9344904796536296E-5</v>
          </cell>
          <cell r="K2456">
            <v>2225</v>
          </cell>
          <cell r="L2456">
            <v>1606.40273855839</v>
          </cell>
          <cell r="M2456">
            <v>561</v>
          </cell>
          <cell r="N2456">
            <v>0.126256078903312</v>
          </cell>
          <cell r="O2456">
            <v>619</v>
          </cell>
          <cell r="P2456">
            <v>0.06</v>
          </cell>
          <cell r="Q2456">
            <v>1803</v>
          </cell>
        </row>
        <row r="2457">
          <cell r="B2457" t="str">
            <v>PEORIA 170488630</v>
          </cell>
          <cell r="C2457">
            <v>163781704</v>
          </cell>
          <cell r="D2457" t="str">
            <v>PEORIA 1704</v>
          </cell>
          <cell r="E2457">
            <v>88630</v>
          </cell>
          <cell r="F2457" t="b">
            <v>0</v>
          </cell>
          <cell r="G2457">
            <v>1252.5971018190201</v>
          </cell>
          <cell r="H2457">
            <v>1252.5971018190201</v>
          </cell>
          <cell r="I2457">
            <v>6</v>
          </cell>
          <cell r="J2457">
            <v>6.5372232711524703E-5</v>
          </cell>
          <cell r="K2457">
            <v>2605</v>
          </cell>
          <cell r="L2457">
            <v>876.41348023712601</v>
          </cell>
          <cell r="M2457">
            <v>895</v>
          </cell>
          <cell r="N2457">
            <v>4.6841543057133901E-2</v>
          </cell>
          <cell r="O2457">
            <v>1214</v>
          </cell>
          <cell r="P2457">
            <v>0.03</v>
          </cell>
          <cell r="Q2457">
            <v>2399</v>
          </cell>
        </row>
        <row r="2458">
          <cell r="B2458" t="str">
            <v>PEORIA 170492888</v>
          </cell>
          <cell r="C2458">
            <v>163781704</v>
          </cell>
          <cell r="D2458" t="str">
            <v>PEORIA 1704</v>
          </cell>
          <cell r="E2458">
            <v>92888</v>
          </cell>
          <cell r="F2458" t="b">
            <v>1</v>
          </cell>
          <cell r="G2458">
            <v>765.36209800593497</v>
          </cell>
          <cell r="H2458">
            <v>400.60246466308399</v>
          </cell>
          <cell r="I2458">
            <v>4</v>
          </cell>
          <cell r="J2458">
            <v>1.0690745875763201E-4</v>
          </cell>
          <cell r="K2458">
            <v>1480</v>
          </cell>
          <cell r="L2458">
            <v>2347.6932373046802</v>
          </cell>
          <cell r="M2458">
            <v>375</v>
          </cell>
          <cell r="N2458">
            <v>0.23471269983066201</v>
          </cell>
          <cell r="O2458">
            <v>248</v>
          </cell>
          <cell r="P2458">
            <v>0.01</v>
          </cell>
          <cell r="Q2458">
            <v>2581</v>
          </cell>
        </row>
        <row r="2459">
          <cell r="B2459" t="str">
            <v>PEORIA 1704CB</v>
          </cell>
          <cell r="C2459">
            <v>163781704</v>
          </cell>
          <cell r="D2459" t="str">
            <v>PEORIA 1704</v>
          </cell>
          <cell r="E2459" t="str">
            <v>CB</v>
          </cell>
          <cell r="F2459" t="b">
            <v>0</v>
          </cell>
          <cell r="G2459">
            <v>14181.9325029517</v>
          </cell>
          <cell r="H2459">
            <v>13470.241236797199</v>
          </cell>
          <cell r="I2459">
            <v>64</v>
          </cell>
          <cell r="J2459">
            <v>8.69255684573011E-5</v>
          </cell>
          <cell r="K2459">
            <v>2014</v>
          </cell>
          <cell r="L2459">
            <v>1158.11565934695</v>
          </cell>
          <cell r="M2459">
            <v>750</v>
          </cell>
          <cell r="N2459">
            <v>9.4159441503783095E-2</v>
          </cell>
          <cell r="O2459">
            <v>800</v>
          </cell>
          <cell r="P2459">
            <v>0.04</v>
          </cell>
          <cell r="Q2459">
            <v>2092</v>
          </cell>
        </row>
        <row r="2460">
          <cell r="B2460" t="str">
            <v>PEORIA 170510580</v>
          </cell>
          <cell r="C2460">
            <v>163781705</v>
          </cell>
          <cell r="D2460" t="str">
            <v>PEORIA 1705</v>
          </cell>
          <cell r="E2460">
            <v>10580</v>
          </cell>
          <cell r="F2460" t="b">
            <v>0</v>
          </cell>
          <cell r="G2460">
            <v>18949.201863595401</v>
          </cell>
          <cell r="H2460">
            <v>12416.9837405527</v>
          </cell>
          <cell r="I2460">
            <v>129</v>
          </cell>
          <cell r="J2460">
            <v>1.018678043323E-4</v>
          </cell>
          <cell r="K2460">
            <v>1606</v>
          </cell>
          <cell r="L2460">
            <v>1422.4147186134901</v>
          </cell>
          <cell r="M2460">
            <v>630</v>
          </cell>
          <cell r="N2460">
            <v>8.8488710525104902E-2</v>
          </cell>
          <cell r="O2460">
            <v>835</v>
          </cell>
          <cell r="P2460">
            <v>0.05</v>
          </cell>
          <cell r="Q2460">
            <v>1984</v>
          </cell>
        </row>
        <row r="2461">
          <cell r="B2461" t="str">
            <v>PEORIA 17051834</v>
          </cell>
          <cell r="C2461">
            <v>163781705</v>
          </cell>
          <cell r="D2461" t="str">
            <v>PEORIA 1705</v>
          </cell>
          <cell r="E2461">
            <v>1834</v>
          </cell>
          <cell r="F2461" t="b">
            <v>0</v>
          </cell>
          <cell r="G2461">
            <v>38353.1383344645</v>
          </cell>
          <cell r="H2461">
            <v>37922.708426251498</v>
          </cell>
          <cell r="I2461">
            <v>217</v>
          </cell>
          <cell r="J2461">
            <v>8.1071463763120907E-5</v>
          </cell>
          <cell r="K2461">
            <v>2182</v>
          </cell>
          <cell r="L2461">
            <v>531.07575548553496</v>
          </cell>
          <cell r="M2461">
            <v>1172</v>
          </cell>
          <cell r="N2461">
            <v>4.1580955499790302E-2</v>
          </cell>
          <cell r="O2461">
            <v>1280</v>
          </cell>
          <cell r="P2461">
            <v>0.17</v>
          </cell>
          <cell r="Q2461">
            <v>1247</v>
          </cell>
        </row>
        <row r="2462">
          <cell r="B2462" t="str">
            <v>PEORIA 17056697</v>
          </cell>
          <cell r="C2462">
            <v>163781705</v>
          </cell>
          <cell r="D2462" t="str">
            <v>PEORIA 1705</v>
          </cell>
          <cell r="E2462">
            <v>6697</v>
          </cell>
          <cell r="F2462" t="b">
            <v>0</v>
          </cell>
          <cell r="G2462">
            <v>6657.3540886727096</v>
          </cell>
          <cell r="H2462">
            <v>6657.3540886727096</v>
          </cell>
          <cell r="I2462">
            <v>46</v>
          </cell>
          <cell r="J2462">
            <v>1.04758696065603E-4</v>
          </cell>
          <cell r="K2462">
            <v>1534</v>
          </cell>
          <cell r="L2462">
            <v>551.778485829739</v>
          </cell>
          <cell r="M2462">
            <v>1143</v>
          </cell>
          <cell r="N2462">
            <v>5.5767033933844197E-2</v>
          </cell>
          <cell r="O2462">
            <v>1111</v>
          </cell>
          <cell r="P2462">
            <v>0.1</v>
          </cell>
          <cell r="Q2462">
            <v>1462</v>
          </cell>
        </row>
        <row r="2463">
          <cell r="B2463" t="str">
            <v>PEORIA 170567898</v>
          </cell>
          <cell r="C2463">
            <v>163781705</v>
          </cell>
          <cell r="D2463" t="str">
            <v>PEORIA 1705</v>
          </cell>
          <cell r="E2463">
            <v>67898</v>
          </cell>
          <cell r="F2463" t="b">
            <v>0</v>
          </cell>
          <cell r="G2463">
            <v>9738.63441129292</v>
          </cell>
          <cell r="H2463">
            <v>6917.4776681823096</v>
          </cell>
          <cell r="I2463">
            <v>70</v>
          </cell>
          <cell r="J2463">
            <v>1.02257856841398E-4</v>
          </cell>
          <cell r="K2463">
            <v>1597</v>
          </cell>
          <cell r="L2463">
            <v>138.196953634811</v>
          </cell>
          <cell r="M2463">
            <v>1816</v>
          </cell>
          <cell r="N2463">
            <v>1.40369470255462E-2</v>
          </cell>
          <cell r="O2463">
            <v>1819</v>
          </cell>
          <cell r="P2463">
            <v>0.06</v>
          </cell>
          <cell r="Q2463">
            <v>1819</v>
          </cell>
        </row>
        <row r="2464">
          <cell r="B2464" t="str">
            <v>PEORIA 170570198</v>
          </cell>
          <cell r="C2464">
            <v>163781705</v>
          </cell>
          <cell r="D2464" t="str">
            <v>PEORIA 1705</v>
          </cell>
          <cell r="E2464">
            <v>70198</v>
          </cell>
          <cell r="F2464" t="b">
            <v>0</v>
          </cell>
          <cell r="G2464">
            <v>5102.4846527256504</v>
          </cell>
          <cell r="H2464">
            <v>3628.2739120820302</v>
          </cell>
          <cell r="I2464">
            <v>36</v>
          </cell>
          <cell r="J2464">
            <v>9.8287974146337004E-5</v>
          </cell>
          <cell r="K2464">
            <v>1685</v>
          </cell>
          <cell r="L2464">
            <v>164.13548216534099</v>
          </cell>
          <cell r="M2464">
            <v>1736</v>
          </cell>
          <cell r="N2464">
            <v>1.01970265572532E-2</v>
          </cell>
          <cell r="O2464">
            <v>1951</v>
          </cell>
          <cell r="P2464">
            <v>7.0000000000000007E-2</v>
          </cell>
          <cell r="Q2464">
            <v>1763</v>
          </cell>
        </row>
        <row r="2465">
          <cell r="B2465" t="str">
            <v>PEORIA 170575274</v>
          </cell>
          <cell r="C2465">
            <v>163781705</v>
          </cell>
          <cell r="D2465" t="str">
            <v>PEORIA 1705</v>
          </cell>
          <cell r="E2465">
            <v>75274</v>
          </cell>
          <cell r="F2465" t="b">
            <v>1</v>
          </cell>
          <cell r="G2465">
            <v>5361.6388906482698</v>
          </cell>
          <cell r="H2465">
            <v>623.71224661862595</v>
          </cell>
          <cell r="I2465">
            <v>43</v>
          </cell>
          <cell r="J2465">
            <v>7.4779472375074695E-5</v>
          </cell>
          <cell r="K2465">
            <v>2337</v>
          </cell>
          <cell r="L2465">
            <v>100.479449778448</v>
          </cell>
          <cell r="M2465">
            <v>1953</v>
          </cell>
          <cell r="N2465">
            <v>8.8330717756568405E-3</v>
          </cell>
          <cell r="O2465">
            <v>2013</v>
          </cell>
          <cell r="P2465">
            <v>2.09</v>
          </cell>
          <cell r="Q2465">
            <v>623</v>
          </cell>
        </row>
        <row r="2466">
          <cell r="B2466" t="str">
            <v>PEORIA 170587222</v>
          </cell>
          <cell r="C2466">
            <v>163781705</v>
          </cell>
          <cell r="D2466" t="str">
            <v>PEORIA 1705</v>
          </cell>
          <cell r="E2466">
            <v>87222</v>
          </cell>
          <cell r="F2466" t="b">
            <v>0</v>
          </cell>
          <cell r="G2466">
            <v>8479.9139963401394</v>
          </cell>
          <cell r="H2466">
            <v>8240.0572957196491</v>
          </cell>
          <cell r="I2466">
            <v>57</v>
          </cell>
          <cell r="J2466">
            <v>1.04973331760623E-4</v>
          </cell>
          <cell r="K2466">
            <v>1529</v>
          </cell>
          <cell r="L2466">
            <v>10.486857675930899</v>
          </cell>
          <cell r="M2466">
            <v>2620</v>
          </cell>
          <cell r="N2466">
            <v>1.00308455418466E-3</v>
          </cell>
          <cell r="O2466">
            <v>2632</v>
          </cell>
          <cell r="P2466">
            <v>0.1</v>
          </cell>
          <cell r="Q2466">
            <v>1504</v>
          </cell>
        </row>
        <row r="2467">
          <cell r="B2467" t="str">
            <v>PEORIA 170590374</v>
          </cell>
          <cell r="C2467">
            <v>163781705</v>
          </cell>
          <cell r="D2467" t="str">
            <v>PEORIA 1705</v>
          </cell>
          <cell r="E2467">
            <v>90374</v>
          </cell>
          <cell r="F2467" t="b">
            <v>0</v>
          </cell>
          <cell r="G2467">
            <v>7135.3674876661398</v>
          </cell>
          <cell r="H2467">
            <v>6578.4615269841597</v>
          </cell>
          <cell r="I2467">
            <v>48</v>
          </cell>
          <cell r="J2467">
            <v>9.4382077425810397E-5</v>
          </cell>
          <cell r="K2467">
            <v>1784</v>
          </cell>
          <cell r="L2467">
            <v>3.53100361706068</v>
          </cell>
          <cell r="M2467">
            <v>2791</v>
          </cell>
          <cell r="N2467">
            <v>4.5920409312720799E-4</v>
          </cell>
          <cell r="O2467">
            <v>2743</v>
          </cell>
          <cell r="P2467">
            <v>0.06</v>
          </cell>
          <cell r="Q2467">
            <v>1794</v>
          </cell>
        </row>
        <row r="2468">
          <cell r="B2468" t="str">
            <v>PEORIA 1705999</v>
          </cell>
          <cell r="C2468">
            <v>163781705</v>
          </cell>
          <cell r="D2468" t="str">
            <v>PEORIA 1705</v>
          </cell>
          <cell r="E2468">
            <v>999</v>
          </cell>
          <cell r="F2468" t="b">
            <v>0</v>
          </cell>
          <cell r="G2468">
            <v>3715.0603618738301</v>
          </cell>
          <cell r="H2468">
            <v>3715.0603618738301</v>
          </cell>
          <cell r="I2468">
            <v>22</v>
          </cell>
          <cell r="J2468">
            <v>1.0639202909343E-4</v>
          </cell>
          <cell r="K2468">
            <v>1488</v>
          </cell>
          <cell r="L2468">
            <v>1017.49403329193</v>
          </cell>
          <cell r="M2468">
            <v>818</v>
          </cell>
          <cell r="N2468">
            <v>7.4075025393425906E-2</v>
          </cell>
          <cell r="O2468">
            <v>944</v>
          </cell>
          <cell r="P2468">
            <v>0.09</v>
          </cell>
          <cell r="Q2468">
            <v>1529</v>
          </cell>
        </row>
        <row r="2469">
          <cell r="B2469" t="str">
            <v>PEORIA 1705CB</v>
          </cell>
          <cell r="C2469">
            <v>163781705</v>
          </cell>
          <cell r="D2469" t="str">
            <v>PEORIA 1705</v>
          </cell>
          <cell r="E2469" t="str">
            <v>CB</v>
          </cell>
          <cell r="F2469" t="b">
            <v>0</v>
          </cell>
          <cell r="G2469">
            <v>11342.472803180701</v>
          </cell>
          <cell r="H2469">
            <v>11342.472803180701</v>
          </cell>
          <cell r="I2469">
            <v>33</v>
          </cell>
          <cell r="J2469">
            <v>9.1397441733974004E-5</v>
          </cell>
          <cell r="K2469">
            <v>1864</v>
          </cell>
          <cell r="L2469">
            <v>1823.59218662074</v>
          </cell>
          <cell r="M2469">
            <v>499</v>
          </cell>
          <cell r="N2469">
            <v>0.22294101004831701</v>
          </cell>
          <cell r="O2469">
            <v>280</v>
          </cell>
          <cell r="P2469">
            <v>1.24</v>
          </cell>
          <cell r="Q2469">
            <v>696</v>
          </cell>
        </row>
        <row r="2470">
          <cell r="B2470" t="str">
            <v>PERRY 110185870</v>
          </cell>
          <cell r="C2470">
            <v>183071101</v>
          </cell>
          <cell r="D2470" t="str">
            <v>PERRY 1101</v>
          </cell>
          <cell r="E2470">
            <v>85870</v>
          </cell>
          <cell r="F2470" t="b">
            <v>0</v>
          </cell>
          <cell r="G2470">
            <v>27055.957072463199</v>
          </cell>
          <cell r="H2470">
            <v>18409.116918920299</v>
          </cell>
          <cell r="I2470">
            <v>109</v>
          </cell>
          <cell r="J2470">
            <v>5.89696109077564E-5</v>
          </cell>
          <cell r="K2470">
            <v>2807</v>
          </cell>
          <cell r="L2470">
            <v>581.24081131221203</v>
          </cell>
          <cell r="M2470">
            <v>1122</v>
          </cell>
          <cell r="N2470">
            <v>3.1501639181249999E-2</v>
          </cell>
          <cell r="O2470">
            <v>1436</v>
          </cell>
          <cell r="P2470">
            <v>0.05</v>
          </cell>
          <cell r="Q2470">
            <v>1923</v>
          </cell>
        </row>
        <row r="2471">
          <cell r="B2471" t="str">
            <v>PERRY 1101CB</v>
          </cell>
          <cell r="C2471">
            <v>183071101</v>
          </cell>
          <cell r="D2471" t="str">
            <v>PERRY 1101</v>
          </cell>
          <cell r="E2471" t="str">
            <v>CB</v>
          </cell>
          <cell r="F2471" t="b">
            <v>0</v>
          </cell>
          <cell r="G2471">
            <v>4085.1757496456698</v>
          </cell>
          <cell r="H2471">
            <v>4085.1757496456698</v>
          </cell>
          <cell r="I2471">
            <v>27</v>
          </cell>
          <cell r="J2471">
            <v>6.8809178359246004E-5</v>
          </cell>
          <cell r="K2471">
            <v>2513</v>
          </cell>
          <cell r="L2471">
            <v>75.245900579624703</v>
          </cell>
          <cell r="M2471">
            <v>2066</v>
          </cell>
          <cell r="N2471">
            <v>6.2535883738123899E-3</v>
          </cell>
          <cell r="O2471">
            <v>2138</v>
          </cell>
          <cell r="P2471">
            <v>7.0000000000000007E-2</v>
          </cell>
          <cell r="Q2471">
            <v>1752</v>
          </cell>
        </row>
        <row r="2472">
          <cell r="B2472" t="str">
            <v>PERRY 1101V72</v>
          </cell>
          <cell r="C2472">
            <v>183071101</v>
          </cell>
          <cell r="D2472" t="str">
            <v>PERRY 1101</v>
          </cell>
          <cell r="E2472" t="str">
            <v>V72</v>
          </cell>
          <cell r="F2472" t="b">
            <v>0</v>
          </cell>
          <cell r="G2472">
            <v>14155.245326050401</v>
          </cell>
          <cell r="H2472">
            <v>9610.0836383306505</v>
          </cell>
          <cell r="I2472">
            <v>101</v>
          </cell>
          <cell r="J2472">
            <v>2.6938279686441699E-5</v>
          </cell>
          <cell r="K2472">
            <v>3473</v>
          </cell>
          <cell r="L2472">
            <v>1.4939707125177399</v>
          </cell>
          <cell r="M2472">
            <v>2866</v>
          </cell>
          <cell r="N2472">
            <v>1.81154152560879E-5</v>
          </cell>
          <cell r="O2472">
            <v>2975</v>
          </cell>
          <cell r="P2472">
            <v>0.05</v>
          </cell>
          <cell r="Q2472">
            <v>1974</v>
          </cell>
        </row>
        <row r="2473">
          <cell r="B2473" t="str">
            <v>PERRY 1101V74</v>
          </cell>
          <cell r="C2473">
            <v>183071101</v>
          </cell>
          <cell r="D2473" t="str">
            <v>PERRY 1101</v>
          </cell>
          <cell r="E2473" t="str">
            <v>V74</v>
          </cell>
          <cell r="F2473" t="b">
            <v>0</v>
          </cell>
          <cell r="G2473">
            <v>8209.05978247229</v>
          </cell>
          <cell r="H2473">
            <v>6901.1377608988496</v>
          </cell>
          <cell r="I2473">
            <v>61</v>
          </cell>
          <cell r="J2473">
            <v>4.7404655531148002E-5</v>
          </cell>
          <cell r="K2473">
            <v>3107</v>
          </cell>
          <cell r="L2473">
            <v>40.689454455844597</v>
          </cell>
          <cell r="M2473">
            <v>2274</v>
          </cell>
          <cell r="N2473">
            <v>2.31190649140256E-3</v>
          </cell>
          <cell r="O2473">
            <v>2433</v>
          </cell>
          <cell r="P2473">
            <v>0.09</v>
          </cell>
          <cell r="Q2473">
            <v>1509</v>
          </cell>
        </row>
        <row r="2474">
          <cell r="B2474" t="str">
            <v>PERRY 1101V78</v>
          </cell>
          <cell r="C2474">
            <v>183071101</v>
          </cell>
          <cell r="D2474" t="str">
            <v>PERRY 1101</v>
          </cell>
          <cell r="E2474" t="str">
            <v>V78</v>
          </cell>
          <cell r="F2474" t="b">
            <v>0</v>
          </cell>
          <cell r="G2474">
            <v>47471.330229805899</v>
          </cell>
          <cell r="H2474">
            <v>47471.330229805899</v>
          </cell>
          <cell r="I2474">
            <v>164</v>
          </cell>
          <cell r="J2474">
            <v>6.8752688824752996E-5</v>
          </cell>
          <cell r="K2474">
            <v>2516</v>
          </cell>
          <cell r="L2474">
            <v>918.27677609998602</v>
          </cell>
          <cell r="M2474">
            <v>876</v>
          </cell>
          <cell r="N2474">
            <v>6.1452937773994298E-2</v>
          </cell>
          <cell r="O2474">
            <v>1048</v>
          </cell>
          <cell r="P2474">
            <v>0.19</v>
          </cell>
          <cell r="Q2474">
            <v>1179</v>
          </cell>
        </row>
        <row r="2475">
          <cell r="B2475" t="str">
            <v>PERRY 1101V88</v>
          </cell>
          <cell r="C2475">
            <v>183071101</v>
          </cell>
          <cell r="D2475" t="str">
            <v>PERRY 1101</v>
          </cell>
          <cell r="E2475" t="str">
            <v>V88</v>
          </cell>
          <cell r="F2475" t="b">
            <v>0</v>
          </cell>
          <cell r="G2475">
            <v>5002.73090465121</v>
          </cell>
          <cell r="H2475">
            <v>1732.60648933826</v>
          </cell>
          <cell r="I2475">
            <v>48</v>
          </cell>
          <cell r="J2475">
            <v>3.4226977305706801E-5</v>
          </cell>
          <cell r="K2475">
            <v>3365</v>
          </cell>
          <cell r="L2475">
            <v>36.5389972155292</v>
          </cell>
          <cell r="M2475">
            <v>2301</v>
          </cell>
          <cell r="N2475">
            <v>2.2779659075873901E-3</v>
          </cell>
          <cell r="O2475">
            <v>2436</v>
          </cell>
          <cell r="P2475">
            <v>0.6</v>
          </cell>
          <cell r="Q2475">
            <v>853</v>
          </cell>
        </row>
        <row r="2476">
          <cell r="B2476" t="str">
            <v>PERRY 1101W10</v>
          </cell>
          <cell r="C2476">
            <v>183071101</v>
          </cell>
          <cell r="D2476" t="str">
            <v>PERRY 1101</v>
          </cell>
          <cell r="E2476" t="str">
            <v>W10</v>
          </cell>
          <cell r="F2476" t="b">
            <v>0</v>
          </cell>
          <cell r="G2476">
            <v>3001.7774901215198</v>
          </cell>
          <cell r="H2476">
            <v>2354.9643949040501</v>
          </cell>
          <cell r="I2476">
            <v>29</v>
          </cell>
          <cell r="J2476">
            <v>3.4274989502591698E-5</v>
          </cell>
          <cell r="K2476">
            <v>3364</v>
          </cell>
          <cell r="L2476">
            <v>7.1616249266883401</v>
          </cell>
          <cell r="M2476">
            <v>2684</v>
          </cell>
          <cell r="N2476">
            <v>3.0601432757814301E-4</v>
          </cell>
          <cell r="O2476">
            <v>2794</v>
          </cell>
          <cell r="P2476">
            <v>0.04</v>
          </cell>
          <cell r="Q2476">
            <v>2112</v>
          </cell>
        </row>
        <row r="2477">
          <cell r="B2477" t="str">
            <v>PERRY 1101W12</v>
          </cell>
          <cell r="C2477">
            <v>183071101</v>
          </cell>
          <cell r="D2477" t="str">
            <v>PERRY 1101</v>
          </cell>
          <cell r="E2477" t="str">
            <v>W12</v>
          </cell>
          <cell r="F2477" t="b">
            <v>0</v>
          </cell>
          <cell r="G2477">
            <v>10251.7676886597</v>
          </cell>
          <cell r="H2477">
            <v>6046.1264427954102</v>
          </cell>
          <cell r="I2477">
            <v>70</v>
          </cell>
          <cell r="J2477">
            <v>1.5620477672330499E-5</v>
          </cell>
          <cell r="K2477">
            <v>3581</v>
          </cell>
          <cell r="L2477">
            <v>6.6989532219512093E-2</v>
          </cell>
          <cell r="M2477">
            <v>2947</v>
          </cell>
          <cell r="N2477">
            <v>1.0832732152771001E-6</v>
          </cell>
          <cell r="O2477">
            <v>3584</v>
          </cell>
          <cell r="P2477">
            <v>7.0000000000000007E-2</v>
          </cell>
          <cell r="Q2477">
            <v>1755</v>
          </cell>
        </row>
        <row r="2478">
          <cell r="B2478" t="str">
            <v>PERRY 1101W26</v>
          </cell>
          <cell r="C2478">
            <v>183071101</v>
          </cell>
          <cell r="D2478" t="str">
            <v>PERRY 1101</v>
          </cell>
          <cell r="E2478" t="str">
            <v>W26</v>
          </cell>
          <cell r="F2478" t="b">
            <v>0</v>
          </cell>
          <cell r="G2478">
            <v>4390.4189849072</v>
          </cell>
          <cell r="H2478">
            <v>4390.4189849072</v>
          </cell>
          <cell r="I2478">
            <v>18</v>
          </cell>
          <cell r="J2478">
            <v>6.7545097206473398E-5</v>
          </cell>
          <cell r="K2478">
            <v>2549</v>
          </cell>
          <cell r="L2478">
            <v>162.11975534508599</v>
          </cell>
          <cell r="M2478">
            <v>1741</v>
          </cell>
          <cell r="N2478">
            <v>9.8794202357151105E-3</v>
          </cell>
          <cell r="O2478">
            <v>1964</v>
          </cell>
          <cell r="P2478">
            <v>0.05</v>
          </cell>
          <cell r="Q2478">
            <v>1956</v>
          </cell>
        </row>
        <row r="2479">
          <cell r="B2479" t="str">
            <v>PERRY 1101W52</v>
          </cell>
          <cell r="C2479">
            <v>183071101</v>
          </cell>
          <cell r="D2479" t="str">
            <v>PERRY 1101</v>
          </cell>
          <cell r="E2479" t="str">
            <v>W52</v>
          </cell>
          <cell r="F2479" t="b">
            <v>0</v>
          </cell>
          <cell r="G2479">
            <v>6677.8799809372604</v>
          </cell>
          <cell r="H2479">
            <v>5033.3372512154601</v>
          </cell>
          <cell r="I2479">
            <v>51</v>
          </cell>
          <cell r="J2479">
            <v>2.80701443113916E-5</v>
          </cell>
          <cell r="K2479">
            <v>3459</v>
          </cell>
          <cell r="L2479">
            <v>6.6003603239854103E-2</v>
          </cell>
          <cell r="M2479">
            <v>3224</v>
          </cell>
          <cell r="N2479">
            <v>1.85387812509641E-6</v>
          </cell>
          <cell r="O2479">
            <v>3523</v>
          </cell>
          <cell r="P2479">
            <v>0.05</v>
          </cell>
          <cell r="Q2479">
            <v>1977</v>
          </cell>
        </row>
        <row r="2480">
          <cell r="B2480" t="str">
            <v>PETALUMA C 1108208</v>
          </cell>
          <cell r="C2480">
            <v>42631108</v>
          </cell>
          <cell r="D2480" t="str">
            <v>PETALUMA C 1108</v>
          </cell>
          <cell r="E2480">
            <v>208</v>
          </cell>
          <cell r="F2480" t="b">
            <v>0</v>
          </cell>
          <cell r="G2480">
            <v>20077.946603296099</v>
          </cell>
          <cell r="H2480">
            <v>20077.946603296099</v>
          </cell>
          <cell r="I2480">
            <v>95</v>
          </cell>
          <cell r="J2480">
            <v>9.3548208883959804E-5</v>
          </cell>
          <cell r="K2480">
            <v>1810</v>
          </cell>
          <cell r="L2480">
            <v>1783.8562144560599</v>
          </cell>
          <cell r="M2480">
            <v>508</v>
          </cell>
          <cell r="N2480">
            <v>0.17539948080773099</v>
          </cell>
          <cell r="O2480">
            <v>414</v>
          </cell>
          <cell r="P2480">
            <v>11.75</v>
          </cell>
          <cell r="Q2480">
            <v>382</v>
          </cell>
        </row>
        <row r="2481">
          <cell r="B2481" t="str">
            <v>PETALUMA C 1108233646</v>
          </cell>
          <cell r="C2481">
            <v>42631108</v>
          </cell>
          <cell r="D2481" t="str">
            <v>PETALUMA C 1108</v>
          </cell>
          <cell r="E2481">
            <v>233646</v>
          </cell>
          <cell r="F2481" t="b">
            <v>0</v>
          </cell>
          <cell r="G2481">
            <v>18091.628415207899</v>
          </cell>
          <cell r="H2481">
            <v>15102.561191184401</v>
          </cell>
          <cell r="I2481">
            <v>127</v>
          </cell>
          <cell r="J2481">
            <v>8.2168275963340399E-5</v>
          </cell>
          <cell r="K2481">
            <v>2147</v>
          </cell>
          <cell r="L2481">
            <v>1174.2100267916601</v>
          </cell>
          <cell r="M2481">
            <v>744</v>
          </cell>
          <cell r="N2481">
            <v>9.2652959590039996E-2</v>
          </cell>
          <cell r="O2481">
            <v>809</v>
          </cell>
          <cell r="Q2481">
            <v>2976</v>
          </cell>
        </row>
        <row r="2482">
          <cell r="B2482" t="str">
            <v>PETALUMA C 1108296</v>
          </cell>
          <cell r="C2482">
            <v>42631108</v>
          </cell>
          <cell r="D2482" t="str">
            <v>PETALUMA C 1108</v>
          </cell>
          <cell r="E2482">
            <v>296</v>
          </cell>
          <cell r="F2482" t="b">
            <v>0</v>
          </cell>
          <cell r="G2482">
            <v>23764.070070106402</v>
          </cell>
          <cell r="H2482">
            <v>23764.070070106402</v>
          </cell>
          <cell r="I2482">
            <v>123</v>
          </cell>
          <cell r="J2482">
            <v>8.7339714615959694E-5</v>
          </cell>
          <cell r="K2482">
            <v>2004</v>
          </cell>
          <cell r="L2482">
            <v>2337.6554065441701</v>
          </cell>
          <cell r="M2482">
            <v>376</v>
          </cell>
          <cell r="N2482">
            <v>0.20400683071703199</v>
          </cell>
          <cell r="O2482">
            <v>317</v>
          </cell>
          <cell r="P2482">
            <v>6.9</v>
          </cell>
          <cell r="Q2482">
            <v>457</v>
          </cell>
        </row>
        <row r="2483">
          <cell r="B2483" t="str">
            <v>PETALUMA C 1108456397</v>
          </cell>
          <cell r="C2483">
            <v>42631108</v>
          </cell>
          <cell r="D2483" t="str">
            <v>PETALUMA C 1108</v>
          </cell>
          <cell r="E2483">
            <v>456397</v>
          </cell>
          <cell r="F2483" t="b">
            <v>0</v>
          </cell>
          <cell r="G2483">
            <v>2239.0721308462998</v>
          </cell>
          <cell r="H2483">
            <v>2239.0721308462998</v>
          </cell>
          <cell r="I2483">
            <v>19</v>
          </cell>
          <cell r="J2483">
            <v>9.7830078677935996E-5</v>
          </cell>
          <cell r="K2483">
            <v>1696</v>
          </cell>
          <cell r="L2483">
            <v>785.46523198170496</v>
          </cell>
          <cell r="M2483">
            <v>954</v>
          </cell>
          <cell r="N2483">
            <v>6.73283145000311E-2</v>
          </cell>
          <cell r="O2483">
            <v>1000</v>
          </cell>
          <cell r="Q2483">
            <v>3391</v>
          </cell>
        </row>
        <row r="2484">
          <cell r="B2484" t="str">
            <v>PETALUMA C 110856774</v>
          </cell>
          <cell r="C2484">
            <v>42631108</v>
          </cell>
          <cell r="D2484" t="str">
            <v>PETALUMA C 1108</v>
          </cell>
          <cell r="E2484">
            <v>56774</v>
          </cell>
          <cell r="F2484" t="b">
            <v>1</v>
          </cell>
          <cell r="G2484">
            <v>4425.2807264655503</v>
          </cell>
          <cell r="H2484">
            <v>385.08706667201398</v>
          </cell>
          <cell r="I2484">
            <v>39</v>
          </cell>
          <cell r="J2484">
            <v>1.6584259564960701E-5</v>
          </cell>
          <cell r="K2484">
            <v>3572</v>
          </cell>
          <cell r="L2484">
            <v>2.9096411485333999</v>
          </cell>
          <cell r="M2484">
            <v>2814</v>
          </cell>
          <cell r="N2484">
            <v>7.8722463345350595E-5</v>
          </cell>
          <cell r="O2484">
            <v>2885</v>
          </cell>
          <cell r="Q2484">
            <v>2668</v>
          </cell>
        </row>
        <row r="2485">
          <cell r="B2485" t="str">
            <v>PETALUMA C 1108600</v>
          </cell>
          <cell r="C2485">
            <v>42631108</v>
          </cell>
          <cell r="D2485" t="str">
            <v>PETALUMA C 1108</v>
          </cell>
          <cell r="E2485">
            <v>600</v>
          </cell>
          <cell r="F2485" t="b">
            <v>0</v>
          </cell>
          <cell r="G2485">
            <v>11716.5391015721</v>
          </cell>
          <cell r="H2485">
            <v>5966.5275794604504</v>
          </cell>
          <cell r="I2485">
            <v>107</v>
          </cell>
          <cell r="J2485">
            <v>8.5491369875290605E-5</v>
          </cell>
          <cell r="K2485">
            <v>2040</v>
          </cell>
          <cell r="L2485">
            <v>380.66004504884</v>
          </cell>
          <cell r="M2485">
            <v>1319</v>
          </cell>
          <cell r="N2485">
            <v>3.35136081798834E-2</v>
          </cell>
          <cell r="O2485">
            <v>1398</v>
          </cell>
          <cell r="P2485">
            <v>2.36</v>
          </cell>
          <cell r="Q2485">
            <v>611</v>
          </cell>
        </row>
        <row r="2486">
          <cell r="B2486" t="str">
            <v>PETALUMA C 1108618</v>
          </cell>
          <cell r="C2486">
            <v>42631108</v>
          </cell>
          <cell r="D2486" t="str">
            <v>PETALUMA C 1108</v>
          </cell>
          <cell r="E2486">
            <v>618</v>
          </cell>
          <cell r="F2486" t="b">
            <v>0</v>
          </cell>
          <cell r="G2486">
            <v>17470.740700868901</v>
          </cell>
          <cell r="H2486">
            <v>13890.260092712801</v>
          </cell>
          <cell r="I2486">
            <v>119</v>
          </cell>
          <cell r="J2486">
            <v>8.8705302805776098E-5</v>
          </cell>
          <cell r="K2486">
            <v>1961</v>
          </cell>
          <cell r="L2486">
            <v>1646.4565244282901</v>
          </cell>
          <cell r="M2486">
            <v>544</v>
          </cell>
          <cell r="N2486">
            <v>0.14999814646727899</v>
          </cell>
          <cell r="O2486">
            <v>516</v>
          </cell>
          <cell r="P2486">
            <v>3.18</v>
          </cell>
          <cell r="Q2486">
            <v>555</v>
          </cell>
        </row>
        <row r="2487">
          <cell r="B2487" t="str">
            <v>PETALUMA C 1108630</v>
          </cell>
          <cell r="C2487">
            <v>42631108</v>
          </cell>
          <cell r="D2487" t="str">
            <v>PETALUMA C 1108</v>
          </cell>
          <cell r="E2487">
            <v>630</v>
          </cell>
          <cell r="F2487" t="b">
            <v>0</v>
          </cell>
          <cell r="G2487">
            <v>6902.8393765048804</v>
          </cell>
          <cell r="H2487">
            <v>2654.06516981808</v>
          </cell>
          <cell r="I2487">
            <v>55</v>
          </cell>
          <cell r="J2487">
            <v>7.78657841119975E-5</v>
          </cell>
          <cell r="K2487">
            <v>2263</v>
          </cell>
          <cell r="L2487">
            <v>873.64471007842303</v>
          </cell>
          <cell r="M2487">
            <v>897</v>
          </cell>
          <cell r="N2487">
            <v>7.7167663962347796E-2</v>
          </cell>
          <cell r="O2487">
            <v>926</v>
          </cell>
          <cell r="P2487">
            <v>0.03</v>
          </cell>
          <cell r="Q2487">
            <v>2363</v>
          </cell>
        </row>
        <row r="2488">
          <cell r="B2488" t="str">
            <v>PETALUMA C 1108632</v>
          </cell>
          <cell r="C2488">
            <v>42631108</v>
          </cell>
          <cell r="D2488" t="str">
            <v>PETALUMA C 1108</v>
          </cell>
          <cell r="E2488">
            <v>632</v>
          </cell>
          <cell r="F2488" t="b">
            <v>0</v>
          </cell>
          <cell r="G2488">
            <v>23697.802421078501</v>
          </cell>
          <cell r="H2488">
            <v>23697.802421078501</v>
          </cell>
          <cell r="I2488">
            <v>81</v>
          </cell>
          <cell r="J2488">
            <v>6.7965683827631297E-5</v>
          </cell>
          <cell r="K2488">
            <v>2537</v>
          </cell>
          <cell r="L2488">
            <v>1288.59758400691</v>
          </cell>
          <cell r="M2488">
            <v>686</v>
          </cell>
          <cell r="N2488">
            <v>8.1559340392347607E-2</v>
          </cell>
          <cell r="O2488">
            <v>888</v>
          </cell>
          <cell r="P2488">
            <v>0.05</v>
          </cell>
          <cell r="Q2488">
            <v>2027</v>
          </cell>
        </row>
        <row r="2489">
          <cell r="B2489" t="str">
            <v>PETALUMA C 1108636</v>
          </cell>
          <cell r="C2489">
            <v>42631108</v>
          </cell>
          <cell r="D2489" t="str">
            <v>PETALUMA C 1108</v>
          </cell>
          <cell r="E2489">
            <v>636</v>
          </cell>
          <cell r="F2489" t="b">
            <v>0</v>
          </cell>
          <cell r="G2489">
            <v>15178.981567315401</v>
          </cell>
          <cell r="H2489">
            <v>15178.981567315401</v>
          </cell>
          <cell r="I2489">
            <v>108</v>
          </cell>
          <cell r="J2489">
            <v>1.0077864531181299E-4</v>
          </cell>
          <cell r="K2489">
            <v>1628</v>
          </cell>
          <cell r="L2489">
            <v>1486.0094196663499</v>
          </cell>
          <cell r="M2489">
            <v>600</v>
          </cell>
          <cell r="N2489">
            <v>0.14278963872373501</v>
          </cell>
          <cell r="O2489">
            <v>559</v>
          </cell>
          <cell r="P2489">
            <v>5.46</v>
          </cell>
          <cell r="Q2489">
            <v>486</v>
          </cell>
        </row>
        <row r="2490">
          <cell r="B2490" t="str">
            <v>PETALUMA C 1109128</v>
          </cell>
          <cell r="C2490">
            <v>42631109</v>
          </cell>
          <cell r="D2490" t="str">
            <v>PETALUMA C 1109</v>
          </cell>
          <cell r="E2490">
            <v>128</v>
          </cell>
          <cell r="F2490" t="b">
            <v>0</v>
          </cell>
          <cell r="G2490">
            <v>60127.540614202102</v>
          </cell>
          <cell r="H2490">
            <v>56205.369430799299</v>
          </cell>
          <cell r="I2490">
            <v>269</v>
          </cell>
          <cell r="J2490">
            <v>9.7059782770264304E-5</v>
          </cell>
          <cell r="K2490">
            <v>1712</v>
          </cell>
          <cell r="L2490">
            <v>2077.9375254095598</v>
          </cell>
          <cell r="M2490">
            <v>434</v>
          </cell>
          <cell r="N2490">
            <v>0.186866514054294</v>
          </cell>
          <cell r="O2490">
            <v>381</v>
          </cell>
          <cell r="P2490">
            <v>0.3</v>
          </cell>
          <cell r="Q2490">
            <v>1014</v>
          </cell>
        </row>
        <row r="2491">
          <cell r="B2491" t="str">
            <v>PETALUMA C 1109270</v>
          </cell>
          <cell r="C2491">
            <v>42631109</v>
          </cell>
          <cell r="D2491" t="str">
            <v>PETALUMA C 1109</v>
          </cell>
          <cell r="E2491">
            <v>270</v>
          </cell>
          <cell r="F2491" t="b">
            <v>0</v>
          </cell>
          <cell r="G2491">
            <v>12312.4188077407</v>
          </cell>
          <cell r="H2491">
            <v>3397.4138225511601</v>
          </cell>
          <cell r="I2491">
            <v>101</v>
          </cell>
          <cell r="J2491">
            <v>2.73150576572334E-5</v>
          </cell>
          <cell r="K2491">
            <v>3467</v>
          </cell>
          <cell r="L2491">
            <v>46.9819455401868</v>
          </cell>
          <cell r="M2491">
            <v>2234</v>
          </cell>
          <cell r="N2491">
            <v>3.6568025814149902E-3</v>
          </cell>
          <cell r="O2491">
            <v>2282</v>
          </cell>
          <cell r="P2491">
            <v>0.04</v>
          </cell>
          <cell r="Q2491">
            <v>2120</v>
          </cell>
        </row>
        <row r="2492">
          <cell r="B2492" t="str">
            <v>PETALUMA C 1109373772</v>
          </cell>
          <cell r="C2492">
            <v>42631109</v>
          </cell>
          <cell r="D2492" t="str">
            <v>PETALUMA C 1109</v>
          </cell>
          <cell r="E2492">
            <v>373772</v>
          </cell>
          <cell r="F2492" t="b">
            <v>1</v>
          </cell>
          <cell r="G2492">
            <v>28.6690605006143</v>
          </cell>
          <cell r="H2492">
            <v>28.6690605006143</v>
          </cell>
          <cell r="I2492">
            <v>2</v>
          </cell>
          <cell r="J2492">
            <v>1.25047234178055E-4</v>
          </cell>
          <cell r="K2492">
            <v>1097</v>
          </cell>
          <cell r="L2492">
            <v>655.25987881517301</v>
          </cell>
          <cell r="M2492">
            <v>1058</v>
          </cell>
          <cell r="N2492">
            <v>8.9417432482508594E-2</v>
          </cell>
          <cell r="O2492">
            <v>827</v>
          </cell>
          <cell r="P2492">
            <v>1.87</v>
          </cell>
          <cell r="Q2492">
            <v>637</v>
          </cell>
        </row>
        <row r="2493">
          <cell r="B2493" t="str">
            <v>PETALUMA C 110948000</v>
          </cell>
          <cell r="C2493">
            <v>42631109</v>
          </cell>
          <cell r="D2493" t="str">
            <v>PETALUMA C 1109</v>
          </cell>
          <cell r="E2493">
            <v>48000</v>
          </cell>
          <cell r="F2493" t="b">
            <v>0</v>
          </cell>
          <cell r="G2493">
            <v>21345.649579788598</v>
          </cell>
          <cell r="H2493">
            <v>15284.014480240199</v>
          </cell>
          <cell r="I2493">
            <v>115</v>
          </cell>
          <cell r="J2493">
            <v>8.6886554216011701E-5</v>
          </cell>
          <cell r="K2493">
            <v>2015</v>
          </cell>
          <cell r="L2493">
            <v>388.27409444239402</v>
          </cell>
          <cell r="M2493">
            <v>1308</v>
          </cell>
          <cell r="N2493">
            <v>3.5167269878286597E-2</v>
          </cell>
          <cell r="O2493">
            <v>1371</v>
          </cell>
          <cell r="P2493">
            <v>7.0000000000000007E-2</v>
          </cell>
          <cell r="Q2493">
            <v>1767</v>
          </cell>
        </row>
        <row r="2494">
          <cell r="B2494" t="str">
            <v>PETALUMA C 1109664732</v>
          </cell>
          <cell r="C2494">
            <v>42631109</v>
          </cell>
          <cell r="D2494" t="str">
            <v>PETALUMA C 1109</v>
          </cell>
          <cell r="E2494">
            <v>664732</v>
          </cell>
          <cell r="F2494" t="b">
            <v>0</v>
          </cell>
          <cell r="G2494">
            <v>1437.8146542743</v>
          </cell>
          <cell r="H2494">
            <v>1437.8146542743</v>
          </cell>
          <cell r="I2494">
            <v>6</v>
          </cell>
          <cell r="J2494">
            <v>9.0940501953203496E-5</v>
          </cell>
          <cell r="K2494">
            <v>1884</v>
          </cell>
          <cell r="L2494">
            <v>1650.3416176010601</v>
          </cell>
          <cell r="M2494">
            <v>543</v>
          </cell>
          <cell r="N2494">
            <v>0.10841860566504</v>
          </cell>
          <cell r="O2494">
            <v>717</v>
          </cell>
          <cell r="P2494">
            <v>1.72</v>
          </cell>
          <cell r="Q2494">
            <v>649</v>
          </cell>
        </row>
        <row r="2495">
          <cell r="B2495" t="str">
            <v>PETALUMA C 1109738866</v>
          </cell>
          <cell r="C2495">
            <v>42631109</v>
          </cell>
          <cell r="D2495" t="str">
            <v>PETALUMA C 1109</v>
          </cell>
          <cell r="E2495">
            <v>738866</v>
          </cell>
          <cell r="F2495" t="b">
            <v>0</v>
          </cell>
          <cell r="G2495">
            <v>4335.7411942445497</v>
          </cell>
          <cell r="H2495">
            <v>3280.2516148375198</v>
          </cell>
          <cell r="I2495">
            <v>28</v>
          </cell>
          <cell r="J2495">
            <v>6.3795188810088002E-5</v>
          </cell>
          <cell r="K2495">
            <v>2653</v>
          </cell>
          <cell r="L2495">
            <v>268.48443096141898</v>
          </cell>
          <cell r="M2495">
            <v>1502</v>
          </cell>
          <cell r="N2495">
            <v>2.3732463654409501E-2</v>
          </cell>
          <cell r="O2495">
            <v>1582</v>
          </cell>
          <cell r="P2495">
            <v>0.1</v>
          </cell>
          <cell r="Q2495">
            <v>1506</v>
          </cell>
        </row>
        <row r="2496">
          <cell r="B2496" t="str">
            <v>PETALUMA C 1109857148</v>
          </cell>
          <cell r="C2496">
            <v>42631109</v>
          </cell>
          <cell r="D2496" t="str">
            <v>PETALUMA C 1109</v>
          </cell>
          <cell r="E2496">
            <v>857148</v>
          </cell>
          <cell r="F2496" t="b">
            <v>0</v>
          </cell>
          <cell r="G2496">
            <v>3180.8040777453998</v>
          </cell>
          <cell r="H2496">
            <v>1503.7135075287999</v>
          </cell>
          <cell r="I2496">
            <v>31</v>
          </cell>
          <cell r="J2496">
            <v>4.5954042661833201E-5</v>
          </cell>
          <cell r="K2496">
            <v>3140</v>
          </cell>
          <cell r="L2496">
            <v>22.340163280855698</v>
          </cell>
          <cell r="M2496">
            <v>2422</v>
          </cell>
          <cell r="N2496">
            <v>2.11260807339497E-3</v>
          </cell>
          <cell r="O2496">
            <v>2465</v>
          </cell>
          <cell r="Q2496">
            <v>3247</v>
          </cell>
        </row>
        <row r="2497">
          <cell r="B2497" t="str">
            <v>PHILO 11013700</v>
          </cell>
          <cell r="C2497">
            <v>42601101</v>
          </cell>
          <cell r="D2497" t="str">
            <v>PHILO 1101</v>
          </cell>
          <cell r="E2497">
            <v>3700</v>
          </cell>
          <cell r="F2497" t="b">
            <v>0</v>
          </cell>
          <cell r="G2497">
            <v>29156.044944835601</v>
          </cell>
          <cell r="H2497">
            <v>29156.044944835601</v>
          </cell>
          <cell r="I2497">
            <v>116</v>
          </cell>
          <cell r="J2497">
            <v>1.3346926947554501E-4</v>
          </cell>
          <cell r="K2497">
            <v>952</v>
          </cell>
          <cell r="L2497">
            <v>1560.58228195263</v>
          </cell>
          <cell r="M2497">
            <v>576</v>
          </cell>
          <cell r="N2497">
            <v>0.17471847398828999</v>
          </cell>
          <cell r="O2497">
            <v>417</v>
          </cell>
          <cell r="P2497">
            <v>0.06</v>
          </cell>
          <cell r="Q2497">
            <v>1905</v>
          </cell>
        </row>
        <row r="2498">
          <cell r="B2498" t="str">
            <v>PHILO 110137222</v>
          </cell>
          <cell r="C2498">
            <v>42601101</v>
          </cell>
          <cell r="D2498" t="str">
            <v>PHILO 1101</v>
          </cell>
          <cell r="E2498">
            <v>37222</v>
          </cell>
          <cell r="F2498" t="b">
            <v>0</v>
          </cell>
          <cell r="G2498">
            <v>40893.175821855002</v>
          </cell>
          <cell r="H2498">
            <v>40893.175821855002</v>
          </cell>
          <cell r="I2498">
            <v>152</v>
          </cell>
          <cell r="J2498">
            <v>1.13089364228806E-4</v>
          </cell>
          <cell r="K2498">
            <v>1341</v>
          </cell>
          <cell r="L2498">
            <v>3498.7209599917101</v>
          </cell>
          <cell r="M2498">
            <v>202</v>
          </cell>
          <cell r="N2498">
            <v>0.38389646656593301</v>
          </cell>
          <cell r="O2498">
            <v>70</v>
          </cell>
          <cell r="P2498">
            <v>0.05</v>
          </cell>
          <cell r="Q2498">
            <v>2044</v>
          </cell>
        </row>
        <row r="2499">
          <cell r="B2499" t="str">
            <v>PHILO 1101CB</v>
          </cell>
          <cell r="C2499">
            <v>42601101</v>
          </cell>
          <cell r="D2499" t="str">
            <v>PHILO 1101</v>
          </cell>
          <cell r="E2499" t="str">
            <v>CB</v>
          </cell>
          <cell r="F2499" t="b">
            <v>0</v>
          </cell>
          <cell r="G2499">
            <v>79932.407134455803</v>
          </cell>
          <cell r="H2499">
            <v>51306.398515411798</v>
          </cell>
          <cell r="I2499">
            <v>469</v>
          </cell>
          <cell r="J2499">
            <v>1.11584860619625E-4</v>
          </cell>
          <cell r="K2499">
            <v>1379</v>
          </cell>
          <cell r="L2499">
            <v>802.56612780574198</v>
          </cell>
          <cell r="M2499">
            <v>939</v>
          </cell>
          <cell r="N2499">
            <v>8.5282688175044002E-2</v>
          </cell>
          <cell r="O2499">
            <v>859</v>
          </cell>
          <cell r="P2499">
            <v>0.15</v>
          </cell>
          <cell r="Q2499">
            <v>1300</v>
          </cell>
        </row>
        <row r="2500">
          <cell r="B2500" t="str">
            <v>PHILO 11021308</v>
          </cell>
          <cell r="C2500">
            <v>42601102</v>
          </cell>
          <cell r="D2500" t="str">
            <v>PHILO 1102</v>
          </cell>
          <cell r="E2500">
            <v>1308</v>
          </cell>
          <cell r="F2500" t="b">
            <v>0</v>
          </cell>
          <cell r="G2500">
            <v>51491.544133408403</v>
          </cell>
          <cell r="H2500">
            <v>51491.544133408403</v>
          </cell>
          <cell r="I2500">
            <v>245</v>
          </cell>
          <cell r="J2500">
            <v>8.9849356225109103E-5</v>
          </cell>
          <cell r="K2500">
            <v>1917</v>
          </cell>
          <cell r="L2500">
            <v>98.518298048039199</v>
          </cell>
          <cell r="M2500">
            <v>1965</v>
          </cell>
          <cell r="N2500">
            <v>7.6242459852826298E-3</v>
          </cell>
          <cell r="O2500">
            <v>2064</v>
          </cell>
          <cell r="P2500">
            <v>0.09</v>
          </cell>
          <cell r="Q2500">
            <v>1559</v>
          </cell>
        </row>
        <row r="2501">
          <cell r="B2501" t="str">
            <v>PHILO 11022600</v>
          </cell>
          <cell r="C2501">
            <v>42601102</v>
          </cell>
          <cell r="D2501" t="str">
            <v>PHILO 1102</v>
          </cell>
          <cell r="E2501">
            <v>2600</v>
          </cell>
          <cell r="F2501" t="b">
            <v>0</v>
          </cell>
          <cell r="G2501">
            <v>32204.72156192</v>
          </cell>
          <cell r="H2501">
            <v>32204.72156192</v>
          </cell>
          <cell r="I2501">
            <v>114</v>
          </cell>
          <cell r="J2501">
            <v>9.7967701203259796E-5</v>
          </cell>
          <cell r="K2501">
            <v>1692</v>
          </cell>
          <cell r="L2501">
            <v>92.208230378731102</v>
          </cell>
          <cell r="M2501">
            <v>1992</v>
          </cell>
          <cell r="N2501">
            <v>9.3006146397077404E-3</v>
          </cell>
          <cell r="O2501">
            <v>1991</v>
          </cell>
          <cell r="P2501">
            <v>6.68</v>
          </cell>
          <cell r="Q2501">
            <v>463</v>
          </cell>
        </row>
        <row r="2502">
          <cell r="B2502" t="str">
            <v>PHILO 1102920</v>
          </cell>
          <cell r="C2502">
            <v>42601102</v>
          </cell>
          <cell r="D2502" t="str">
            <v>PHILO 1102</v>
          </cell>
          <cell r="E2502">
            <v>920</v>
          </cell>
          <cell r="F2502" t="b">
            <v>0</v>
          </cell>
          <cell r="G2502">
            <v>42024.2659074072</v>
          </cell>
          <cell r="H2502">
            <v>28596.0081571474</v>
          </cell>
          <cell r="I2502">
            <v>258</v>
          </cell>
          <cell r="J2502">
            <v>8.9647981329500303E-5</v>
          </cell>
          <cell r="K2502">
            <v>1925</v>
          </cell>
          <cell r="L2502">
            <v>168.98271303919199</v>
          </cell>
          <cell r="M2502">
            <v>1722</v>
          </cell>
          <cell r="N2502">
            <v>1.34112920616944E-2</v>
          </cell>
          <cell r="O2502">
            <v>1835</v>
          </cell>
          <cell r="P2502">
            <v>0.09</v>
          </cell>
          <cell r="Q2502">
            <v>1572</v>
          </cell>
        </row>
        <row r="2503">
          <cell r="B2503" t="str">
            <v>PHILO 1102928</v>
          </cell>
          <cell r="C2503">
            <v>42601102</v>
          </cell>
          <cell r="D2503" t="str">
            <v>PHILO 1102</v>
          </cell>
          <cell r="E2503">
            <v>928</v>
          </cell>
          <cell r="F2503" t="b">
            <v>0</v>
          </cell>
          <cell r="G2503">
            <v>24779.274006871601</v>
          </cell>
          <cell r="H2503">
            <v>22468.3871195307</v>
          </cell>
          <cell r="I2503">
            <v>125</v>
          </cell>
          <cell r="J2503">
            <v>9.5050074033649904E-5</v>
          </cell>
          <cell r="K2503">
            <v>1765</v>
          </cell>
          <cell r="L2503">
            <v>208.593217391103</v>
          </cell>
          <cell r="M2503">
            <v>1622</v>
          </cell>
          <cell r="N2503">
            <v>1.8489158318291701E-2</v>
          </cell>
          <cell r="O2503">
            <v>1694</v>
          </cell>
          <cell r="P2503">
            <v>0.05</v>
          </cell>
          <cell r="Q2503">
            <v>2054</v>
          </cell>
        </row>
        <row r="2504">
          <cell r="B2504" t="str">
            <v>PHILO 1102CB</v>
          </cell>
          <cell r="C2504">
            <v>42601102</v>
          </cell>
          <cell r="D2504" t="str">
            <v>PHILO 1102</v>
          </cell>
          <cell r="E2504" t="str">
            <v>CB</v>
          </cell>
          <cell r="F2504" t="b">
            <v>0</v>
          </cell>
          <cell r="G2504">
            <v>20191.541074276</v>
          </cell>
          <cell r="H2504">
            <v>12387.714699199199</v>
          </cell>
          <cell r="I2504">
            <v>131</v>
          </cell>
          <cell r="J2504">
            <v>1.8717084564671499E-4</v>
          </cell>
          <cell r="K2504">
            <v>460</v>
          </cell>
          <cell r="L2504">
            <v>356.225584793314</v>
          </cell>
          <cell r="M2504">
            <v>1362</v>
          </cell>
          <cell r="N2504">
            <v>6.6479776447816594E-2</v>
          </cell>
          <cell r="O2504">
            <v>1008</v>
          </cell>
          <cell r="P2504">
            <v>0.06</v>
          </cell>
          <cell r="Q2504">
            <v>1904</v>
          </cell>
        </row>
        <row r="2505">
          <cell r="B2505" t="str">
            <v>PIERCY 2110XR258</v>
          </cell>
          <cell r="C2505">
            <v>83912110</v>
          </cell>
          <cell r="D2505" t="str">
            <v>PIERCY 2110</v>
          </cell>
          <cell r="E2505" t="str">
            <v>XR258</v>
          </cell>
          <cell r="F2505" t="b">
            <v>0</v>
          </cell>
          <cell r="G2505">
            <v>42613.402133923497</v>
          </cell>
          <cell r="H2505">
            <v>35307.703016128602</v>
          </cell>
          <cell r="I2505">
            <v>117</v>
          </cell>
          <cell r="J2505">
            <v>7.1285680498267402E-5</v>
          </cell>
          <cell r="K2505">
            <v>2438</v>
          </cell>
          <cell r="L2505">
            <v>813.09008137885803</v>
          </cell>
          <cell r="M2505">
            <v>929</v>
          </cell>
          <cell r="N2505">
            <v>4.9692194041765898E-2</v>
          </cell>
          <cell r="O2505">
            <v>1182</v>
          </cell>
          <cell r="P2505">
            <v>7.0000000000000007E-2</v>
          </cell>
          <cell r="Q2505">
            <v>1728</v>
          </cell>
        </row>
        <row r="2506">
          <cell r="B2506" t="str">
            <v>PIKE CITY 11011720</v>
          </cell>
          <cell r="C2506">
            <v>152201101</v>
          </cell>
          <cell r="D2506" t="str">
            <v>PIKE CITY 1101</v>
          </cell>
          <cell r="E2506">
            <v>1720</v>
          </cell>
          <cell r="F2506" t="b">
            <v>0</v>
          </cell>
          <cell r="G2506">
            <v>9489.08484912323</v>
          </cell>
          <cell r="H2506">
            <v>9489.08484912323</v>
          </cell>
          <cell r="I2506">
            <v>34</v>
          </cell>
          <cell r="J2506">
            <v>6.9471359358216998E-5</v>
          </cell>
          <cell r="K2506">
            <v>2488</v>
          </cell>
          <cell r="L2506">
            <v>304.93498359875298</v>
          </cell>
          <cell r="M2506">
            <v>1440</v>
          </cell>
          <cell r="N2506">
            <v>1.7864137663921802E-2</v>
          </cell>
          <cell r="O2506">
            <v>1710</v>
          </cell>
          <cell r="P2506">
            <v>23.51</v>
          </cell>
          <cell r="Q2506">
            <v>285</v>
          </cell>
        </row>
        <row r="2507">
          <cell r="B2507" t="str">
            <v>PIKE CITY 11011730</v>
          </cell>
          <cell r="C2507">
            <v>152201101</v>
          </cell>
          <cell r="D2507" t="str">
            <v>PIKE CITY 1101</v>
          </cell>
          <cell r="E2507">
            <v>1730</v>
          </cell>
          <cell r="F2507" t="b">
            <v>0</v>
          </cell>
          <cell r="G2507">
            <v>13645.475866172101</v>
          </cell>
          <cell r="H2507">
            <v>13645.475866172101</v>
          </cell>
          <cell r="I2507">
            <v>73</v>
          </cell>
          <cell r="J2507">
            <v>1.40652770761795E-4</v>
          </cell>
          <cell r="K2507">
            <v>860</v>
          </cell>
          <cell r="L2507">
            <v>278.46102733042198</v>
          </cell>
          <cell r="M2507">
            <v>1475</v>
          </cell>
          <cell r="N2507">
            <v>3.3438481948982302E-2</v>
          </cell>
          <cell r="O2507">
            <v>1400</v>
          </cell>
          <cell r="P2507">
            <v>45.96</v>
          </cell>
          <cell r="Q2507">
            <v>146</v>
          </cell>
        </row>
        <row r="2508">
          <cell r="B2508" t="str">
            <v>PIKE CITY 1101CB</v>
          </cell>
          <cell r="C2508">
            <v>152201101</v>
          </cell>
          <cell r="D2508" t="str">
            <v>PIKE CITY 1101</v>
          </cell>
          <cell r="E2508" t="str">
            <v>CB</v>
          </cell>
          <cell r="F2508" t="b">
            <v>0</v>
          </cell>
          <cell r="G2508">
            <v>31622.6383629048</v>
          </cell>
          <cell r="H2508">
            <v>31622.6383629048</v>
          </cell>
          <cell r="I2508">
            <v>162</v>
          </cell>
          <cell r="J2508">
            <v>1.1093319750934899E-4</v>
          </cell>
          <cell r="K2508">
            <v>1392</v>
          </cell>
          <cell r="L2508">
            <v>299.41159229915598</v>
          </cell>
          <cell r="M2508">
            <v>1448</v>
          </cell>
          <cell r="N2508">
            <v>2.90335602900894E-2</v>
          </cell>
          <cell r="O2508">
            <v>1484</v>
          </cell>
          <cell r="P2508">
            <v>78.02</v>
          </cell>
          <cell r="Q2508">
            <v>52</v>
          </cell>
        </row>
        <row r="2509">
          <cell r="B2509" t="str">
            <v>PIKE CITY 1102CB</v>
          </cell>
          <cell r="C2509">
            <v>152201102</v>
          </cell>
          <cell r="D2509" t="str">
            <v>PIKE CITY 1102</v>
          </cell>
          <cell r="E2509" t="str">
            <v>CB</v>
          </cell>
          <cell r="F2509" t="b">
            <v>0</v>
          </cell>
          <cell r="G2509">
            <v>15315.8587397683</v>
          </cell>
          <cell r="H2509">
            <v>15315.8587397683</v>
          </cell>
          <cell r="I2509">
            <v>44</v>
          </cell>
          <cell r="J2509">
            <v>1.08111061639316E-4</v>
          </cell>
          <cell r="K2509">
            <v>1449</v>
          </cell>
          <cell r="L2509">
            <v>444.75813410020402</v>
          </cell>
          <cell r="M2509">
            <v>1253</v>
          </cell>
          <cell r="N2509">
            <v>3.9560220738918399E-2</v>
          </cell>
          <cell r="O2509">
            <v>1308</v>
          </cell>
          <cell r="P2509">
            <v>15.25</v>
          </cell>
          <cell r="Q2509">
            <v>349</v>
          </cell>
        </row>
        <row r="2510">
          <cell r="B2510" t="str">
            <v>PINE GROVE 11011021</v>
          </cell>
          <cell r="C2510">
            <v>163751101</v>
          </cell>
          <cell r="D2510" t="str">
            <v>PINE GROVE 1101</v>
          </cell>
          <cell r="E2510">
            <v>1021</v>
          </cell>
          <cell r="F2510" t="b">
            <v>0</v>
          </cell>
          <cell r="G2510">
            <v>6702.9103223664197</v>
          </cell>
          <cell r="H2510">
            <v>6702.9103223664197</v>
          </cell>
          <cell r="I2510">
            <v>56</v>
          </cell>
          <cell r="J2510">
            <v>6.9850612931077194E-5</v>
          </cell>
          <cell r="K2510">
            <v>2478</v>
          </cell>
          <cell r="L2510">
            <v>34.444192176019598</v>
          </cell>
          <cell r="M2510">
            <v>2311</v>
          </cell>
          <cell r="N2510">
            <v>2.1715644262021499E-3</v>
          </cell>
          <cell r="O2510">
            <v>2455</v>
          </cell>
          <cell r="P2510">
            <v>8.36</v>
          </cell>
          <cell r="Q2510">
            <v>430</v>
          </cell>
        </row>
        <row r="2511">
          <cell r="B2511" t="str">
            <v>PINE GROVE 11013166</v>
          </cell>
          <cell r="C2511">
            <v>163751101</v>
          </cell>
          <cell r="D2511" t="str">
            <v>PINE GROVE 1101</v>
          </cell>
          <cell r="E2511">
            <v>3166</v>
          </cell>
          <cell r="F2511" t="b">
            <v>0</v>
          </cell>
          <cell r="G2511">
            <v>19778.1528035023</v>
          </cell>
          <cell r="H2511">
            <v>19778.1528035023</v>
          </cell>
          <cell r="I2511">
            <v>147</v>
          </cell>
          <cell r="J2511">
            <v>1.41381420615623E-4</v>
          </cell>
          <cell r="K2511">
            <v>848</v>
          </cell>
          <cell r="L2511">
            <v>96.747304379055294</v>
          </cell>
          <cell r="M2511">
            <v>1974</v>
          </cell>
          <cell r="N2511">
            <v>1.5763449322437399E-2</v>
          </cell>
          <cell r="O2511">
            <v>1764</v>
          </cell>
          <cell r="P2511">
            <v>0.13</v>
          </cell>
          <cell r="Q2511">
            <v>1348</v>
          </cell>
        </row>
        <row r="2512">
          <cell r="B2512" t="str">
            <v>PINE GROVE 11013170</v>
          </cell>
          <cell r="C2512">
            <v>163751101</v>
          </cell>
          <cell r="D2512" t="str">
            <v>PINE GROVE 1101</v>
          </cell>
          <cell r="E2512">
            <v>3170</v>
          </cell>
          <cell r="F2512" t="b">
            <v>0</v>
          </cell>
          <cell r="G2512">
            <v>64049.8846020684</v>
          </cell>
          <cell r="H2512">
            <v>64049.8846020684</v>
          </cell>
          <cell r="I2512">
            <v>445</v>
          </cell>
          <cell r="J2512">
            <v>1.4643778762070899E-4</v>
          </cell>
          <cell r="K2512">
            <v>781</v>
          </cell>
          <cell r="L2512">
            <v>151.35681679402501</v>
          </cell>
          <cell r="M2512">
            <v>1773</v>
          </cell>
          <cell r="N2512">
            <v>1.55336303158339E-2</v>
          </cell>
          <cell r="O2512">
            <v>1768</v>
          </cell>
          <cell r="P2512">
            <v>0.47</v>
          </cell>
          <cell r="Q2512">
            <v>907</v>
          </cell>
        </row>
        <row r="2513">
          <cell r="B2513" t="str">
            <v>PINE GROVE 110152088</v>
          </cell>
          <cell r="C2513">
            <v>163751101</v>
          </cell>
          <cell r="D2513" t="str">
            <v>PINE GROVE 1101</v>
          </cell>
          <cell r="E2513">
            <v>52088</v>
          </cell>
          <cell r="F2513" t="b">
            <v>0</v>
          </cell>
          <cell r="G2513">
            <v>3986.2342185697798</v>
          </cell>
          <cell r="H2513">
            <v>3986.2342185697798</v>
          </cell>
          <cell r="I2513">
            <v>28</v>
          </cell>
          <cell r="J2513">
            <v>1.9224819763102001E-4</v>
          </cell>
          <cell r="K2513">
            <v>433</v>
          </cell>
          <cell r="L2513">
            <v>17.896327403792299</v>
          </cell>
          <cell r="M2513">
            <v>2482</v>
          </cell>
          <cell r="N2513">
            <v>3.2783239098537801E-3</v>
          </cell>
          <cell r="O2513">
            <v>2319</v>
          </cell>
          <cell r="P2513">
            <v>0.06</v>
          </cell>
          <cell r="Q2513">
            <v>1856</v>
          </cell>
        </row>
        <row r="2514">
          <cell r="B2514" t="str">
            <v>PINE GROVE 110194936</v>
          </cell>
          <cell r="C2514">
            <v>163751101</v>
          </cell>
          <cell r="D2514" t="str">
            <v>PINE GROVE 1101</v>
          </cell>
          <cell r="E2514">
            <v>94936</v>
          </cell>
          <cell r="F2514" t="b">
            <v>0</v>
          </cell>
          <cell r="G2514">
            <v>14750.285629361801</v>
          </cell>
          <cell r="H2514">
            <v>14750.285629361801</v>
          </cell>
          <cell r="I2514">
            <v>82</v>
          </cell>
          <cell r="J2514">
            <v>1.04733638909237E-4</v>
          </cell>
          <cell r="K2514">
            <v>1535</v>
          </cell>
          <cell r="L2514">
            <v>117.737537235141</v>
          </cell>
          <cell r="M2514">
            <v>1883</v>
          </cell>
          <cell r="N2514">
            <v>1.0364834002473299E-2</v>
          </cell>
          <cell r="O2514">
            <v>1943</v>
          </cell>
          <cell r="P2514">
            <v>7.0000000000000007E-2</v>
          </cell>
          <cell r="Q2514">
            <v>1716</v>
          </cell>
        </row>
        <row r="2515">
          <cell r="B2515" t="str">
            <v>PINE GROVE 1101CB</v>
          </cell>
          <cell r="C2515">
            <v>163751101</v>
          </cell>
          <cell r="D2515" t="str">
            <v>PINE GROVE 1101</v>
          </cell>
          <cell r="E2515" t="str">
            <v>CB</v>
          </cell>
          <cell r="F2515" t="b">
            <v>0</v>
          </cell>
          <cell r="G2515">
            <v>6922.9716766168704</v>
          </cell>
          <cell r="H2515">
            <v>6922.9716766168704</v>
          </cell>
          <cell r="I2515">
            <v>57</v>
          </cell>
          <cell r="J2515">
            <v>3.6471531641661399E-4</v>
          </cell>
          <cell r="K2515">
            <v>81</v>
          </cell>
          <cell r="L2515">
            <v>15.076712886044399</v>
          </cell>
          <cell r="M2515">
            <v>2531</v>
          </cell>
          <cell r="N2515">
            <v>3.1502167720156402E-3</v>
          </cell>
          <cell r="O2515">
            <v>2334</v>
          </cell>
          <cell r="P2515">
            <v>10.19</v>
          </cell>
          <cell r="Q2515">
            <v>401</v>
          </cell>
        </row>
        <row r="2516">
          <cell r="B2516" t="str">
            <v>PINE GROVE 11021222</v>
          </cell>
          <cell r="C2516">
            <v>163751102</v>
          </cell>
          <cell r="D2516" t="str">
            <v>PINE GROVE 1102</v>
          </cell>
          <cell r="E2516">
            <v>1222</v>
          </cell>
          <cell r="F2516" t="b">
            <v>0</v>
          </cell>
          <cell r="G2516">
            <v>27771.0152789848</v>
          </cell>
          <cell r="H2516">
            <v>27771.0152789848</v>
          </cell>
          <cell r="I2516">
            <v>218</v>
          </cell>
          <cell r="J2516">
            <v>1.8809669324616101E-4</v>
          </cell>
          <cell r="K2516">
            <v>453</v>
          </cell>
          <cell r="L2516">
            <v>22.6531791814249</v>
          </cell>
          <cell r="M2516">
            <v>2414</v>
          </cell>
          <cell r="N2516">
            <v>3.75710143625059E-3</v>
          </cell>
          <cell r="O2516">
            <v>2271</v>
          </cell>
          <cell r="P2516">
            <v>105.89</v>
          </cell>
          <cell r="Q2516">
            <v>18</v>
          </cell>
        </row>
        <row r="2517">
          <cell r="B2517" t="str">
            <v>PINE GROVE 110213438</v>
          </cell>
          <cell r="C2517">
            <v>163751102</v>
          </cell>
          <cell r="D2517" t="str">
            <v>PINE GROVE 1102</v>
          </cell>
          <cell r="E2517">
            <v>13438</v>
          </cell>
          <cell r="F2517" t="b">
            <v>0</v>
          </cell>
          <cell r="G2517">
            <v>26618.918050447501</v>
          </cell>
          <cell r="H2517">
            <v>26618.918050447501</v>
          </cell>
          <cell r="I2517">
            <v>172</v>
          </cell>
          <cell r="J2517">
            <v>1.02643103556461E-4</v>
          </cell>
          <cell r="K2517">
            <v>1581</v>
          </cell>
          <cell r="L2517">
            <v>69.7073868122921</v>
          </cell>
          <cell r="M2517">
            <v>2096</v>
          </cell>
          <cell r="N2517">
            <v>6.39986327962441E-3</v>
          </cell>
          <cell r="O2517">
            <v>2136</v>
          </cell>
          <cell r="P2517">
            <v>82.17</v>
          </cell>
          <cell r="Q2517">
            <v>45</v>
          </cell>
        </row>
        <row r="2518">
          <cell r="B2518" t="str">
            <v>PINE GROVE 11021765</v>
          </cell>
          <cell r="C2518">
            <v>163751102</v>
          </cell>
          <cell r="D2518" t="str">
            <v>PINE GROVE 1102</v>
          </cell>
          <cell r="E2518">
            <v>1765</v>
          </cell>
          <cell r="F2518" t="b">
            <v>0</v>
          </cell>
          <cell r="G2518">
            <v>2336.79522377698</v>
          </cell>
          <cell r="H2518">
            <v>2336.79522377698</v>
          </cell>
          <cell r="I2518">
            <v>20</v>
          </cell>
          <cell r="J2518">
            <v>1.7077646989491701E-4</v>
          </cell>
          <cell r="K2518">
            <v>558</v>
          </cell>
          <cell r="L2518">
            <v>6.0122568278073603</v>
          </cell>
          <cell r="M2518">
            <v>2713</v>
          </cell>
          <cell r="N2518">
            <v>1.38870172419876E-3</v>
          </cell>
          <cell r="O2518">
            <v>2577</v>
          </cell>
          <cell r="P2518">
            <v>15.71</v>
          </cell>
          <cell r="Q2518">
            <v>348</v>
          </cell>
        </row>
        <row r="2519">
          <cell r="B2519" t="str">
            <v>PINE GROVE 11023168</v>
          </cell>
          <cell r="C2519">
            <v>163751102</v>
          </cell>
          <cell r="D2519" t="str">
            <v>PINE GROVE 1102</v>
          </cell>
          <cell r="E2519">
            <v>3168</v>
          </cell>
          <cell r="F2519" t="b">
            <v>0</v>
          </cell>
          <cell r="G2519">
            <v>48228.396067026202</v>
          </cell>
          <cell r="H2519">
            <v>48228.396067026202</v>
          </cell>
          <cell r="I2519">
            <v>285</v>
          </cell>
          <cell r="J2519">
            <v>1.5582673817713801E-4</v>
          </cell>
          <cell r="K2519">
            <v>684</v>
          </cell>
          <cell r="L2519">
            <v>176.21329963893899</v>
          </cell>
          <cell r="M2519">
            <v>1695</v>
          </cell>
          <cell r="N2519">
            <v>2.30449227418036E-2</v>
          </cell>
          <cell r="O2519">
            <v>1602</v>
          </cell>
          <cell r="P2519">
            <v>0.24</v>
          </cell>
          <cell r="Q2519">
            <v>1095</v>
          </cell>
        </row>
        <row r="2520">
          <cell r="B2520" t="str">
            <v>PINE GROVE 11023172</v>
          </cell>
          <cell r="C2520">
            <v>163751102</v>
          </cell>
          <cell r="D2520" t="str">
            <v>PINE GROVE 1102</v>
          </cell>
          <cell r="E2520">
            <v>3172</v>
          </cell>
          <cell r="F2520" t="b">
            <v>0</v>
          </cell>
          <cell r="G2520">
            <v>60635.990525064502</v>
          </cell>
          <cell r="H2520">
            <v>60635.990525064502</v>
          </cell>
          <cell r="I2520">
            <v>448</v>
          </cell>
          <cell r="J2520">
            <v>2.03117605469864E-4</v>
          </cell>
          <cell r="K2520">
            <v>385</v>
          </cell>
          <cell r="L2520">
            <v>59.059414764585199</v>
          </cell>
          <cell r="M2520">
            <v>2161</v>
          </cell>
          <cell r="N2520">
            <v>2.33456371125806E-2</v>
          </cell>
          <cell r="O2520">
            <v>1592</v>
          </cell>
          <cell r="P2520">
            <v>67.489999999999995</v>
          </cell>
          <cell r="Q2520">
            <v>73</v>
          </cell>
        </row>
        <row r="2521">
          <cell r="B2521" t="str">
            <v>PINE GROVE 110235576</v>
          </cell>
          <cell r="C2521">
            <v>163751102</v>
          </cell>
          <cell r="D2521" t="str">
            <v>PINE GROVE 1102</v>
          </cell>
          <cell r="E2521">
            <v>35576</v>
          </cell>
          <cell r="F2521" t="b">
            <v>0</v>
          </cell>
          <cell r="G2521">
            <v>12676.9830238183</v>
          </cell>
          <cell r="H2521">
            <v>12676.9830238183</v>
          </cell>
          <cell r="I2521">
            <v>77</v>
          </cell>
          <cell r="J2521">
            <v>9.9580464245866405E-5</v>
          </cell>
          <cell r="K2521">
            <v>1656</v>
          </cell>
          <cell r="L2521">
            <v>90.208117539522902</v>
          </cell>
          <cell r="M2521">
            <v>1999</v>
          </cell>
          <cell r="N2521">
            <v>8.8444535465487303E-3</v>
          </cell>
          <cell r="O2521">
            <v>2011</v>
          </cell>
          <cell r="P2521">
            <v>51.58</v>
          </cell>
          <cell r="Q2521">
            <v>114</v>
          </cell>
        </row>
        <row r="2522">
          <cell r="B2522" t="str">
            <v>PINE GROVE 110245292</v>
          </cell>
          <cell r="C2522">
            <v>163751102</v>
          </cell>
          <cell r="D2522" t="str">
            <v>PINE GROVE 1102</v>
          </cell>
          <cell r="E2522">
            <v>45292</v>
          </cell>
          <cell r="F2522" t="b">
            <v>0</v>
          </cell>
          <cell r="G2522">
            <v>17350.604704662601</v>
          </cell>
          <cell r="H2522">
            <v>17350.604704662601</v>
          </cell>
          <cell r="I2522">
            <v>132</v>
          </cell>
          <cell r="J2522">
            <v>8.1992982648609303E-5</v>
          </cell>
          <cell r="K2522">
            <v>2156</v>
          </cell>
          <cell r="L2522">
            <v>36.0801610152566</v>
          </cell>
          <cell r="M2522">
            <v>2304</v>
          </cell>
          <cell r="N2522">
            <v>2.2349596828443899E-3</v>
          </cell>
          <cell r="O2522">
            <v>2447</v>
          </cell>
          <cell r="P2522">
            <v>129.86000000000001</v>
          </cell>
          <cell r="Q2522">
            <v>5</v>
          </cell>
        </row>
        <row r="2523">
          <cell r="B2523" t="str">
            <v>PINE GROVE 1102467560</v>
          </cell>
          <cell r="C2523">
            <v>163751102</v>
          </cell>
          <cell r="D2523" t="str">
            <v>PINE GROVE 1102</v>
          </cell>
          <cell r="E2523">
            <v>467560</v>
          </cell>
          <cell r="F2523" t="b">
            <v>0</v>
          </cell>
          <cell r="G2523">
            <v>3279.1789688397998</v>
          </cell>
          <cell r="H2523">
            <v>3279.1789688397998</v>
          </cell>
          <cell r="I2523">
            <v>27</v>
          </cell>
          <cell r="J2523">
            <v>2.7910503424074498E-4</v>
          </cell>
          <cell r="K2523">
            <v>159</v>
          </cell>
          <cell r="L2523">
            <v>44.0774085691897</v>
          </cell>
          <cell r="M2523">
            <v>2252</v>
          </cell>
          <cell r="N2523">
            <v>9.5319695661077002E-3</v>
          </cell>
          <cell r="O2523">
            <v>1980</v>
          </cell>
          <cell r="Q2523">
            <v>2891</v>
          </cell>
        </row>
        <row r="2524">
          <cell r="B2524" t="str">
            <v>PINE GROVE 11026080</v>
          </cell>
          <cell r="C2524">
            <v>163751102</v>
          </cell>
          <cell r="D2524" t="str">
            <v>PINE GROVE 1102</v>
          </cell>
          <cell r="E2524">
            <v>6080</v>
          </cell>
          <cell r="F2524" t="b">
            <v>0</v>
          </cell>
          <cell r="G2524">
            <v>55307.762850594001</v>
          </cell>
          <cell r="H2524">
            <v>55307.762850594001</v>
          </cell>
          <cell r="I2524">
            <v>322</v>
          </cell>
          <cell r="J2524">
            <v>1.14974360700199E-4</v>
          </cell>
          <cell r="K2524">
            <v>1300</v>
          </cell>
          <cell r="L2524">
            <v>414.83361017443002</v>
          </cell>
          <cell r="M2524">
            <v>1277</v>
          </cell>
          <cell r="N2524">
            <v>4.22491537834482E-2</v>
          </cell>
          <cell r="O2524">
            <v>1271</v>
          </cell>
          <cell r="P2524">
            <v>0.17</v>
          </cell>
          <cell r="Q2524">
            <v>1242</v>
          </cell>
        </row>
        <row r="2525">
          <cell r="B2525" t="str">
            <v>PINE GROVE 110283098</v>
          </cell>
          <cell r="C2525">
            <v>163751102</v>
          </cell>
          <cell r="D2525" t="str">
            <v>PINE GROVE 1102</v>
          </cell>
          <cell r="E2525">
            <v>83098</v>
          </cell>
          <cell r="F2525" t="b">
            <v>0</v>
          </cell>
          <cell r="G2525">
            <v>12739.0076906493</v>
          </cell>
          <cell r="H2525">
            <v>12739.0076906493</v>
          </cell>
          <cell r="I2525">
            <v>104</v>
          </cell>
          <cell r="J2525">
            <v>7.5775125354154505E-5</v>
          </cell>
          <cell r="K2525">
            <v>2312</v>
          </cell>
          <cell r="L2525">
            <v>344.47457063270502</v>
          </cell>
          <cell r="M2525">
            <v>1378</v>
          </cell>
          <cell r="N2525">
            <v>2.0136718217398101E-2</v>
          </cell>
          <cell r="O2525">
            <v>1668</v>
          </cell>
          <cell r="P2525">
            <v>45.66</v>
          </cell>
          <cell r="Q2525">
            <v>147</v>
          </cell>
        </row>
        <row r="2526">
          <cell r="B2526" t="str">
            <v>PINE GROVE 1102CB</v>
          </cell>
          <cell r="C2526">
            <v>163751102</v>
          </cell>
          <cell r="D2526" t="str">
            <v>PINE GROVE 1102</v>
          </cell>
          <cell r="E2526" t="str">
            <v>CB</v>
          </cell>
          <cell r="F2526" t="b">
            <v>0</v>
          </cell>
          <cell r="G2526">
            <v>17461.9206432467</v>
          </cell>
          <cell r="H2526">
            <v>17461.9206432467</v>
          </cell>
          <cell r="I2526">
            <v>136</v>
          </cell>
          <cell r="J2526">
            <v>1.49355814595336E-4</v>
          </cell>
          <cell r="K2526">
            <v>745</v>
          </cell>
          <cell r="L2526">
            <v>159.962465899786</v>
          </cell>
          <cell r="M2526">
            <v>1746</v>
          </cell>
          <cell r="N2526">
            <v>1.09523448787247E-2</v>
          </cell>
          <cell r="O2526">
            <v>1920</v>
          </cell>
          <cell r="P2526">
            <v>17.739999999999998</v>
          </cell>
          <cell r="Q2526">
            <v>329</v>
          </cell>
        </row>
        <row r="2527">
          <cell r="B2527" t="str">
            <v>PINECREST 04011818</v>
          </cell>
          <cell r="C2527">
            <v>163160401</v>
          </cell>
          <cell r="D2527" t="str">
            <v>PINECREST 0401</v>
          </cell>
          <cell r="E2527">
            <v>1818</v>
          </cell>
          <cell r="F2527" t="b">
            <v>0</v>
          </cell>
          <cell r="G2527">
            <v>5027.4830345216997</v>
          </cell>
          <cell r="H2527">
            <v>4942.4922770452304</v>
          </cell>
          <cell r="I2527">
            <v>26</v>
          </cell>
          <cell r="J2527">
            <v>4.0999651201463303E-5</v>
          </cell>
          <cell r="K2527">
            <v>3243</v>
          </cell>
          <cell r="L2527">
            <v>14.3865198252533</v>
          </cell>
          <cell r="M2527">
            <v>2542</v>
          </cell>
          <cell r="N2527">
            <v>6.9934721179478105E-4</v>
          </cell>
          <cell r="O2527">
            <v>2684</v>
          </cell>
          <cell r="P2527">
            <v>0.72</v>
          </cell>
          <cell r="Q2527">
            <v>799</v>
          </cell>
        </row>
        <row r="2528">
          <cell r="B2528" t="str">
            <v>PINECREST 0401CB</v>
          </cell>
          <cell r="C2528">
            <v>163160401</v>
          </cell>
          <cell r="D2528" t="str">
            <v>PINECREST 0401</v>
          </cell>
          <cell r="E2528" t="str">
            <v>CB</v>
          </cell>
          <cell r="F2528" t="b">
            <v>1</v>
          </cell>
          <cell r="G2528">
            <v>22.2054786528618</v>
          </cell>
          <cell r="H2528">
            <v>22.2054786528618</v>
          </cell>
          <cell r="I2528">
            <v>1</v>
          </cell>
          <cell r="J2528">
            <v>4.3519776227185503E-5</v>
          </cell>
          <cell r="K2528">
            <v>3201</v>
          </cell>
          <cell r="L2528">
            <v>6.6431229729116206E-2</v>
          </cell>
          <cell r="M2528">
            <v>3088</v>
          </cell>
          <cell r="N2528">
            <v>2.89107225230789E-6</v>
          </cell>
          <cell r="O2528">
            <v>3426</v>
          </cell>
          <cell r="P2528">
            <v>1.9</v>
          </cell>
          <cell r="Q2528">
            <v>633</v>
          </cell>
        </row>
        <row r="2529">
          <cell r="B2529" t="str">
            <v>PIT NO 1 11011552</v>
          </cell>
          <cell r="C2529">
            <v>103721101</v>
          </cell>
          <cell r="D2529" t="str">
            <v>PIT NO 1 1101</v>
          </cell>
          <cell r="E2529">
            <v>1552</v>
          </cell>
          <cell r="F2529" t="b">
            <v>0</v>
          </cell>
          <cell r="G2529">
            <v>42573.193911050199</v>
          </cell>
          <cell r="H2529">
            <v>23841.599243658999</v>
          </cell>
          <cell r="I2529">
            <v>221</v>
          </cell>
          <cell r="J2529">
            <v>3.5304468197557099E-5</v>
          </cell>
          <cell r="K2529">
            <v>3346</v>
          </cell>
          <cell r="L2529">
            <v>839.44519716399395</v>
          </cell>
          <cell r="M2529">
            <v>917</v>
          </cell>
          <cell r="N2529">
            <v>3.3912155853916597E-2</v>
          </cell>
          <cell r="O2529">
            <v>1387</v>
          </cell>
          <cell r="P2529">
            <v>0.02</v>
          </cell>
          <cell r="Q2529">
            <v>2427</v>
          </cell>
        </row>
        <row r="2530">
          <cell r="B2530" t="str">
            <v>PIT NO 1 11013312</v>
          </cell>
          <cell r="C2530">
            <v>103721101</v>
          </cell>
          <cell r="D2530" t="str">
            <v>PIT NO 1 1101</v>
          </cell>
          <cell r="E2530">
            <v>3312</v>
          </cell>
          <cell r="F2530" t="b">
            <v>0</v>
          </cell>
          <cell r="G2530">
            <v>14682.625250262399</v>
          </cell>
          <cell r="H2530">
            <v>12944.3528992356</v>
          </cell>
          <cell r="I2530">
            <v>82</v>
          </cell>
          <cell r="J2530">
            <v>3.1897138151292397E-5</v>
          </cell>
          <cell r="K2530">
            <v>3403</v>
          </cell>
          <cell r="L2530">
            <v>501.34844151957998</v>
          </cell>
          <cell r="M2530">
            <v>1197</v>
          </cell>
          <cell r="N2530">
            <v>1.7169246286012001E-2</v>
          </cell>
          <cell r="O2530">
            <v>1735</v>
          </cell>
          <cell r="P2530">
            <v>0.05</v>
          </cell>
          <cell r="Q2530">
            <v>1934</v>
          </cell>
        </row>
        <row r="2531">
          <cell r="B2531" t="str">
            <v>PIT NO 1 110170952</v>
          </cell>
          <cell r="C2531">
            <v>103721101</v>
          </cell>
          <cell r="D2531" t="str">
            <v>PIT NO 1 1101</v>
          </cell>
          <cell r="E2531">
            <v>70952</v>
          </cell>
          <cell r="F2531" t="b">
            <v>0</v>
          </cell>
          <cell r="G2531">
            <v>2749.7948757733102</v>
          </cell>
          <cell r="H2531">
            <v>2724.6488159811502</v>
          </cell>
          <cell r="I2531">
            <v>29</v>
          </cell>
          <cell r="J2531">
            <v>3.9879679583275899E-5</v>
          </cell>
          <cell r="K2531">
            <v>3272</v>
          </cell>
          <cell r="L2531">
            <v>320.78551742242303</v>
          </cell>
          <cell r="M2531">
            <v>1414</v>
          </cell>
          <cell r="N2531">
            <v>1.46915633748767E-2</v>
          </cell>
          <cell r="O2531">
            <v>1793</v>
          </cell>
          <cell r="P2531">
            <v>0.06</v>
          </cell>
          <cell r="Q2531">
            <v>1812</v>
          </cell>
        </row>
        <row r="2532">
          <cell r="B2532" t="str">
            <v>PIT NO 1 11019702</v>
          </cell>
          <cell r="C2532">
            <v>103721101</v>
          </cell>
          <cell r="D2532" t="str">
            <v>PIT NO 1 1101</v>
          </cell>
          <cell r="E2532">
            <v>9702</v>
          </cell>
          <cell r="F2532" t="b">
            <v>0</v>
          </cell>
          <cell r="G2532">
            <v>14797.5759843501</v>
          </cell>
          <cell r="H2532">
            <v>1035.91674067637</v>
          </cell>
          <cell r="I2532">
            <v>91</v>
          </cell>
          <cell r="J2532">
            <v>3.6155155956091901E-5</v>
          </cell>
          <cell r="K2532">
            <v>3331</v>
          </cell>
          <cell r="L2532">
            <v>189.65339044451699</v>
          </cell>
          <cell r="M2532">
            <v>1664</v>
          </cell>
          <cell r="N2532">
            <v>6.9850261953036197E-3</v>
          </cell>
          <cell r="O2532">
            <v>2093</v>
          </cell>
          <cell r="P2532">
            <v>0.01</v>
          </cell>
          <cell r="Q2532">
            <v>2605</v>
          </cell>
        </row>
        <row r="2533">
          <cell r="B2533" t="str">
            <v>PIT NO 1 1101CB</v>
          </cell>
          <cell r="C2533">
            <v>103721101</v>
          </cell>
          <cell r="D2533" t="str">
            <v>PIT NO 1 1101</v>
          </cell>
          <cell r="E2533" t="str">
            <v>CB</v>
          </cell>
          <cell r="F2533" t="b">
            <v>0</v>
          </cell>
          <cell r="G2533">
            <v>10535.3715930013</v>
          </cell>
          <cell r="H2533">
            <v>10535.3715930013</v>
          </cell>
          <cell r="I2533">
            <v>40</v>
          </cell>
          <cell r="J2533">
            <v>5.8246687740393102E-5</v>
          </cell>
          <cell r="K2533">
            <v>2827</v>
          </cell>
          <cell r="L2533">
            <v>2851.4073011740202</v>
          </cell>
          <cell r="M2533">
            <v>292</v>
          </cell>
          <cell r="N2533">
            <v>0.15705427571775599</v>
          </cell>
          <cell r="O2533">
            <v>484</v>
          </cell>
          <cell r="P2533">
            <v>0.03</v>
          </cell>
          <cell r="Q2533">
            <v>2244</v>
          </cell>
        </row>
        <row r="2534">
          <cell r="B2534" t="str">
            <v>PIT NO 3 21011360</v>
          </cell>
          <cell r="C2534">
            <v>103732101</v>
          </cell>
          <cell r="D2534" t="str">
            <v>PIT NO 3 2101</v>
          </cell>
          <cell r="E2534">
            <v>1360</v>
          </cell>
          <cell r="F2534" t="b">
            <v>0</v>
          </cell>
          <cell r="G2534">
            <v>36445.278661739299</v>
          </cell>
          <cell r="H2534">
            <v>36106.629683857303</v>
          </cell>
          <cell r="I2534">
            <v>92</v>
          </cell>
          <cell r="J2534">
            <v>4.8938151942159197E-5</v>
          </cell>
          <cell r="K2534">
            <v>3066</v>
          </cell>
          <cell r="L2534">
            <v>304.05940246431999</v>
          </cell>
          <cell r="M2534">
            <v>1443</v>
          </cell>
          <cell r="N2534">
            <v>1.15043586769058E-2</v>
          </cell>
          <cell r="O2534">
            <v>1904</v>
          </cell>
          <cell r="P2534">
            <v>0.01</v>
          </cell>
          <cell r="Q2534">
            <v>2568</v>
          </cell>
        </row>
        <row r="2535">
          <cell r="B2535" t="str">
            <v>PIT NO 3 21011386</v>
          </cell>
          <cell r="C2535">
            <v>103732101</v>
          </cell>
          <cell r="D2535" t="str">
            <v>PIT NO 3 2101</v>
          </cell>
          <cell r="E2535">
            <v>1386</v>
          </cell>
          <cell r="F2535" t="b">
            <v>0</v>
          </cell>
          <cell r="G2535">
            <v>11052.9537052453</v>
          </cell>
          <cell r="H2535">
            <v>11052.9537052453</v>
          </cell>
          <cell r="I2535">
            <v>47</v>
          </cell>
          <cell r="J2535">
            <v>6.3474488818180604E-5</v>
          </cell>
          <cell r="K2535">
            <v>2661</v>
          </cell>
          <cell r="L2535">
            <v>296.34058106749001</v>
          </cell>
          <cell r="M2535">
            <v>1453</v>
          </cell>
          <cell r="N2535">
            <v>1.42937709997244E-2</v>
          </cell>
          <cell r="O2535">
            <v>1808</v>
          </cell>
          <cell r="P2535">
            <v>0.01</v>
          </cell>
          <cell r="Q2535">
            <v>2619</v>
          </cell>
        </row>
        <row r="2536">
          <cell r="B2536" t="str">
            <v>PIT NO 3 21011480</v>
          </cell>
          <cell r="C2536">
            <v>103732101</v>
          </cell>
          <cell r="D2536" t="str">
            <v>PIT NO 3 2101</v>
          </cell>
          <cell r="E2536">
            <v>1480</v>
          </cell>
          <cell r="F2536" t="b">
            <v>0</v>
          </cell>
          <cell r="G2536">
            <v>3913.33409087975</v>
          </cell>
          <cell r="H2536">
            <v>3463.9370574396698</v>
          </cell>
          <cell r="I2536">
            <v>20</v>
          </cell>
          <cell r="J2536">
            <v>6.9040365863321806E-5</v>
          </cell>
          <cell r="K2536">
            <v>2506</v>
          </cell>
          <cell r="L2536">
            <v>14.324130232001</v>
          </cell>
          <cell r="M2536">
            <v>2543</v>
          </cell>
          <cell r="N2536">
            <v>1.1038442520026699E-3</v>
          </cell>
          <cell r="O2536">
            <v>2617</v>
          </cell>
          <cell r="P2536">
            <v>0.02</v>
          </cell>
          <cell r="Q2536">
            <v>2410</v>
          </cell>
        </row>
        <row r="2537">
          <cell r="B2537" t="str">
            <v>PIT NO 3 21011482</v>
          </cell>
          <cell r="C2537">
            <v>103732101</v>
          </cell>
          <cell r="D2537" t="str">
            <v>PIT NO 3 2101</v>
          </cell>
          <cell r="E2537">
            <v>1482</v>
          </cell>
          <cell r="F2537" t="b">
            <v>0</v>
          </cell>
          <cell r="G2537">
            <v>19365.264454132299</v>
          </cell>
          <cell r="H2537">
            <v>19365.264454132299</v>
          </cell>
          <cell r="I2537">
            <v>43</v>
          </cell>
          <cell r="J2537">
            <v>1.4940168657631101E-4</v>
          </cell>
          <cell r="K2537">
            <v>744</v>
          </cell>
          <cell r="L2537">
            <v>53.693428713487698</v>
          </cell>
          <cell r="M2537">
            <v>2189</v>
          </cell>
          <cell r="N2537">
            <v>3.2734593516852602E-3</v>
          </cell>
          <cell r="O2537">
            <v>2320</v>
          </cell>
          <cell r="P2537">
            <v>0.01</v>
          </cell>
          <cell r="Q2537">
            <v>2603</v>
          </cell>
        </row>
        <row r="2538">
          <cell r="B2538" t="str">
            <v>PIT NO 3 2101CB</v>
          </cell>
          <cell r="C2538">
            <v>103732101</v>
          </cell>
          <cell r="D2538" t="str">
            <v>PIT NO 3 2101</v>
          </cell>
          <cell r="E2538" t="str">
            <v>CB</v>
          </cell>
          <cell r="F2538" t="b">
            <v>0</v>
          </cell>
          <cell r="G2538">
            <v>7292.0294117795402</v>
          </cell>
          <cell r="H2538">
            <v>7292.0294117795402</v>
          </cell>
          <cell r="I2538">
            <v>7</v>
          </cell>
          <cell r="J2538">
            <v>1.04210757126566E-4</v>
          </cell>
          <cell r="K2538">
            <v>1546</v>
          </cell>
          <cell r="L2538">
            <v>1059.62636893592</v>
          </cell>
          <cell r="M2538">
            <v>793</v>
          </cell>
          <cell r="N2538">
            <v>1.4070447556986001E-2</v>
          </cell>
          <cell r="O2538">
            <v>1816</v>
          </cell>
          <cell r="P2538">
            <v>0.03</v>
          </cell>
          <cell r="Q2538">
            <v>2309</v>
          </cell>
        </row>
        <row r="2539">
          <cell r="B2539" t="str">
            <v>PIT NO 5 11011606</v>
          </cell>
          <cell r="C2539">
            <v>101321101</v>
          </cell>
          <cell r="D2539" t="str">
            <v>PIT NO 5 1101</v>
          </cell>
          <cell r="E2539">
            <v>1606</v>
          </cell>
          <cell r="F2539" t="b">
            <v>0</v>
          </cell>
          <cell r="G2539">
            <v>8892.9458594664902</v>
          </cell>
          <cell r="H2539">
            <v>8892.9458594664902</v>
          </cell>
          <cell r="I2539">
            <v>40</v>
          </cell>
          <cell r="J2539">
            <v>1.46778360704047E-4</v>
          </cell>
          <cell r="K2539">
            <v>776</v>
          </cell>
          <cell r="L2539">
            <v>232.850780396711</v>
          </cell>
          <cell r="M2539">
            <v>1580</v>
          </cell>
          <cell r="N2539">
            <v>3.6482209639053499E-2</v>
          </cell>
          <cell r="O2539">
            <v>1345</v>
          </cell>
          <cell r="P2539">
            <v>0.01</v>
          </cell>
          <cell r="Q2539">
            <v>2612</v>
          </cell>
        </row>
        <row r="2540">
          <cell r="B2540" t="str">
            <v>PIT NO 5 11011614</v>
          </cell>
          <cell r="C2540">
            <v>101321101</v>
          </cell>
          <cell r="D2540" t="str">
            <v>PIT NO 5 1101</v>
          </cell>
          <cell r="E2540">
            <v>1614</v>
          </cell>
          <cell r="F2540" t="b">
            <v>0</v>
          </cell>
          <cell r="G2540">
            <v>3000.41116634024</v>
          </cell>
          <cell r="H2540">
            <v>3000.41116634024</v>
          </cell>
          <cell r="I2540">
            <v>5</v>
          </cell>
          <cell r="J2540">
            <v>1.0012370785261701E-4</v>
          </cell>
          <cell r="K2540">
            <v>1643</v>
          </cell>
          <cell r="L2540">
            <v>9.5752869256355808</v>
          </cell>
          <cell r="M2540">
            <v>2631</v>
          </cell>
          <cell r="N2540">
            <v>6.6513410376881404E-6</v>
          </cell>
          <cell r="O2540">
            <v>3182</v>
          </cell>
          <cell r="P2540">
            <v>0.01</v>
          </cell>
          <cell r="Q2540">
            <v>2585</v>
          </cell>
        </row>
        <row r="2541">
          <cell r="B2541" t="str">
            <v>PIT NO 5 11011618</v>
          </cell>
          <cell r="C2541">
            <v>101321101</v>
          </cell>
          <cell r="D2541" t="str">
            <v>PIT NO 5 1101</v>
          </cell>
          <cell r="E2541">
            <v>1618</v>
          </cell>
          <cell r="F2541" t="b">
            <v>0</v>
          </cell>
          <cell r="G2541">
            <v>9746.1597558651392</v>
          </cell>
          <cell r="H2541">
            <v>9746.1597558651392</v>
          </cell>
          <cell r="I2541">
            <v>15</v>
          </cell>
          <cell r="J2541">
            <v>1.08391776545128E-4</v>
          </cell>
          <cell r="K2541">
            <v>1441</v>
          </cell>
          <cell r="L2541">
            <v>237.78951197677301</v>
          </cell>
          <cell r="M2541">
            <v>1574</v>
          </cell>
          <cell r="N2541">
            <v>2.8087244133192302E-2</v>
          </cell>
          <cell r="O2541">
            <v>1495</v>
          </cell>
          <cell r="P2541">
            <v>0</v>
          </cell>
          <cell r="Q2541">
            <v>2632</v>
          </cell>
        </row>
        <row r="2542">
          <cell r="B2542" t="str">
            <v>PIT NO 5 11011658</v>
          </cell>
          <cell r="C2542">
            <v>101321101</v>
          </cell>
          <cell r="D2542" t="str">
            <v>PIT NO 5 1101</v>
          </cell>
          <cell r="E2542">
            <v>1658</v>
          </cell>
          <cell r="F2542" t="b">
            <v>0</v>
          </cell>
          <cell r="G2542">
            <v>7306.3402334715702</v>
          </cell>
          <cell r="H2542">
            <v>7306.3402334715702</v>
          </cell>
          <cell r="I2542">
            <v>25</v>
          </cell>
          <cell r="J2542">
            <v>1.3980310632177799E-4</v>
          </cell>
          <cell r="K2542">
            <v>870</v>
          </cell>
          <cell r="L2542">
            <v>46.662874655344901</v>
          </cell>
          <cell r="M2542">
            <v>2236</v>
          </cell>
          <cell r="N2542">
            <v>3.1838811159354201E-3</v>
          </cell>
          <cell r="O2542">
            <v>2329</v>
          </cell>
          <cell r="P2542">
            <v>0.02</v>
          </cell>
          <cell r="Q2542">
            <v>2471</v>
          </cell>
        </row>
        <row r="2543">
          <cell r="B2543" t="str">
            <v>PIT NO 5 11011660</v>
          </cell>
          <cell r="C2543">
            <v>101321101</v>
          </cell>
          <cell r="D2543" t="str">
            <v>PIT NO 5 1101</v>
          </cell>
          <cell r="E2543">
            <v>1660</v>
          </cell>
          <cell r="F2543" t="b">
            <v>0</v>
          </cell>
          <cell r="G2543">
            <v>7855.6792934936202</v>
          </cell>
          <cell r="H2543">
            <v>7855.6792934936202</v>
          </cell>
          <cell r="I2543">
            <v>43</v>
          </cell>
          <cell r="J2543">
            <v>1.40386909722935E-4</v>
          </cell>
          <cell r="K2543">
            <v>865</v>
          </cell>
          <cell r="L2543">
            <v>43.740824051904902</v>
          </cell>
          <cell r="M2543">
            <v>2254</v>
          </cell>
          <cell r="N2543">
            <v>5.5184764027436401E-3</v>
          </cell>
          <cell r="O2543">
            <v>2181</v>
          </cell>
          <cell r="P2543">
            <v>0.02</v>
          </cell>
          <cell r="Q2543">
            <v>2545</v>
          </cell>
        </row>
        <row r="2544">
          <cell r="B2544" t="str">
            <v>PIT NO 5 110190846</v>
          </cell>
          <cell r="C2544">
            <v>101321101</v>
          </cell>
          <cell r="D2544" t="str">
            <v>PIT NO 5 1101</v>
          </cell>
          <cell r="E2544">
            <v>90846</v>
          </cell>
          <cell r="F2544" t="b">
            <v>1</v>
          </cell>
          <cell r="G2544">
            <v>149.20496905529001</v>
          </cell>
          <cell r="H2544">
            <v>149.20496905529001</v>
          </cell>
          <cell r="I2544">
            <v>2</v>
          </cell>
          <cell r="J2544">
            <v>1.14528284029802E-4</v>
          </cell>
          <cell r="K2544">
            <v>1306</v>
          </cell>
          <cell r="L2544">
            <v>6.6431229729116206E-2</v>
          </cell>
          <cell r="M2544">
            <v>3082</v>
          </cell>
          <cell r="N2544">
            <v>7.60825474686527E-6</v>
          </cell>
          <cell r="O2544">
            <v>3139</v>
          </cell>
          <cell r="P2544">
            <v>0.01</v>
          </cell>
          <cell r="Q2544">
            <v>2578</v>
          </cell>
        </row>
        <row r="2545">
          <cell r="B2545" t="str">
            <v>PIT NO 5 1101CB</v>
          </cell>
          <cell r="C2545">
            <v>101321101</v>
          </cell>
          <cell r="D2545" t="str">
            <v>PIT NO 5 1101</v>
          </cell>
          <cell r="E2545" t="str">
            <v>CB</v>
          </cell>
          <cell r="F2545" t="b">
            <v>0</v>
          </cell>
          <cell r="G2545">
            <v>1162.2395219073001</v>
          </cell>
          <cell r="H2545">
            <v>1162.2395219073001</v>
          </cell>
          <cell r="I2545">
            <v>10</v>
          </cell>
          <cell r="J2545">
            <v>1.3488209951901801E-4</v>
          </cell>
          <cell r="K2545">
            <v>929</v>
          </cell>
          <cell r="L2545">
            <v>47.610706815581601</v>
          </cell>
          <cell r="M2545">
            <v>2224</v>
          </cell>
          <cell r="N2545">
            <v>4.6278732380229601E-3</v>
          </cell>
          <cell r="O2545">
            <v>2224</v>
          </cell>
          <cell r="P2545">
            <v>0.01</v>
          </cell>
          <cell r="Q2545">
            <v>2572</v>
          </cell>
        </row>
        <row r="2546">
          <cell r="B2546" t="str">
            <v>PIT NO 7 1101CB</v>
          </cell>
          <cell r="C2546">
            <v>103501101</v>
          </cell>
          <cell r="D2546" t="str">
            <v>PIT NO 7 1101</v>
          </cell>
          <cell r="E2546" t="str">
            <v>CB</v>
          </cell>
          <cell r="F2546" t="b">
            <v>0</v>
          </cell>
          <cell r="G2546">
            <v>4357.8456708900603</v>
          </cell>
          <cell r="H2546">
            <v>4357.8456708900603</v>
          </cell>
          <cell r="I2546">
            <v>3</v>
          </cell>
          <cell r="J2546">
            <v>1.08847673800482E-4</v>
          </cell>
          <cell r="K2546">
            <v>1430</v>
          </cell>
          <cell r="L2546">
            <v>808.71754953122502</v>
          </cell>
          <cell r="M2546">
            <v>931</v>
          </cell>
          <cell r="N2546">
            <v>6.0819005324888598E-2</v>
          </cell>
          <cell r="O2546">
            <v>1055</v>
          </cell>
          <cell r="P2546">
            <v>0.02</v>
          </cell>
          <cell r="Q2546">
            <v>2472</v>
          </cell>
        </row>
        <row r="2547">
          <cell r="B2547" t="str">
            <v>PLACER 1101106534</v>
          </cell>
          <cell r="C2547">
            <v>152461101</v>
          </cell>
          <cell r="D2547" t="str">
            <v>PLACER 1101</v>
          </cell>
          <cell r="E2547">
            <v>106534</v>
          </cell>
          <cell r="F2547" t="b">
            <v>0</v>
          </cell>
          <cell r="G2547">
            <v>4199.7802871886997</v>
          </cell>
          <cell r="H2547">
            <v>1949.24830152103</v>
          </cell>
          <cell r="I2547">
            <v>38</v>
          </cell>
          <cell r="J2547">
            <v>2.4792878225286401E-4</v>
          </cell>
          <cell r="K2547">
            <v>223</v>
          </cell>
          <cell r="L2547">
            <v>15.699159824098199</v>
          </cell>
          <cell r="M2547">
            <v>2522</v>
          </cell>
          <cell r="N2547">
            <v>3.8424875440681199E-3</v>
          </cell>
          <cell r="O2547">
            <v>2264</v>
          </cell>
          <cell r="Q2547">
            <v>3012</v>
          </cell>
        </row>
        <row r="2548">
          <cell r="B2548" t="str">
            <v>PLACER 1101208930</v>
          </cell>
          <cell r="C2548">
            <v>152461101</v>
          </cell>
          <cell r="D2548" t="str">
            <v>PLACER 1101</v>
          </cell>
          <cell r="E2548">
            <v>208930</v>
          </cell>
          <cell r="F2548" t="b">
            <v>1</v>
          </cell>
          <cell r="G2548">
            <v>1425.5586502657</v>
          </cell>
          <cell r="H2548">
            <v>187.12652976872999</v>
          </cell>
          <cell r="I2548">
            <v>10</v>
          </cell>
          <cell r="J2548">
            <v>1.8882153947035599E-4</v>
          </cell>
          <cell r="K2548">
            <v>449</v>
          </cell>
          <cell r="L2548">
            <v>11.1381071419924</v>
          </cell>
          <cell r="M2548">
            <v>2605</v>
          </cell>
          <cell r="N2548">
            <v>1.2301721254228899E-5</v>
          </cell>
          <cell r="O2548">
            <v>3034</v>
          </cell>
          <cell r="Q2548">
            <v>2804</v>
          </cell>
        </row>
        <row r="2549">
          <cell r="B2549" t="str">
            <v>PLACER 1102CB</v>
          </cell>
          <cell r="C2549">
            <v>152461102</v>
          </cell>
          <cell r="D2549" t="str">
            <v>PLACER 1102</v>
          </cell>
          <cell r="E2549" t="str">
            <v>CB</v>
          </cell>
          <cell r="F2549" t="b">
            <v>0</v>
          </cell>
          <cell r="G2549">
            <v>3445.1402868571699</v>
          </cell>
          <cell r="H2549">
            <v>3361.73016112817</v>
          </cell>
          <cell r="I2549">
            <v>23</v>
          </cell>
          <cell r="J2549">
            <v>1.94124601131823E-4</v>
          </cell>
          <cell r="K2549">
            <v>423</v>
          </cell>
          <cell r="L2549">
            <v>17.286900626033599</v>
          </cell>
          <cell r="M2549">
            <v>2496</v>
          </cell>
          <cell r="N2549">
            <v>2.0369060207293798E-3</v>
          </cell>
          <cell r="O2549">
            <v>2475</v>
          </cell>
          <cell r="P2549">
            <v>0.54</v>
          </cell>
          <cell r="Q2549">
            <v>878</v>
          </cell>
        </row>
        <row r="2550">
          <cell r="B2550" t="str">
            <v>PLACER 1103238990</v>
          </cell>
          <cell r="C2550">
            <v>152461103</v>
          </cell>
          <cell r="D2550" t="str">
            <v>PLACER 1103</v>
          </cell>
          <cell r="E2550">
            <v>238990</v>
          </cell>
          <cell r="F2550" t="b">
            <v>1</v>
          </cell>
          <cell r="G2550">
            <v>9730.7172551723997</v>
          </cell>
          <cell r="H2550">
            <v>65.077310589736996</v>
          </cell>
          <cell r="I2550">
            <v>84</v>
          </cell>
          <cell r="J2550">
            <v>1.79340604431456E-4</v>
          </cell>
          <cell r="K2550">
            <v>513</v>
          </cell>
          <cell r="L2550">
            <v>66.729488227561404</v>
          </cell>
          <cell r="M2550">
            <v>2111</v>
          </cell>
          <cell r="N2550">
            <v>8.01838766175921E-3</v>
          </cell>
          <cell r="O2550">
            <v>2046</v>
          </cell>
          <cell r="Q2550">
            <v>2918</v>
          </cell>
        </row>
        <row r="2551">
          <cell r="B2551" t="str">
            <v>PLACER 1103284874</v>
          </cell>
          <cell r="C2551">
            <v>152461103</v>
          </cell>
          <cell r="D2551" t="str">
            <v>PLACER 1103</v>
          </cell>
          <cell r="E2551">
            <v>284874</v>
          </cell>
          <cell r="F2551" t="b">
            <v>0</v>
          </cell>
          <cell r="G2551">
            <v>7928.0422667351204</v>
          </cell>
          <cell r="H2551">
            <v>3450.7709588472699</v>
          </cell>
          <cell r="I2551">
            <v>56</v>
          </cell>
          <cell r="J2551">
            <v>1.62808275133232E-4</v>
          </cell>
          <cell r="K2551">
            <v>613</v>
          </cell>
          <cell r="L2551">
            <v>825.21121338446005</v>
          </cell>
          <cell r="M2551">
            <v>923</v>
          </cell>
          <cell r="N2551">
            <v>0.103222007446754</v>
          </cell>
          <cell r="O2551">
            <v>745</v>
          </cell>
          <cell r="Q2551">
            <v>2708</v>
          </cell>
        </row>
        <row r="2552">
          <cell r="B2552" t="str">
            <v>PLACER 1103429574</v>
          </cell>
          <cell r="C2552">
            <v>152461103</v>
          </cell>
          <cell r="D2552" t="str">
            <v>PLACER 1103</v>
          </cell>
          <cell r="E2552">
            <v>429574</v>
          </cell>
          <cell r="F2552" t="b">
            <v>0</v>
          </cell>
          <cell r="G2552">
            <v>15346.741498941299</v>
          </cell>
          <cell r="H2552">
            <v>8004.04743269152</v>
          </cell>
          <cell r="I2552">
            <v>114</v>
          </cell>
          <cell r="J2552">
            <v>1.9074419613293399E-4</v>
          </cell>
          <cell r="K2552">
            <v>439</v>
          </cell>
          <cell r="L2552">
            <v>99.341291302034307</v>
          </cell>
          <cell r="M2552">
            <v>1955</v>
          </cell>
          <cell r="N2552">
            <v>1.10827192572867E-2</v>
          </cell>
          <cell r="O2552">
            <v>1915</v>
          </cell>
          <cell r="Q2552">
            <v>2857</v>
          </cell>
        </row>
        <row r="2553">
          <cell r="B2553" t="str">
            <v>PLACER 1103CB</v>
          </cell>
          <cell r="C2553">
            <v>152461103</v>
          </cell>
          <cell r="D2553" t="str">
            <v>PLACER 1103</v>
          </cell>
          <cell r="E2553" t="str">
            <v>CB</v>
          </cell>
          <cell r="F2553" t="b">
            <v>0</v>
          </cell>
          <cell r="G2553">
            <v>14529.9116469704</v>
          </cell>
          <cell r="H2553">
            <v>11213.2305116019</v>
          </cell>
          <cell r="I2553">
            <v>99</v>
          </cell>
          <cell r="J2553">
            <v>1.5794222866069701E-4</v>
          </cell>
          <cell r="K2553">
            <v>663</v>
          </cell>
          <cell r="L2553">
            <v>471.15169047548699</v>
          </cell>
          <cell r="M2553">
            <v>1224</v>
          </cell>
          <cell r="N2553">
            <v>5.5350393733910902E-2</v>
          </cell>
          <cell r="O2553">
            <v>1116</v>
          </cell>
          <cell r="P2553">
            <v>0.06</v>
          </cell>
          <cell r="Q2553">
            <v>1842</v>
          </cell>
        </row>
        <row r="2554">
          <cell r="B2554" t="str">
            <v>PLACER 110451732</v>
          </cell>
          <cell r="C2554">
            <v>152461104</v>
          </cell>
          <cell r="D2554" t="str">
            <v>PLACER 1104</v>
          </cell>
          <cell r="E2554">
            <v>51732</v>
          </cell>
          <cell r="F2554" t="b">
            <v>0</v>
          </cell>
          <cell r="G2554">
            <v>12971.5883823858</v>
          </cell>
          <cell r="H2554">
            <v>1093.59208388554</v>
          </cell>
          <cell r="I2554">
            <v>110</v>
          </cell>
          <cell r="J2554">
            <v>1.9844884595966099E-4</v>
          </cell>
          <cell r="K2554">
            <v>402</v>
          </cell>
          <cell r="L2554">
            <v>3.0885865480237702</v>
          </cell>
          <cell r="M2554">
            <v>2809</v>
          </cell>
          <cell r="N2554">
            <v>9.7323012838282299E-4</v>
          </cell>
          <cell r="O2554">
            <v>2640</v>
          </cell>
          <cell r="P2554">
            <v>0.02</v>
          </cell>
          <cell r="Q2554">
            <v>2495</v>
          </cell>
        </row>
        <row r="2555">
          <cell r="B2555" t="str">
            <v>PLACERVILLE 1109CB</v>
          </cell>
          <cell r="C2555">
            <v>153081109</v>
          </cell>
          <cell r="D2555" t="str">
            <v>PLACERVILLE 1109</v>
          </cell>
          <cell r="E2555" t="str">
            <v>CB</v>
          </cell>
          <cell r="F2555" t="b">
            <v>0</v>
          </cell>
          <cell r="G2555">
            <v>17781.886327346499</v>
          </cell>
          <cell r="H2555">
            <v>17449.874245935302</v>
          </cell>
          <cell r="I2555">
            <v>133</v>
          </cell>
          <cell r="J2555">
            <v>2.8585432270954002E-4</v>
          </cell>
          <cell r="K2555">
            <v>146</v>
          </cell>
          <cell r="L2555">
            <v>98.883776300909304</v>
          </cell>
          <cell r="M2555">
            <v>1960</v>
          </cell>
          <cell r="N2555">
            <v>1.5996225400844898E-2</v>
          </cell>
          <cell r="O2555">
            <v>1761</v>
          </cell>
          <cell r="P2555">
            <v>0.03</v>
          </cell>
          <cell r="Q2555">
            <v>2400</v>
          </cell>
        </row>
        <row r="2556">
          <cell r="B2556" t="str">
            <v>PLACERVILLE 111019582</v>
          </cell>
          <cell r="C2556">
            <v>153081110</v>
          </cell>
          <cell r="D2556" t="str">
            <v>PLACERVILLE 1110</v>
          </cell>
          <cell r="E2556">
            <v>19582</v>
          </cell>
          <cell r="F2556" t="b">
            <v>0</v>
          </cell>
          <cell r="G2556">
            <v>11698.5343735979</v>
          </cell>
          <cell r="H2556">
            <v>11698.5343735979</v>
          </cell>
          <cell r="I2556">
            <v>80</v>
          </cell>
          <cell r="J2556">
            <v>1.7310122711933199E-4</v>
          </cell>
          <cell r="K2556">
            <v>541</v>
          </cell>
          <cell r="L2556">
            <v>110.89906744176901</v>
          </cell>
          <cell r="M2556">
            <v>1908</v>
          </cell>
          <cell r="N2556">
            <v>1.6762068421048701E-2</v>
          </cell>
          <cell r="O2556">
            <v>1746</v>
          </cell>
          <cell r="P2556">
            <v>0.2</v>
          </cell>
          <cell r="Q2556">
            <v>1168</v>
          </cell>
        </row>
        <row r="2557">
          <cell r="B2557" t="str">
            <v>PLACERVILLE 1110421358</v>
          </cell>
          <cell r="C2557">
            <v>153081110</v>
          </cell>
          <cell r="D2557" t="str">
            <v>PLACERVILLE 1110</v>
          </cell>
          <cell r="E2557">
            <v>421358</v>
          </cell>
          <cell r="F2557" t="b">
            <v>0</v>
          </cell>
          <cell r="G2557">
            <v>23870.671149366099</v>
          </cell>
          <cell r="H2557">
            <v>23870.671149366099</v>
          </cell>
          <cell r="I2557">
            <v>169</v>
          </cell>
          <cell r="J2557">
            <v>1.2253865136136399E-4</v>
          </cell>
          <cell r="K2557">
            <v>1140</v>
          </cell>
          <cell r="L2557">
            <v>802.55365902430594</v>
          </cell>
          <cell r="M2557">
            <v>940</v>
          </cell>
          <cell r="N2557">
            <v>0.112859755190251</v>
          </cell>
          <cell r="O2557">
            <v>689</v>
          </cell>
          <cell r="Q2557">
            <v>2784</v>
          </cell>
        </row>
        <row r="2558">
          <cell r="B2558" t="str">
            <v>PLACERVILLE 1110953474</v>
          </cell>
          <cell r="C2558">
            <v>153081110</v>
          </cell>
          <cell r="D2558" t="str">
            <v>PLACERVILLE 1110</v>
          </cell>
          <cell r="E2558">
            <v>953474</v>
          </cell>
          <cell r="F2558" t="b">
            <v>0</v>
          </cell>
          <cell r="G2558">
            <v>17115.5789499899</v>
          </cell>
          <cell r="H2558">
            <v>17115.5789499899</v>
          </cell>
          <cell r="I2558">
            <v>133</v>
          </cell>
          <cell r="J2558">
            <v>2.45000569773942E-4</v>
          </cell>
          <cell r="K2558">
            <v>233</v>
          </cell>
          <cell r="L2558">
            <v>47.062977911234299</v>
          </cell>
          <cell r="M2558">
            <v>2231</v>
          </cell>
          <cell r="N2558">
            <v>7.1239110133161599E-3</v>
          </cell>
          <cell r="O2558">
            <v>2088</v>
          </cell>
          <cell r="Q2558">
            <v>2666</v>
          </cell>
        </row>
        <row r="2559">
          <cell r="B2559" t="str">
            <v>PLACERVILLE 1110CB</v>
          </cell>
          <cell r="C2559">
            <v>153081110</v>
          </cell>
          <cell r="D2559" t="str">
            <v>PLACERVILLE 1110</v>
          </cell>
          <cell r="E2559" t="str">
            <v>CB</v>
          </cell>
          <cell r="F2559" t="b">
            <v>0</v>
          </cell>
          <cell r="G2559">
            <v>2889.8933438989402</v>
          </cell>
          <cell r="H2559">
            <v>1390.1140913824599</v>
          </cell>
          <cell r="I2559">
            <v>28</v>
          </cell>
          <cell r="J2559">
            <v>2.2920294785373099E-4</v>
          </cell>
          <cell r="K2559">
            <v>288</v>
          </cell>
          <cell r="L2559">
            <v>6.5744991202520503E-2</v>
          </cell>
          <cell r="M2559">
            <v>3295</v>
          </cell>
          <cell r="N2559">
            <v>1.50345203932029E-5</v>
          </cell>
          <cell r="O2559">
            <v>3007</v>
          </cell>
          <cell r="P2559">
            <v>0.09</v>
          </cell>
          <cell r="Q2559">
            <v>1554</v>
          </cell>
        </row>
        <row r="2560">
          <cell r="B2560" t="str">
            <v>PLACERVILLE 1111508410</v>
          </cell>
          <cell r="C2560">
            <v>153081111</v>
          </cell>
          <cell r="D2560" t="str">
            <v>PLACERVILLE 1111</v>
          </cell>
          <cell r="E2560">
            <v>508410</v>
          </cell>
          <cell r="F2560" t="b">
            <v>0</v>
          </cell>
          <cell r="G2560">
            <v>8406.5824793239208</v>
          </cell>
          <cell r="H2560">
            <v>7530.8770902331598</v>
          </cell>
          <cell r="I2560">
            <v>73</v>
          </cell>
          <cell r="J2560">
            <v>2.7280402180821601E-4</v>
          </cell>
          <cell r="K2560">
            <v>169</v>
          </cell>
          <cell r="L2560">
            <v>8.8564289250403405</v>
          </cell>
          <cell r="M2560">
            <v>2647</v>
          </cell>
          <cell r="N2560">
            <v>2.1620467503353199E-3</v>
          </cell>
          <cell r="O2560">
            <v>2459</v>
          </cell>
          <cell r="Q2560">
            <v>2754</v>
          </cell>
        </row>
        <row r="2561">
          <cell r="B2561" t="str">
            <v>PLACERVILLE 1111610322</v>
          </cell>
          <cell r="C2561">
            <v>153081111</v>
          </cell>
          <cell r="D2561" t="str">
            <v>PLACERVILLE 1111</v>
          </cell>
          <cell r="E2561">
            <v>610322</v>
          </cell>
          <cell r="F2561" t="b">
            <v>1</v>
          </cell>
          <cell r="G2561">
            <v>220.686681654202</v>
          </cell>
          <cell r="H2561">
            <v>220.686681654202</v>
          </cell>
          <cell r="I2561">
            <v>3</v>
          </cell>
          <cell r="J2561">
            <v>1.29829359745296E-4</v>
          </cell>
          <cell r="K2561">
            <v>1012</v>
          </cell>
          <cell r="L2561">
            <v>6.6004351056680496E-2</v>
          </cell>
          <cell r="M2561">
            <v>3217</v>
          </cell>
          <cell r="N2561">
            <v>8.5934725210007095E-6</v>
          </cell>
          <cell r="O2561">
            <v>3106</v>
          </cell>
          <cell r="Q2561">
            <v>3607</v>
          </cell>
        </row>
        <row r="2562">
          <cell r="B2562" t="str">
            <v>PLACERVILLE 11118582</v>
          </cell>
          <cell r="C2562">
            <v>153081111</v>
          </cell>
          <cell r="D2562" t="str">
            <v>PLACERVILLE 1111</v>
          </cell>
          <cell r="E2562">
            <v>8582</v>
          </cell>
          <cell r="F2562" t="b">
            <v>0</v>
          </cell>
          <cell r="G2562">
            <v>19173.639781845501</v>
          </cell>
          <cell r="H2562">
            <v>15254.777066656299</v>
          </cell>
          <cell r="I2562">
            <v>163</v>
          </cell>
          <cell r="J2562">
            <v>1.8689335940139299E-4</v>
          </cell>
          <cell r="K2562">
            <v>463</v>
          </cell>
          <cell r="L2562">
            <v>41.132975623360203</v>
          </cell>
          <cell r="M2562">
            <v>2272</v>
          </cell>
          <cell r="N2562">
            <v>6.1345264314606801E-3</v>
          </cell>
          <cell r="O2562">
            <v>2147</v>
          </cell>
          <cell r="P2562">
            <v>0.05</v>
          </cell>
          <cell r="Q2562">
            <v>1953</v>
          </cell>
        </row>
        <row r="2563">
          <cell r="B2563" t="str">
            <v>PLACERVILLE 1111CB</v>
          </cell>
          <cell r="C2563">
            <v>153081111</v>
          </cell>
          <cell r="D2563" t="str">
            <v>PLACERVILLE 1111</v>
          </cell>
          <cell r="E2563" t="str">
            <v>CB</v>
          </cell>
          <cell r="F2563" t="b">
            <v>0</v>
          </cell>
          <cell r="G2563">
            <v>2249.8408289414001</v>
          </cell>
          <cell r="H2563">
            <v>2245.2688315953201</v>
          </cell>
          <cell r="I2563">
            <v>16</v>
          </cell>
          <cell r="J2563">
            <v>3.2885755081224401E-4</v>
          </cell>
          <cell r="K2563">
            <v>103</v>
          </cell>
          <cell r="L2563">
            <v>6.6351435567394604E-2</v>
          </cell>
          <cell r="M2563">
            <v>3136</v>
          </cell>
          <cell r="N2563">
            <v>2.18272926277943E-5</v>
          </cell>
          <cell r="O2563">
            <v>2960</v>
          </cell>
          <cell r="P2563">
            <v>0.1</v>
          </cell>
          <cell r="Q2563">
            <v>1487</v>
          </cell>
        </row>
        <row r="2564">
          <cell r="B2564" t="str">
            <v>PLACERVILLE 111219712</v>
          </cell>
          <cell r="C2564">
            <v>153081112</v>
          </cell>
          <cell r="D2564" t="str">
            <v>PLACERVILLE 1112</v>
          </cell>
          <cell r="E2564">
            <v>19712</v>
          </cell>
          <cell r="F2564" t="b">
            <v>0</v>
          </cell>
          <cell r="G2564">
            <v>20850.336901143601</v>
          </cell>
          <cell r="H2564">
            <v>20776.286755453999</v>
          </cell>
          <cell r="I2564">
            <v>151</v>
          </cell>
          <cell r="J2564">
            <v>1.45001857018596E-4</v>
          </cell>
          <cell r="K2564">
            <v>801</v>
          </cell>
          <cell r="L2564">
            <v>90.571537185241795</v>
          </cell>
          <cell r="M2564">
            <v>1997</v>
          </cell>
          <cell r="N2564">
            <v>6.4118114066581203E-3</v>
          </cell>
          <cell r="O2564">
            <v>2135</v>
          </cell>
          <cell r="P2564">
            <v>0.12</v>
          </cell>
          <cell r="Q2564">
            <v>1371</v>
          </cell>
        </row>
        <row r="2565">
          <cell r="B2565" t="str">
            <v>PLACERVILLE 111219742</v>
          </cell>
          <cell r="C2565">
            <v>153081112</v>
          </cell>
          <cell r="D2565" t="str">
            <v>PLACERVILLE 1112</v>
          </cell>
          <cell r="E2565">
            <v>19742</v>
          </cell>
          <cell r="F2565" t="b">
            <v>0</v>
          </cell>
          <cell r="G2565">
            <v>12071.935297833999</v>
          </cell>
          <cell r="H2565">
            <v>10549.735636552599</v>
          </cell>
          <cell r="I2565">
            <v>92</v>
          </cell>
          <cell r="J2565">
            <v>2.3207438473194899E-4</v>
          </cell>
          <cell r="K2565">
            <v>278</v>
          </cell>
          <cell r="L2565">
            <v>8.0743206688553002</v>
          </cell>
          <cell r="M2565">
            <v>2669</v>
          </cell>
          <cell r="N2565">
            <v>2.50932199883983E-3</v>
          </cell>
          <cell r="O2565">
            <v>2412</v>
          </cell>
          <cell r="P2565">
            <v>0.09</v>
          </cell>
          <cell r="Q2565">
            <v>1571</v>
          </cell>
        </row>
        <row r="2566">
          <cell r="B2566" t="str">
            <v>PLACERVILLE 1112CB</v>
          </cell>
          <cell r="C2566">
            <v>153081112</v>
          </cell>
          <cell r="D2566" t="str">
            <v>PLACERVILLE 1112</v>
          </cell>
          <cell r="E2566" t="str">
            <v>CB</v>
          </cell>
          <cell r="F2566" t="b">
            <v>0</v>
          </cell>
          <cell r="G2566">
            <v>15016.506591441301</v>
          </cell>
          <cell r="H2566">
            <v>13697.3672129679</v>
          </cell>
          <cell r="I2566">
            <v>117</v>
          </cell>
          <cell r="J2566">
            <v>2.5614886532207299E-4</v>
          </cell>
          <cell r="K2566">
            <v>202</v>
          </cell>
          <cell r="L2566">
            <v>34.5981399858413</v>
          </cell>
          <cell r="M2566">
            <v>2310</v>
          </cell>
          <cell r="N2566">
            <v>6.5148067200905997E-3</v>
          </cell>
          <cell r="O2566">
            <v>2123</v>
          </cell>
          <cell r="P2566">
            <v>0.09</v>
          </cell>
          <cell r="Q2566">
            <v>1568</v>
          </cell>
        </row>
        <row r="2567">
          <cell r="B2567" t="str">
            <v>PLACERVILLE 21061104</v>
          </cell>
          <cell r="C2567">
            <v>153082106</v>
          </cell>
          <cell r="D2567" t="str">
            <v>PLACERVILLE 2106</v>
          </cell>
          <cell r="E2567">
            <v>1104</v>
          </cell>
          <cell r="F2567" t="b">
            <v>0</v>
          </cell>
          <cell r="G2567">
            <v>79643.684035623795</v>
          </cell>
          <cell r="H2567">
            <v>79643.684035623795</v>
          </cell>
          <cell r="I2567">
            <v>462</v>
          </cell>
          <cell r="J2567">
            <v>1.1856410375705699E-4</v>
          </cell>
          <cell r="K2567">
            <v>1216</v>
          </cell>
          <cell r="L2567">
            <v>56.920461011409401</v>
          </cell>
          <cell r="M2567">
            <v>2171</v>
          </cell>
          <cell r="N2567">
            <v>6.4469162005552604E-3</v>
          </cell>
          <cell r="O2567">
            <v>2131</v>
          </cell>
          <cell r="P2567">
            <v>111.82</v>
          </cell>
          <cell r="Q2567">
            <v>14</v>
          </cell>
        </row>
        <row r="2568">
          <cell r="B2568" t="str">
            <v>PLACERVILLE 210611132</v>
          </cell>
          <cell r="C2568">
            <v>153082106</v>
          </cell>
          <cell r="D2568" t="str">
            <v>PLACERVILLE 2106</v>
          </cell>
          <cell r="E2568">
            <v>11132</v>
          </cell>
          <cell r="F2568" t="b">
            <v>0</v>
          </cell>
          <cell r="G2568">
            <v>69633.695824392504</v>
          </cell>
          <cell r="H2568">
            <v>69633.695824392504</v>
          </cell>
          <cell r="I2568">
            <v>420</v>
          </cell>
          <cell r="J2568">
            <v>1.2773615934890201E-4</v>
          </cell>
          <cell r="K2568">
            <v>1054</v>
          </cell>
          <cell r="L2568">
            <v>197.27482856550901</v>
          </cell>
          <cell r="M2568">
            <v>1649</v>
          </cell>
          <cell r="N2568">
            <v>2.02623570558421E-2</v>
          </cell>
          <cell r="O2568">
            <v>1666</v>
          </cell>
          <cell r="P2568">
            <v>0.54</v>
          </cell>
          <cell r="Q2568">
            <v>875</v>
          </cell>
        </row>
        <row r="2569">
          <cell r="B2569" t="str">
            <v>PLACERVILLE 210619552</v>
          </cell>
          <cell r="C2569">
            <v>153082106</v>
          </cell>
          <cell r="D2569" t="str">
            <v>PLACERVILLE 2106</v>
          </cell>
          <cell r="E2569">
            <v>19552</v>
          </cell>
          <cell r="F2569" t="b">
            <v>0</v>
          </cell>
          <cell r="G2569">
            <v>34339.9089454485</v>
          </cell>
          <cell r="H2569">
            <v>34339.9089454485</v>
          </cell>
          <cell r="I2569">
            <v>238</v>
          </cell>
          <cell r="J2569">
            <v>1.7680128054480999E-4</v>
          </cell>
          <cell r="K2569">
            <v>520</v>
          </cell>
          <cell r="L2569">
            <v>361.06338051094701</v>
          </cell>
          <cell r="M2569">
            <v>1351</v>
          </cell>
          <cell r="N2569">
            <v>2.9928420912934801E-2</v>
          </cell>
          <cell r="O2569">
            <v>1462</v>
          </cell>
          <cell r="P2569">
            <v>0.45</v>
          </cell>
          <cell r="Q2569">
            <v>915</v>
          </cell>
        </row>
        <row r="2570">
          <cell r="B2570" t="str">
            <v>PLACERVILLE 210619732</v>
          </cell>
          <cell r="C2570">
            <v>153082106</v>
          </cell>
          <cell r="D2570" t="str">
            <v>PLACERVILLE 2106</v>
          </cell>
          <cell r="E2570">
            <v>19732</v>
          </cell>
          <cell r="F2570" t="b">
            <v>0</v>
          </cell>
          <cell r="G2570">
            <v>14898.6257709931</v>
          </cell>
          <cell r="H2570">
            <v>14898.6257709931</v>
          </cell>
          <cell r="I2570">
            <v>125</v>
          </cell>
          <cell r="J2570">
            <v>2.4625052581541199E-4</v>
          </cell>
          <cell r="K2570">
            <v>229</v>
          </cell>
          <cell r="L2570">
            <v>6.6431531992943799E-2</v>
          </cell>
          <cell r="M2570">
            <v>3015</v>
          </cell>
          <cell r="N2570">
            <v>1.63587996839858E-5</v>
          </cell>
          <cell r="O2570">
            <v>2992</v>
          </cell>
          <cell r="P2570">
            <v>0.39</v>
          </cell>
          <cell r="Q2570">
            <v>954</v>
          </cell>
        </row>
        <row r="2571">
          <cell r="B2571" t="str">
            <v>PLACERVILLE 21062224</v>
          </cell>
          <cell r="C2571">
            <v>153082106</v>
          </cell>
          <cell r="D2571" t="str">
            <v>PLACERVILLE 2106</v>
          </cell>
          <cell r="E2571">
            <v>2224</v>
          </cell>
          <cell r="F2571" t="b">
            <v>0</v>
          </cell>
          <cell r="G2571">
            <v>16910.651910111399</v>
          </cell>
          <cell r="H2571">
            <v>16910.651910111399</v>
          </cell>
          <cell r="I2571">
            <v>123</v>
          </cell>
          <cell r="J2571">
            <v>2.2231072726731799E-4</v>
          </cell>
          <cell r="K2571">
            <v>310</v>
          </cell>
          <cell r="L2571">
            <v>204.30668857787799</v>
          </cell>
          <cell r="M2571">
            <v>1631</v>
          </cell>
          <cell r="N2571">
            <v>3.2512027011156797E-2</v>
          </cell>
          <cell r="O2571">
            <v>1415</v>
          </cell>
          <cell r="P2571">
            <v>31.55</v>
          </cell>
          <cell r="Q2571">
            <v>229</v>
          </cell>
        </row>
        <row r="2572">
          <cell r="B2572" t="str">
            <v>PLACERVILLE 210623190</v>
          </cell>
          <cell r="C2572">
            <v>153082106</v>
          </cell>
          <cell r="D2572" t="str">
            <v>PLACERVILLE 2106</v>
          </cell>
          <cell r="E2572">
            <v>23190</v>
          </cell>
          <cell r="F2572" t="b">
            <v>0</v>
          </cell>
          <cell r="G2572">
            <v>5918.8129567495398</v>
          </cell>
          <cell r="H2572">
            <v>5918.8129567495398</v>
          </cell>
          <cell r="I2572">
            <v>45</v>
          </cell>
          <cell r="J2572">
            <v>3.10071448459186E-4</v>
          </cell>
          <cell r="K2572">
            <v>118</v>
          </cell>
          <cell r="L2572">
            <v>11.1571978726789</v>
          </cell>
          <cell r="M2572">
            <v>2604</v>
          </cell>
          <cell r="N2572">
            <v>2.3536403663337699E-3</v>
          </cell>
          <cell r="O2572">
            <v>2430</v>
          </cell>
          <cell r="P2572">
            <v>0.09</v>
          </cell>
          <cell r="Q2572">
            <v>1566</v>
          </cell>
        </row>
        <row r="2573">
          <cell r="B2573" t="str">
            <v>PLACERVILLE 21067522</v>
          </cell>
          <cell r="C2573">
            <v>153082106</v>
          </cell>
          <cell r="D2573" t="str">
            <v>PLACERVILLE 2106</v>
          </cell>
          <cell r="E2573">
            <v>7522</v>
          </cell>
          <cell r="F2573" t="b">
            <v>0</v>
          </cell>
          <cell r="G2573">
            <v>108391.330132396</v>
          </cell>
          <cell r="H2573">
            <v>108391.330132396</v>
          </cell>
          <cell r="I2573">
            <v>745</v>
          </cell>
          <cell r="J2573">
            <v>1.2077371309337E-4</v>
          </cell>
          <cell r="K2573">
            <v>1170</v>
          </cell>
          <cell r="L2573">
            <v>356.607261557404</v>
          </cell>
          <cell r="M2573">
            <v>1360</v>
          </cell>
          <cell r="N2573">
            <v>3.5528767571262998E-2</v>
          </cell>
          <cell r="O2573">
            <v>1363</v>
          </cell>
          <cell r="P2573">
            <v>0.39</v>
          </cell>
          <cell r="Q2573">
            <v>959</v>
          </cell>
        </row>
        <row r="2574">
          <cell r="B2574" t="str">
            <v>PLACERVILLE 210692012</v>
          </cell>
          <cell r="C2574">
            <v>153082106</v>
          </cell>
          <cell r="D2574" t="str">
            <v>PLACERVILLE 2106</v>
          </cell>
          <cell r="E2574">
            <v>92012</v>
          </cell>
          <cell r="F2574" t="b">
            <v>0</v>
          </cell>
          <cell r="G2574">
            <v>29794.636726126599</v>
          </cell>
          <cell r="H2574">
            <v>29794.636726126599</v>
          </cell>
          <cell r="I2574">
            <v>219</v>
          </cell>
          <cell r="J2574">
            <v>2.1006005510039799E-4</v>
          </cell>
          <cell r="K2574">
            <v>358</v>
          </cell>
          <cell r="L2574">
            <v>266.77436069622598</v>
          </cell>
          <cell r="M2574">
            <v>1505</v>
          </cell>
          <cell r="N2574">
            <v>4.4303956675342301E-2</v>
          </cell>
          <cell r="O2574">
            <v>1238</v>
          </cell>
          <cell r="P2574">
            <v>27.19</v>
          </cell>
          <cell r="Q2574">
            <v>260</v>
          </cell>
        </row>
        <row r="2575">
          <cell r="B2575" t="str">
            <v>PLACERVILLE 2106935216</v>
          </cell>
          <cell r="C2575">
            <v>153082106</v>
          </cell>
          <cell r="D2575" t="str">
            <v>PLACERVILLE 2106</v>
          </cell>
          <cell r="E2575">
            <v>935216</v>
          </cell>
          <cell r="F2575" t="b">
            <v>0</v>
          </cell>
          <cell r="G2575">
            <v>33848.752915394703</v>
          </cell>
          <cell r="H2575">
            <v>33848.752915394703</v>
          </cell>
          <cell r="I2575">
            <v>204</v>
          </cell>
          <cell r="J2575">
            <v>1.1213632760522E-4</v>
          </cell>
          <cell r="K2575">
            <v>1365</v>
          </cell>
          <cell r="L2575">
            <v>509.489667908027</v>
          </cell>
          <cell r="M2575">
            <v>1191</v>
          </cell>
          <cell r="N2575">
            <v>7.9474159207818806E-2</v>
          </cell>
          <cell r="O2575">
            <v>904</v>
          </cell>
          <cell r="Q2575">
            <v>3025</v>
          </cell>
        </row>
        <row r="2576">
          <cell r="B2576" t="str">
            <v>PLACERVILLE 21069712</v>
          </cell>
          <cell r="C2576">
            <v>153082106</v>
          </cell>
          <cell r="D2576" t="str">
            <v>PLACERVILLE 2106</v>
          </cell>
          <cell r="E2576">
            <v>9712</v>
          </cell>
          <cell r="F2576" t="b">
            <v>0</v>
          </cell>
          <cell r="G2576">
            <v>39765.957940601598</v>
          </cell>
          <cell r="H2576">
            <v>39765.957940601598</v>
          </cell>
          <cell r="I2576">
            <v>226</v>
          </cell>
          <cell r="J2576">
            <v>1.49080703526528E-4</v>
          </cell>
          <cell r="K2576">
            <v>750</v>
          </cell>
          <cell r="L2576">
            <v>116.69600293032801</v>
          </cell>
          <cell r="M2576">
            <v>1890</v>
          </cell>
          <cell r="N2576">
            <v>2.1240698296713802E-2</v>
          </cell>
          <cell r="O2576">
            <v>1646</v>
          </cell>
          <cell r="P2576">
            <v>0.54</v>
          </cell>
          <cell r="Q2576">
            <v>877</v>
          </cell>
        </row>
        <row r="2577">
          <cell r="B2577" t="str">
            <v>PLACERVILLE 2106CB</v>
          </cell>
          <cell r="C2577">
            <v>153082106</v>
          </cell>
          <cell r="D2577" t="str">
            <v>PLACERVILLE 2106</v>
          </cell>
          <cell r="E2577" t="str">
            <v>CB</v>
          </cell>
          <cell r="F2577" t="b">
            <v>0</v>
          </cell>
          <cell r="G2577">
            <v>10545.3692547721</v>
          </cell>
          <cell r="H2577">
            <v>10545.3692547721</v>
          </cell>
          <cell r="I2577">
            <v>31</v>
          </cell>
          <cell r="J2577">
            <v>3.1505802564487501E-4</v>
          </cell>
          <cell r="K2577">
            <v>112</v>
          </cell>
          <cell r="L2577">
            <v>137.298324062414</v>
          </cell>
          <cell r="M2577">
            <v>1822</v>
          </cell>
          <cell r="N2577">
            <v>5.0872940408509398E-2</v>
          </cell>
          <cell r="O2577">
            <v>1168</v>
          </cell>
          <cell r="P2577">
            <v>0.17</v>
          </cell>
          <cell r="Q2577">
            <v>1226</v>
          </cell>
        </row>
        <row r="2578">
          <cell r="B2578" t="str">
            <v>POINT ARENA 11011296</v>
          </cell>
          <cell r="C2578">
            <v>43381101</v>
          </cell>
          <cell r="D2578" t="str">
            <v>POINT ARENA 1101</v>
          </cell>
          <cell r="E2578">
            <v>1296</v>
          </cell>
          <cell r="F2578" t="b">
            <v>0</v>
          </cell>
          <cell r="G2578">
            <v>8913.7229911287395</v>
          </cell>
          <cell r="H2578">
            <v>5630.7667600733703</v>
          </cell>
          <cell r="I2578">
            <v>37</v>
          </cell>
          <cell r="J2578">
            <v>6.5384736321779898E-5</v>
          </cell>
          <cell r="K2578">
            <v>2603</v>
          </cell>
          <cell r="L2578">
            <v>134.060630600835</v>
          </cell>
          <cell r="M2578">
            <v>1835</v>
          </cell>
          <cell r="N2578">
            <v>7.7720380804172998E-3</v>
          </cell>
          <cell r="O2578">
            <v>2057</v>
          </cell>
          <cell r="P2578">
            <v>0.02</v>
          </cell>
          <cell r="Q2578">
            <v>2458</v>
          </cell>
        </row>
        <row r="2579">
          <cell r="B2579" t="str">
            <v>POINT ARENA 11012637</v>
          </cell>
          <cell r="C2579">
            <v>43381101</v>
          </cell>
          <cell r="D2579" t="str">
            <v>POINT ARENA 1101</v>
          </cell>
          <cell r="E2579">
            <v>2637</v>
          </cell>
          <cell r="F2579" t="b">
            <v>0</v>
          </cell>
          <cell r="G2579">
            <v>6500.6025053215399</v>
          </cell>
          <cell r="H2579">
            <v>6500.6025053215399</v>
          </cell>
          <cell r="I2579">
            <v>28</v>
          </cell>
          <cell r="J2579">
            <v>7.3634049840620705E-5</v>
          </cell>
          <cell r="K2579">
            <v>2375</v>
          </cell>
          <cell r="L2579">
            <v>33.162140030279403</v>
          </cell>
          <cell r="M2579">
            <v>2319</v>
          </cell>
          <cell r="N2579">
            <v>2.73851210199138E-3</v>
          </cell>
          <cell r="O2579">
            <v>2378</v>
          </cell>
          <cell r="P2579">
            <v>0.06</v>
          </cell>
          <cell r="Q2579">
            <v>1783</v>
          </cell>
        </row>
        <row r="2580">
          <cell r="B2580" t="str">
            <v>POINT ARENA 11013702</v>
          </cell>
          <cell r="C2580">
            <v>43381101</v>
          </cell>
          <cell r="D2580" t="str">
            <v>POINT ARENA 1101</v>
          </cell>
          <cell r="E2580">
            <v>3702</v>
          </cell>
          <cell r="F2580" t="b">
            <v>0</v>
          </cell>
          <cell r="G2580">
            <v>7962.9537622543703</v>
          </cell>
          <cell r="H2580">
            <v>7864.1374645975402</v>
          </cell>
          <cell r="I2580">
            <v>35</v>
          </cell>
          <cell r="J2580">
            <v>5.5766790735235903E-5</v>
          </cell>
          <cell r="K2580">
            <v>2896</v>
          </cell>
          <cell r="L2580">
            <v>546.47491307533596</v>
          </cell>
          <cell r="M2580">
            <v>1152</v>
          </cell>
          <cell r="N2580">
            <v>2.8476628784018201E-2</v>
          </cell>
          <cell r="O2580">
            <v>1490</v>
          </cell>
          <cell r="P2580">
            <v>0.03</v>
          </cell>
          <cell r="Q2580">
            <v>2383</v>
          </cell>
        </row>
        <row r="2581">
          <cell r="B2581" t="str">
            <v>POINT ARENA 110137426</v>
          </cell>
          <cell r="C2581">
            <v>43381101</v>
          </cell>
          <cell r="D2581" t="str">
            <v>POINT ARENA 1101</v>
          </cell>
          <cell r="E2581">
            <v>37426</v>
          </cell>
          <cell r="F2581" t="b">
            <v>0</v>
          </cell>
          <cell r="G2581">
            <v>8142.4342633304004</v>
          </cell>
          <cell r="H2581">
            <v>1270.4089090176999</v>
          </cell>
          <cell r="I2581">
            <v>65</v>
          </cell>
          <cell r="J2581">
            <v>4.6458069447488397E-5</v>
          </cell>
          <cell r="K2581">
            <v>3126</v>
          </cell>
          <cell r="L2581">
            <v>164.86888334002299</v>
          </cell>
          <cell r="M2581">
            <v>1735</v>
          </cell>
          <cell r="N2581">
            <v>1.01694435071394E-2</v>
          </cell>
          <cell r="O2581">
            <v>1953</v>
          </cell>
          <cell r="P2581">
            <v>0.25</v>
          </cell>
          <cell r="Q2581">
            <v>1079</v>
          </cell>
        </row>
        <row r="2582">
          <cell r="B2582" t="str">
            <v>POINT ARENA 1101474</v>
          </cell>
          <cell r="C2582">
            <v>43381101</v>
          </cell>
          <cell r="D2582" t="str">
            <v>POINT ARENA 1101</v>
          </cell>
          <cell r="E2582">
            <v>474</v>
          </cell>
          <cell r="F2582" t="b">
            <v>0</v>
          </cell>
          <cell r="G2582">
            <v>14496.492549619499</v>
          </cell>
          <cell r="H2582">
            <v>14496.492549619499</v>
          </cell>
          <cell r="I2582">
            <v>77</v>
          </cell>
          <cell r="J2582">
            <v>9.2233211920780304E-5</v>
          </cell>
          <cell r="K2582">
            <v>1837</v>
          </cell>
          <cell r="L2582">
            <v>111.515048007274</v>
          </cell>
          <cell r="M2582">
            <v>1906</v>
          </cell>
          <cell r="N2582">
            <v>9.2124603106071099E-3</v>
          </cell>
          <cell r="O2582">
            <v>1993</v>
          </cell>
          <cell r="P2582">
            <v>0.09</v>
          </cell>
          <cell r="Q2582">
            <v>1510</v>
          </cell>
        </row>
        <row r="2583">
          <cell r="B2583" t="str">
            <v>POINT ARENA 1101476</v>
          </cell>
          <cell r="C2583">
            <v>43381101</v>
          </cell>
          <cell r="D2583" t="str">
            <v>POINT ARENA 1101</v>
          </cell>
          <cell r="E2583">
            <v>476</v>
          </cell>
          <cell r="F2583" t="b">
            <v>0</v>
          </cell>
          <cell r="G2583">
            <v>24463.889580612798</v>
          </cell>
          <cell r="H2583">
            <v>4825.12703022818</v>
          </cell>
          <cell r="I2583">
            <v>97</v>
          </cell>
          <cell r="J2583">
            <v>4.5961788484728798E-5</v>
          </cell>
          <cell r="K2583">
            <v>3139</v>
          </cell>
          <cell r="L2583">
            <v>73.545341349013498</v>
          </cell>
          <cell r="M2583">
            <v>2078</v>
          </cell>
          <cell r="N2583">
            <v>3.2902416583885001E-3</v>
          </cell>
          <cell r="O2583">
            <v>2316</v>
          </cell>
          <cell r="P2583">
            <v>0.02</v>
          </cell>
          <cell r="Q2583">
            <v>2460</v>
          </cell>
        </row>
        <row r="2584">
          <cell r="B2584" t="str">
            <v>POINT ARENA 110147952</v>
          </cell>
          <cell r="C2584">
            <v>43381101</v>
          </cell>
          <cell r="D2584" t="str">
            <v>POINT ARENA 1101</v>
          </cell>
          <cell r="E2584">
            <v>47952</v>
          </cell>
          <cell r="F2584" t="b">
            <v>0</v>
          </cell>
          <cell r="G2584">
            <v>16717.629661728999</v>
          </cell>
          <cell r="H2584">
            <v>16717.629661728999</v>
          </cell>
          <cell r="I2584">
            <v>88</v>
          </cell>
          <cell r="J2584">
            <v>1.17535573903212E-4</v>
          </cell>
          <cell r="K2584">
            <v>1233</v>
          </cell>
          <cell r="L2584">
            <v>58.655733412602203</v>
          </cell>
          <cell r="M2584">
            <v>2163</v>
          </cell>
          <cell r="N2584">
            <v>5.8506057963960204E-3</v>
          </cell>
          <cell r="O2584">
            <v>2162</v>
          </cell>
          <cell r="P2584">
            <v>0.09</v>
          </cell>
          <cell r="Q2584">
            <v>1517</v>
          </cell>
        </row>
        <row r="2585">
          <cell r="B2585" t="str">
            <v>POINT ARENA 11014923</v>
          </cell>
          <cell r="C2585">
            <v>43381101</v>
          </cell>
          <cell r="D2585" t="str">
            <v>POINT ARENA 1101</v>
          </cell>
          <cell r="E2585">
            <v>4923</v>
          </cell>
          <cell r="F2585" t="b">
            <v>0</v>
          </cell>
          <cell r="G2585">
            <v>4611.3163685135796</v>
          </cell>
          <cell r="H2585">
            <v>4611.3163685135796</v>
          </cell>
          <cell r="I2585">
            <v>12</v>
          </cell>
          <cell r="J2585">
            <v>1.05166485974967E-4</v>
          </cell>
          <cell r="K2585">
            <v>1516</v>
          </cell>
          <cell r="L2585">
            <v>65.405654351198805</v>
          </cell>
          <cell r="M2585">
            <v>2122</v>
          </cell>
          <cell r="N2585">
            <v>8.5180093911465093E-3</v>
          </cell>
          <cell r="O2585">
            <v>2030</v>
          </cell>
          <cell r="P2585">
            <v>0.06</v>
          </cell>
          <cell r="Q2585">
            <v>1877</v>
          </cell>
        </row>
        <row r="2586">
          <cell r="B2586" t="str">
            <v>POINT ARENA 110183354</v>
          </cell>
          <cell r="C2586">
            <v>43381101</v>
          </cell>
          <cell r="D2586" t="str">
            <v>POINT ARENA 1101</v>
          </cell>
          <cell r="E2586">
            <v>83354</v>
          </cell>
          <cell r="F2586" t="b">
            <v>0</v>
          </cell>
          <cell r="G2586">
            <v>8260.8146547679098</v>
          </cell>
          <cell r="H2586">
            <v>8260.8146547679098</v>
          </cell>
          <cell r="I2586">
            <v>36</v>
          </cell>
          <cell r="J2586">
            <v>5.4312887267074297E-5</v>
          </cell>
          <cell r="K2586">
            <v>2936</v>
          </cell>
          <cell r="L2586">
            <v>210.67901218825301</v>
          </cell>
          <cell r="M2586">
            <v>1618</v>
          </cell>
          <cell r="N2586">
            <v>1.3182466408543999E-2</v>
          </cell>
          <cell r="O2586">
            <v>1839</v>
          </cell>
          <cell r="P2586">
            <v>0.05</v>
          </cell>
          <cell r="Q2586">
            <v>1967</v>
          </cell>
        </row>
        <row r="2587">
          <cell r="B2587" t="str">
            <v>POINT ARENA 110198224</v>
          </cell>
          <cell r="C2587">
            <v>43381101</v>
          </cell>
          <cell r="D2587" t="str">
            <v>POINT ARENA 1101</v>
          </cell>
          <cell r="E2587">
            <v>98224</v>
          </cell>
          <cell r="F2587" t="b">
            <v>0</v>
          </cell>
          <cell r="G2587">
            <v>3847.8761984732701</v>
          </cell>
          <cell r="H2587">
            <v>3847.8761984732701</v>
          </cell>
          <cell r="I2587">
            <v>23</v>
          </cell>
          <cell r="J2587">
            <v>7.8884804363200503E-5</v>
          </cell>
          <cell r="K2587">
            <v>2238</v>
          </cell>
          <cell r="L2587">
            <v>166.55308237743401</v>
          </cell>
          <cell r="M2587">
            <v>1730</v>
          </cell>
          <cell r="N2587">
            <v>1.4654050259922601E-2</v>
          </cell>
          <cell r="O2587">
            <v>1795</v>
          </cell>
          <cell r="Q2587">
            <v>3151</v>
          </cell>
        </row>
        <row r="2588">
          <cell r="B2588" t="str">
            <v>POINT ARENA 1101CB</v>
          </cell>
          <cell r="C2588">
            <v>43381101</v>
          </cell>
          <cell r="D2588" t="str">
            <v>POINT ARENA 1101</v>
          </cell>
          <cell r="E2588" t="str">
            <v>CB</v>
          </cell>
          <cell r="F2588" t="b">
            <v>1</v>
          </cell>
          <cell r="G2588">
            <v>64.916917035161404</v>
          </cell>
          <cell r="H2588">
            <v>64.916917035161404</v>
          </cell>
          <cell r="I2588">
            <v>2</v>
          </cell>
          <cell r="J2588">
            <v>8.2597240179893506E-5</v>
          </cell>
          <cell r="K2588">
            <v>2140</v>
          </cell>
          <cell r="L2588">
            <v>1260.64125317862</v>
          </cell>
          <cell r="M2588">
            <v>694</v>
          </cell>
          <cell r="N2588">
            <v>0.10412548836947599</v>
          </cell>
          <cell r="O2588">
            <v>738</v>
          </cell>
          <cell r="P2588">
            <v>0.04</v>
          </cell>
          <cell r="Q2588">
            <v>2172</v>
          </cell>
        </row>
        <row r="2589">
          <cell r="B2589" t="str">
            <v>POINT MORETTI 110110722</v>
          </cell>
          <cell r="C2589">
            <v>82931101</v>
          </cell>
          <cell r="D2589" t="str">
            <v>POINT MORETTI 1101</v>
          </cell>
          <cell r="E2589">
            <v>10722</v>
          </cell>
          <cell r="F2589" t="b">
            <v>1</v>
          </cell>
          <cell r="G2589">
            <v>937.94482900613605</v>
          </cell>
          <cell r="H2589">
            <v>937.94482900613605</v>
          </cell>
          <cell r="I2589">
            <v>9</v>
          </cell>
          <cell r="J2589">
            <v>4.0174182989479302E-4</v>
          </cell>
          <cell r="K2589">
            <v>68</v>
          </cell>
          <cell r="L2589">
            <v>6.6431229729116206E-2</v>
          </cell>
          <cell r="M2589">
            <v>3060</v>
          </cell>
          <cell r="N2589">
            <v>2.6688203793536499E-5</v>
          </cell>
          <cell r="O2589">
            <v>2947</v>
          </cell>
          <cell r="P2589">
            <v>14.01</v>
          </cell>
          <cell r="Q2589">
            <v>358</v>
          </cell>
        </row>
        <row r="2590">
          <cell r="B2590" t="str">
            <v>POINT MORETTI 110110726</v>
          </cell>
          <cell r="C2590">
            <v>82931101</v>
          </cell>
          <cell r="D2590" t="str">
            <v>POINT MORETTI 1101</v>
          </cell>
          <cell r="E2590">
            <v>10726</v>
          </cell>
          <cell r="F2590" t="b">
            <v>0</v>
          </cell>
          <cell r="G2590">
            <v>16936.720996976899</v>
          </cell>
          <cell r="H2590">
            <v>16936.720996976899</v>
          </cell>
          <cell r="I2590">
            <v>124</v>
          </cell>
          <cell r="J2590">
            <v>2.6294010793326402E-4</v>
          </cell>
          <cell r="K2590">
            <v>188</v>
          </cell>
          <cell r="L2590">
            <v>7.1636273047417998</v>
          </cell>
          <cell r="M2590">
            <v>2683</v>
          </cell>
          <cell r="N2590">
            <v>1.6007344332115601E-3</v>
          </cell>
          <cell r="O2590">
            <v>2539</v>
          </cell>
          <cell r="P2590">
            <v>15.77</v>
          </cell>
          <cell r="Q2590">
            <v>346</v>
          </cell>
        </row>
        <row r="2591">
          <cell r="B2591" t="str">
            <v>POINT MORETTI 110112122</v>
          </cell>
          <cell r="C2591">
            <v>82931101</v>
          </cell>
          <cell r="D2591" t="str">
            <v>POINT MORETTI 1101</v>
          </cell>
          <cell r="E2591">
            <v>12122</v>
          </cell>
          <cell r="F2591" t="b">
            <v>0</v>
          </cell>
          <cell r="G2591">
            <v>12740.7086445637</v>
          </cell>
          <cell r="H2591">
            <v>10570.3766077527</v>
          </cell>
          <cell r="I2591">
            <v>63</v>
          </cell>
          <cell r="J2591">
            <v>1.07785696847654E-4</v>
          </cell>
          <cell r="K2591">
            <v>1455</v>
          </cell>
          <cell r="L2591">
            <v>51.466808289289403</v>
          </cell>
          <cell r="M2591">
            <v>2205</v>
          </cell>
          <cell r="N2591">
            <v>5.1004066611103497E-3</v>
          </cell>
          <cell r="O2591">
            <v>2199</v>
          </cell>
          <cell r="P2591">
            <v>0.03</v>
          </cell>
          <cell r="Q2591">
            <v>2382</v>
          </cell>
        </row>
        <row r="2592">
          <cell r="B2592" t="str">
            <v>POINT MORETTI 110135874</v>
          </cell>
          <cell r="C2592">
            <v>82931101</v>
          </cell>
          <cell r="D2592" t="str">
            <v>POINT MORETTI 1101</v>
          </cell>
          <cell r="E2592">
            <v>35874</v>
          </cell>
          <cell r="F2592" t="b">
            <v>1</v>
          </cell>
          <cell r="G2592">
            <v>329.48310617306601</v>
          </cell>
          <cell r="H2592">
            <v>329.48310617306601</v>
          </cell>
          <cell r="I2592">
            <v>4</v>
          </cell>
          <cell r="J2592">
            <v>2.3219632203108601E-4</v>
          </cell>
          <cell r="K2592">
            <v>276</v>
          </cell>
          <cell r="L2592">
            <v>974.71697998046795</v>
          </cell>
          <cell r="M2592">
            <v>846</v>
          </cell>
          <cell r="N2592">
            <v>0.24297637539288999</v>
          </cell>
          <cell r="O2592">
            <v>226</v>
          </cell>
          <cell r="P2592">
            <v>0.03</v>
          </cell>
          <cell r="Q2592">
            <v>2258</v>
          </cell>
        </row>
        <row r="2593">
          <cell r="B2593" t="str">
            <v>POINT MORETTI 110136514</v>
          </cell>
          <cell r="C2593">
            <v>82931101</v>
          </cell>
          <cell r="D2593" t="str">
            <v>POINT MORETTI 1101</v>
          </cell>
          <cell r="E2593">
            <v>36514</v>
          </cell>
          <cell r="F2593" t="b">
            <v>0</v>
          </cell>
          <cell r="G2593">
            <v>11050.053058196299</v>
          </cell>
          <cell r="H2593">
            <v>11050.053058196299</v>
          </cell>
          <cell r="I2593">
            <v>64</v>
          </cell>
          <cell r="J2593">
            <v>1.56644037815567E-4</v>
          </cell>
          <cell r="K2593">
            <v>677</v>
          </cell>
          <cell r="L2593">
            <v>62.081970164655601</v>
          </cell>
          <cell r="M2593">
            <v>2141</v>
          </cell>
          <cell r="N2593">
            <v>7.6624226279837599E-3</v>
          </cell>
          <cell r="O2593">
            <v>2062</v>
          </cell>
          <cell r="P2593">
            <v>0.67</v>
          </cell>
          <cell r="Q2593">
            <v>813</v>
          </cell>
        </row>
        <row r="2594">
          <cell r="B2594" t="str">
            <v>POINT MORETTI 110136516</v>
          </cell>
          <cell r="C2594">
            <v>82931101</v>
          </cell>
          <cell r="D2594" t="str">
            <v>POINT MORETTI 1101</v>
          </cell>
          <cell r="E2594">
            <v>36516</v>
          </cell>
          <cell r="F2594" t="b">
            <v>0</v>
          </cell>
          <cell r="G2594">
            <v>6699.7019410779803</v>
          </cell>
          <cell r="H2594">
            <v>6699.7019410779803</v>
          </cell>
          <cell r="I2594">
            <v>53</v>
          </cell>
          <cell r="J2594">
            <v>3.7130741978986501E-4</v>
          </cell>
          <cell r="K2594">
            <v>77</v>
          </cell>
          <cell r="L2594">
            <v>6.3458639613414602</v>
          </cell>
          <cell r="M2594">
            <v>2704</v>
          </cell>
          <cell r="N2594">
            <v>1.59075758797347E-3</v>
          </cell>
          <cell r="O2594">
            <v>2542</v>
          </cell>
          <cell r="P2594">
            <v>29.13</v>
          </cell>
          <cell r="Q2594">
            <v>244</v>
          </cell>
        </row>
        <row r="2595">
          <cell r="B2595" t="str">
            <v>POINT MORETTI 110139126</v>
          </cell>
          <cell r="C2595">
            <v>82931101</v>
          </cell>
          <cell r="D2595" t="str">
            <v>POINT MORETTI 1101</v>
          </cell>
          <cell r="E2595">
            <v>39126</v>
          </cell>
          <cell r="F2595" t="b">
            <v>0</v>
          </cell>
          <cell r="G2595">
            <v>3634.7812305182001</v>
          </cell>
          <cell r="H2595">
            <v>3634.7812305182001</v>
          </cell>
          <cell r="I2595">
            <v>31</v>
          </cell>
          <cell r="J2595">
            <v>3.1626838491290702E-4</v>
          </cell>
          <cell r="K2595">
            <v>110</v>
          </cell>
          <cell r="L2595">
            <v>6.6431229729116206E-2</v>
          </cell>
          <cell r="M2595">
            <v>3079</v>
          </cell>
          <cell r="N2595">
            <v>2.1010097734205901E-5</v>
          </cell>
          <cell r="O2595">
            <v>2961</v>
          </cell>
          <cell r="P2595">
            <v>15.84</v>
          </cell>
          <cell r="Q2595">
            <v>344</v>
          </cell>
        </row>
        <row r="2596">
          <cell r="B2596" t="str">
            <v>POINT MORETTI 11015074</v>
          </cell>
          <cell r="C2596">
            <v>82931101</v>
          </cell>
          <cell r="D2596" t="str">
            <v>POINT MORETTI 1101</v>
          </cell>
          <cell r="E2596">
            <v>5074</v>
          </cell>
          <cell r="F2596" t="b">
            <v>0</v>
          </cell>
          <cell r="G2596">
            <v>4940.8280311552899</v>
          </cell>
          <cell r="H2596">
            <v>2196.7079403109801</v>
          </cell>
          <cell r="I2596">
            <v>34</v>
          </cell>
          <cell r="J2596">
            <v>7.8642746516647202E-5</v>
          </cell>
          <cell r="K2596">
            <v>2245</v>
          </cell>
          <cell r="L2596">
            <v>54.961526487460901</v>
          </cell>
          <cell r="M2596">
            <v>2181</v>
          </cell>
          <cell r="N2596">
            <v>2.1548351620847101E-3</v>
          </cell>
          <cell r="O2596">
            <v>2460</v>
          </cell>
          <cell r="P2596">
            <v>0.03</v>
          </cell>
          <cell r="Q2596">
            <v>2294</v>
          </cell>
        </row>
        <row r="2597">
          <cell r="B2597" t="str">
            <v>POINT MORETTI 11015076</v>
          </cell>
          <cell r="C2597">
            <v>82931101</v>
          </cell>
          <cell r="D2597" t="str">
            <v>POINT MORETTI 1101</v>
          </cell>
          <cell r="E2597">
            <v>5076</v>
          </cell>
          <cell r="F2597" t="b">
            <v>0</v>
          </cell>
          <cell r="G2597">
            <v>14477.3636515707</v>
          </cell>
          <cell r="H2597">
            <v>12059.146825259701</v>
          </cell>
          <cell r="I2597">
            <v>67</v>
          </cell>
          <cell r="J2597">
            <v>1.07713530409315E-4</v>
          </cell>
          <cell r="K2597">
            <v>1459</v>
          </cell>
          <cell r="L2597">
            <v>265.79703959511198</v>
          </cell>
          <cell r="M2597">
            <v>1508</v>
          </cell>
          <cell r="N2597">
            <v>3.3758003786625003E-2</v>
          </cell>
          <cell r="O2597">
            <v>1393</v>
          </cell>
          <cell r="P2597">
            <v>0.04</v>
          </cell>
          <cell r="Q2597">
            <v>2127</v>
          </cell>
        </row>
        <row r="2598">
          <cell r="B2598" t="str">
            <v>POINT MORETTI 11015078</v>
          </cell>
          <cell r="C2598">
            <v>82931101</v>
          </cell>
          <cell r="D2598" t="str">
            <v>POINT MORETTI 1101</v>
          </cell>
          <cell r="E2598">
            <v>5078</v>
          </cell>
          <cell r="F2598" t="b">
            <v>0</v>
          </cell>
          <cell r="G2598">
            <v>23873.197175492201</v>
          </cell>
          <cell r="H2598">
            <v>23873.197175492201</v>
          </cell>
          <cell r="I2598">
            <v>154</v>
          </cell>
          <cell r="J2598">
            <v>3.0755925879595E-4</v>
          </cell>
          <cell r="K2598">
            <v>121</v>
          </cell>
          <cell r="L2598">
            <v>41.911426050381301</v>
          </cell>
          <cell r="M2598">
            <v>2267</v>
          </cell>
          <cell r="N2598">
            <v>1.2312995003227399E-2</v>
          </cell>
          <cell r="O2598">
            <v>1871</v>
          </cell>
          <cell r="P2598">
            <v>17.59</v>
          </cell>
          <cell r="Q2598">
            <v>330</v>
          </cell>
        </row>
        <row r="2599">
          <cell r="B2599" t="str">
            <v>POINT MORETTI 11015104</v>
          </cell>
          <cell r="C2599">
            <v>82931101</v>
          </cell>
          <cell r="D2599" t="str">
            <v>POINT MORETTI 1101</v>
          </cell>
          <cell r="E2599">
            <v>5104</v>
          </cell>
          <cell r="F2599" t="b">
            <v>0</v>
          </cell>
          <cell r="G2599">
            <v>2898.3736675027999</v>
          </cell>
          <cell r="H2599">
            <v>2898.3736675027999</v>
          </cell>
          <cell r="I2599">
            <v>11</v>
          </cell>
          <cell r="J2599">
            <v>1.0952135405452901E-4</v>
          </cell>
          <cell r="K2599">
            <v>1422</v>
          </cell>
          <cell r="L2599">
            <v>1407.1508400656901</v>
          </cell>
          <cell r="M2599">
            <v>634</v>
          </cell>
          <cell r="N2599">
            <v>0.15579314969365801</v>
          </cell>
          <cell r="O2599">
            <v>488</v>
          </cell>
          <cell r="P2599">
            <v>0.08</v>
          </cell>
          <cell r="Q2599">
            <v>1654</v>
          </cell>
        </row>
        <row r="2600">
          <cell r="B2600" t="str">
            <v>POINT MORETTI 11015401</v>
          </cell>
          <cell r="C2600">
            <v>82931101</v>
          </cell>
          <cell r="D2600" t="str">
            <v>POINT MORETTI 1101</v>
          </cell>
          <cell r="E2600">
            <v>5401</v>
          </cell>
          <cell r="F2600" t="b">
            <v>0</v>
          </cell>
          <cell r="G2600">
            <v>4047.5170926926698</v>
          </cell>
          <cell r="H2600">
            <v>4047.5170926926698</v>
          </cell>
          <cell r="I2600">
            <v>34</v>
          </cell>
          <cell r="J2600">
            <v>2.63502478072255E-4</v>
          </cell>
          <cell r="K2600">
            <v>187</v>
          </cell>
          <cell r="L2600">
            <v>6.6431229729116206E-2</v>
          </cell>
          <cell r="M2600">
            <v>3064</v>
          </cell>
          <cell r="N2600">
            <v>1.7504793655009399E-5</v>
          </cell>
          <cell r="O2600">
            <v>2981</v>
          </cell>
          <cell r="P2600">
            <v>18.02</v>
          </cell>
          <cell r="Q2600">
            <v>327</v>
          </cell>
        </row>
        <row r="2601">
          <cell r="B2601" t="str">
            <v>POINT MORETTI 110183716</v>
          </cell>
          <cell r="C2601">
            <v>82931101</v>
          </cell>
          <cell r="D2601" t="str">
            <v>POINT MORETTI 1101</v>
          </cell>
          <cell r="E2601">
            <v>83716</v>
          </cell>
          <cell r="F2601" t="b">
            <v>0</v>
          </cell>
          <cell r="G2601">
            <v>4275.4859037917104</v>
          </cell>
          <cell r="H2601">
            <v>4027.3676566907402</v>
          </cell>
          <cell r="I2601">
            <v>22</v>
          </cell>
          <cell r="J2601">
            <v>1.1417812493164E-4</v>
          </cell>
          <cell r="K2601">
            <v>1318</v>
          </cell>
          <cell r="L2601">
            <v>54.184679228473698</v>
          </cell>
          <cell r="M2601">
            <v>2187</v>
          </cell>
          <cell r="N2601">
            <v>4.8587660432461103E-3</v>
          </cell>
          <cell r="O2601">
            <v>2210</v>
          </cell>
          <cell r="P2601">
            <v>0.02</v>
          </cell>
          <cell r="Q2601">
            <v>2436</v>
          </cell>
        </row>
        <row r="2602">
          <cell r="B2602" t="str">
            <v>POINT MORETTI 1101CB</v>
          </cell>
          <cell r="C2602">
            <v>82931101</v>
          </cell>
          <cell r="D2602" t="str">
            <v>POINT MORETTI 1101</v>
          </cell>
          <cell r="E2602" t="str">
            <v>CB</v>
          </cell>
          <cell r="F2602" t="b">
            <v>1</v>
          </cell>
          <cell r="G2602">
            <v>20.574022257506599</v>
          </cell>
          <cell r="H2602">
            <v>20.574022257506599</v>
          </cell>
          <cell r="I2602">
            <v>1</v>
          </cell>
          <cell r="J2602">
            <v>3.1528566614724598E-4</v>
          </cell>
          <cell r="K2602">
            <v>111</v>
          </cell>
          <cell r="L2602">
            <v>1402.45922851562</v>
          </cell>
          <cell r="M2602">
            <v>637</v>
          </cell>
          <cell r="N2602">
            <v>0.44217529210690198</v>
          </cell>
          <cell r="O2602">
            <v>44</v>
          </cell>
          <cell r="P2602">
            <v>0.04</v>
          </cell>
          <cell r="Q2602">
            <v>2165</v>
          </cell>
        </row>
        <row r="2603">
          <cell r="B2603" t="str">
            <v>POSO MOUNTAIN 21011703</v>
          </cell>
          <cell r="C2603">
            <v>253642101</v>
          </cell>
          <cell r="D2603" t="str">
            <v>POSO MOUNTAIN 2101</v>
          </cell>
          <cell r="E2603">
            <v>1703</v>
          </cell>
          <cell r="F2603" t="b">
            <v>0</v>
          </cell>
          <cell r="G2603">
            <v>3959.90146738052</v>
          </cell>
          <cell r="H2603">
            <v>1455.5284882994899</v>
          </cell>
          <cell r="I2603">
            <v>7</v>
          </cell>
          <cell r="J2603">
            <v>2.6035433620563701E-5</v>
          </cell>
          <cell r="K2603">
            <v>3487</v>
          </cell>
          <cell r="L2603">
            <v>3088.5669642857101</v>
          </cell>
          <cell r="M2603">
            <v>257</v>
          </cell>
          <cell r="N2603">
            <v>7.9525417750525101E-2</v>
          </cell>
          <cell r="O2603">
            <v>903</v>
          </cell>
          <cell r="P2603">
            <v>0.01</v>
          </cell>
          <cell r="Q2603">
            <v>2618</v>
          </cell>
        </row>
        <row r="2604">
          <cell r="B2604" t="str">
            <v>POSO MOUNTAIN 21012181</v>
          </cell>
          <cell r="C2604">
            <v>253642101</v>
          </cell>
          <cell r="D2604" t="str">
            <v>POSO MOUNTAIN 2101</v>
          </cell>
          <cell r="E2604">
            <v>2181</v>
          </cell>
          <cell r="F2604" t="b">
            <v>0</v>
          </cell>
          <cell r="G2604">
            <v>38165.6009337711</v>
          </cell>
          <cell r="H2604">
            <v>27116.638334695101</v>
          </cell>
          <cell r="I2604">
            <v>120</v>
          </cell>
          <cell r="J2604">
            <v>3.7006365485051299E-5</v>
          </cell>
          <cell r="K2604">
            <v>3315</v>
          </cell>
          <cell r="L2604">
            <v>4260.2740388269203</v>
          </cell>
          <cell r="M2604">
            <v>131</v>
          </cell>
          <cell r="N2604">
            <v>0.14868803239943201</v>
          </cell>
          <cell r="O2604">
            <v>525</v>
          </cell>
          <cell r="P2604">
            <v>0.05</v>
          </cell>
          <cell r="Q2604">
            <v>2017</v>
          </cell>
        </row>
        <row r="2605">
          <cell r="B2605" t="str">
            <v>POSO MOUNTAIN 21013990</v>
          </cell>
          <cell r="C2605">
            <v>253642101</v>
          </cell>
          <cell r="D2605" t="str">
            <v>POSO MOUNTAIN 2101</v>
          </cell>
          <cell r="E2605">
            <v>3990</v>
          </cell>
          <cell r="F2605" t="b">
            <v>0</v>
          </cell>
          <cell r="G2605">
            <v>8945.4958353596503</v>
          </cell>
          <cell r="H2605">
            <v>6963.5325727378204</v>
          </cell>
          <cell r="I2605">
            <v>25</v>
          </cell>
          <cell r="J2605">
            <v>3.4485584583308003E-5</v>
          </cell>
          <cell r="K2605">
            <v>3361</v>
          </cell>
          <cell r="L2605">
            <v>3780.38521940499</v>
          </cell>
          <cell r="M2605">
            <v>172</v>
          </cell>
          <cell r="N2605">
            <v>0.142974598234821</v>
          </cell>
          <cell r="O2605">
            <v>558</v>
          </cell>
          <cell r="P2605">
            <v>0.05</v>
          </cell>
          <cell r="Q2605">
            <v>1957</v>
          </cell>
        </row>
        <row r="2606">
          <cell r="B2606" t="str">
            <v>POSO MOUNTAIN 21014456</v>
          </cell>
          <cell r="C2606">
            <v>253642101</v>
          </cell>
          <cell r="D2606" t="str">
            <v>POSO MOUNTAIN 2101</v>
          </cell>
          <cell r="E2606">
            <v>4456</v>
          </cell>
          <cell r="F2606" t="b">
            <v>0</v>
          </cell>
          <cell r="G2606">
            <v>37862.215562087898</v>
          </cell>
          <cell r="H2606">
            <v>37862.215562087898</v>
          </cell>
          <cell r="I2606">
            <v>102</v>
          </cell>
          <cell r="J2606">
            <v>2.78205574250023E-5</v>
          </cell>
          <cell r="K2606">
            <v>3462</v>
          </cell>
          <cell r="L2606">
            <v>5239.6007420881597</v>
          </cell>
          <cell r="M2606">
            <v>58</v>
          </cell>
          <cell r="N2606">
            <v>0.138805891509896</v>
          </cell>
          <cell r="O2606">
            <v>573</v>
          </cell>
          <cell r="P2606">
            <v>0.11</v>
          </cell>
          <cell r="Q2606">
            <v>1440</v>
          </cell>
        </row>
        <row r="2607">
          <cell r="B2607" t="str">
            <v>POSO MOUNTAIN 2101CB</v>
          </cell>
          <cell r="C2607">
            <v>253642101</v>
          </cell>
          <cell r="D2607" t="str">
            <v>POSO MOUNTAIN 2101</v>
          </cell>
          <cell r="E2607" t="str">
            <v>CB</v>
          </cell>
          <cell r="F2607" t="b">
            <v>0</v>
          </cell>
          <cell r="G2607">
            <v>6924.1000998162299</v>
          </cell>
          <cell r="H2607">
            <v>6924.1000998162299</v>
          </cell>
          <cell r="I2607">
            <v>22</v>
          </cell>
          <cell r="J2607">
            <v>5.9019762829848298E-5</v>
          </cell>
          <cell r="K2607">
            <v>2806</v>
          </cell>
          <cell r="L2607">
            <v>4006.0392090976202</v>
          </cell>
          <cell r="M2607">
            <v>149</v>
          </cell>
          <cell r="N2607">
            <v>0.24862142302008999</v>
          </cell>
          <cell r="O2607">
            <v>217</v>
          </cell>
          <cell r="P2607">
            <v>7.0000000000000007E-2</v>
          </cell>
          <cell r="Q2607">
            <v>1691</v>
          </cell>
        </row>
        <row r="2608">
          <cell r="B2608" t="str">
            <v>POSO MOUNTAIN 21033988</v>
          </cell>
          <cell r="C2608">
            <v>253642103</v>
          </cell>
          <cell r="D2608" t="str">
            <v>POSO MOUNTAIN 2103</v>
          </cell>
          <cell r="E2608">
            <v>3988</v>
          </cell>
          <cell r="F2608" t="b">
            <v>0</v>
          </cell>
          <cell r="G2608">
            <v>29512.46334178</v>
          </cell>
          <cell r="H2608">
            <v>27217.737420253899</v>
          </cell>
          <cell r="I2608">
            <v>68</v>
          </cell>
          <cell r="J2608">
            <v>4.0140985369419E-5</v>
          </cell>
          <cell r="K2608">
            <v>3264</v>
          </cell>
          <cell r="L2608">
            <v>5944.5540435961002</v>
          </cell>
          <cell r="M2608">
            <v>32</v>
          </cell>
          <cell r="N2608">
            <v>0.23303345759604699</v>
          </cell>
          <cell r="O2608">
            <v>254</v>
          </cell>
          <cell r="P2608">
            <v>0.1</v>
          </cell>
          <cell r="Q2608">
            <v>1471</v>
          </cell>
        </row>
        <row r="2609">
          <cell r="B2609" t="str">
            <v>POSO MOUNTAIN 2103CB</v>
          </cell>
          <cell r="C2609">
            <v>253642103</v>
          </cell>
          <cell r="D2609" t="str">
            <v>POSO MOUNTAIN 2103</v>
          </cell>
          <cell r="E2609" t="str">
            <v>CB</v>
          </cell>
          <cell r="F2609" t="b">
            <v>0</v>
          </cell>
          <cell r="G2609">
            <v>3746.9222281576299</v>
          </cell>
          <cell r="H2609">
            <v>3746.9222281576299</v>
          </cell>
          <cell r="I2609">
            <v>10</v>
          </cell>
          <cell r="J2609">
            <v>5.42097269418364E-5</v>
          </cell>
          <cell r="K2609">
            <v>2939</v>
          </cell>
          <cell r="L2609">
            <v>9615.8541015624996</v>
          </cell>
          <cell r="M2609">
            <v>2</v>
          </cell>
          <cell r="N2609">
            <v>0.51619382712091899</v>
          </cell>
          <cell r="O2609">
            <v>30</v>
          </cell>
          <cell r="P2609">
            <v>0.05</v>
          </cell>
          <cell r="Q2609">
            <v>1951</v>
          </cell>
        </row>
        <row r="2610">
          <cell r="B2610" t="str">
            <v>POSO MOUNTAIN 210448268</v>
          </cell>
          <cell r="C2610">
            <v>253642104</v>
          </cell>
          <cell r="D2610" t="str">
            <v>POSO MOUNTAIN 2104</v>
          </cell>
          <cell r="E2610">
            <v>48268</v>
          </cell>
          <cell r="F2610" t="b">
            <v>0</v>
          </cell>
          <cell r="G2610">
            <v>8165.62408347785</v>
          </cell>
          <cell r="H2610">
            <v>8152.5338653831104</v>
          </cell>
          <cell r="I2610">
            <v>30</v>
          </cell>
          <cell r="J2610">
            <v>2.80753134272041E-5</v>
          </cell>
          <cell r="K2610">
            <v>3458</v>
          </cell>
          <cell r="L2610">
            <v>6541.9937685124696</v>
          </cell>
          <cell r="M2610">
            <v>16</v>
          </cell>
          <cell r="N2610">
            <v>0.17977305114306</v>
          </cell>
          <cell r="O2610">
            <v>402</v>
          </cell>
          <cell r="P2610">
            <v>0.03</v>
          </cell>
          <cell r="Q2610">
            <v>2409</v>
          </cell>
        </row>
        <row r="2611">
          <cell r="B2611" t="str">
            <v>POSO MOUNTAIN 2104CB</v>
          </cell>
          <cell r="C2611">
            <v>253642104</v>
          </cell>
          <cell r="D2611" t="str">
            <v>POSO MOUNTAIN 2104</v>
          </cell>
          <cell r="E2611" t="str">
            <v>CB</v>
          </cell>
          <cell r="F2611" t="b">
            <v>0</v>
          </cell>
          <cell r="G2611">
            <v>12231.090529994401</v>
          </cell>
          <cell r="H2611">
            <v>8613.6879690431197</v>
          </cell>
          <cell r="I2611">
            <v>38</v>
          </cell>
          <cell r="J2611">
            <v>1.11889342153719E-4</v>
          </cell>
          <cell r="K2611">
            <v>1370</v>
          </cell>
          <cell r="L2611">
            <v>5318.8036625396999</v>
          </cell>
          <cell r="M2611">
            <v>51</v>
          </cell>
          <cell r="N2611">
            <v>0.70422889156035196</v>
          </cell>
          <cell r="O2611">
            <v>15</v>
          </cell>
          <cell r="P2611">
            <v>0.04</v>
          </cell>
          <cell r="Q2611">
            <v>2163</v>
          </cell>
        </row>
        <row r="2612">
          <cell r="B2612" t="str">
            <v>POTTER VALLEY P H 110495878</v>
          </cell>
          <cell r="C2612">
            <v>42281104</v>
          </cell>
          <cell r="D2612" t="str">
            <v>POTTER VALLEY P H 1104</v>
          </cell>
          <cell r="E2612">
            <v>95878</v>
          </cell>
          <cell r="F2612" t="b">
            <v>0</v>
          </cell>
          <cell r="G2612">
            <v>30094.557324482801</v>
          </cell>
          <cell r="H2612">
            <v>9856.7704505893707</v>
          </cell>
          <cell r="I2612">
            <v>191</v>
          </cell>
          <cell r="J2612">
            <v>1.7374325876202799E-4</v>
          </cell>
          <cell r="K2612">
            <v>535</v>
          </cell>
          <cell r="L2612">
            <v>2217.9988518600999</v>
          </cell>
          <cell r="M2612">
            <v>398</v>
          </cell>
          <cell r="N2612">
            <v>0.39649528091575298</v>
          </cell>
          <cell r="O2612">
            <v>60</v>
          </cell>
          <cell r="P2612">
            <v>0.02</v>
          </cell>
          <cell r="Q2612">
            <v>2524</v>
          </cell>
        </row>
        <row r="2613">
          <cell r="B2613" t="str">
            <v>POTTER VALLEY P H 1104CB</v>
          </cell>
          <cell r="C2613">
            <v>42281104</v>
          </cell>
          <cell r="D2613" t="str">
            <v>POTTER VALLEY P H 1104</v>
          </cell>
          <cell r="E2613" t="str">
            <v>CB</v>
          </cell>
          <cell r="F2613" t="b">
            <v>1</v>
          </cell>
          <cell r="G2613">
            <v>158.44514892983699</v>
          </cell>
          <cell r="H2613">
            <v>158.44514892983699</v>
          </cell>
          <cell r="I2613">
            <v>2</v>
          </cell>
          <cell r="J2613">
            <v>2.6209311909042299E-4</v>
          </cell>
          <cell r="K2613">
            <v>192</v>
          </cell>
          <cell r="L2613">
            <v>6.6430889693886497E-2</v>
          </cell>
          <cell r="M2613">
            <v>3100</v>
          </cell>
          <cell r="N2613">
            <v>1.74110883247428E-5</v>
          </cell>
          <cell r="O2613">
            <v>2982</v>
          </cell>
          <cell r="P2613">
            <v>0.02</v>
          </cell>
          <cell r="Q2613">
            <v>2438</v>
          </cell>
        </row>
        <row r="2614">
          <cell r="B2614" t="str">
            <v>POTTER VALLEY P H 11051904</v>
          </cell>
          <cell r="C2614">
            <v>42281105</v>
          </cell>
          <cell r="D2614" t="str">
            <v>POTTER VALLEY P H 1105</v>
          </cell>
          <cell r="E2614">
            <v>1904</v>
          </cell>
          <cell r="F2614" t="b">
            <v>0</v>
          </cell>
          <cell r="G2614">
            <v>64429.372828144697</v>
          </cell>
          <cell r="H2614">
            <v>51242.852060445199</v>
          </cell>
          <cell r="I2614">
            <v>332</v>
          </cell>
          <cell r="J2614">
            <v>1.84824617375237E-4</v>
          </cell>
          <cell r="K2614">
            <v>475</v>
          </cell>
          <cell r="L2614">
            <v>1914.8501114954399</v>
          </cell>
          <cell r="M2614">
            <v>471</v>
          </cell>
          <cell r="N2614">
            <v>0.37684977396119801</v>
          </cell>
          <cell r="O2614">
            <v>75</v>
          </cell>
          <cell r="P2614">
            <v>0.11</v>
          </cell>
          <cell r="Q2614">
            <v>1439</v>
          </cell>
        </row>
        <row r="2615">
          <cell r="B2615" t="str">
            <v>POTTER VALLEY P H 110537476</v>
          </cell>
          <cell r="C2615">
            <v>42281105</v>
          </cell>
          <cell r="D2615" t="str">
            <v>POTTER VALLEY P H 1105</v>
          </cell>
          <cell r="E2615">
            <v>37476</v>
          </cell>
          <cell r="F2615" t="b">
            <v>0</v>
          </cell>
          <cell r="G2615">
            <v>14076.4929242298</v>
          </cell>
          <cell r="H2615">
            <v>4231.6101949234398</v>
          </cell>
          <cell r="I2615">
            <v>82</v>
          </cell>
          <cell r="J2615">
            <v>1.4270186992933499E-4</v>
          </cell>
          <cell r="K2615">
            <v>830</v>
          </cell>
          <cell r="L2615">
            <v>1332.12247666804</v>
          </cell>
          <cell r="M2615">
            <v>666</v>
          </cell>
          <cell r="N2615">
            <v>0.18107226660363299</v>
          </cell>
          <cell r="O2615">
            <v>396</v>
          </cell>
          <cell r="P2615">
            <v>0.03</v>
          </cell>
          <cell r="Q2615">
            <v>2366</v>
          </cell>
        </row>
        <row r="2616">
          <cell r="B2616" t="str">
            <v>POTTER VALLEY P H 110564118</v>
          </cell>
          <cell r="C2616">
            <v>42281105</v>
          </cell>
          <cell r="D2616" t="str">
            <v>POTTER VALLEY P H 1105</v>
          </cell>
          <cell r="E2616">
            <v>64118</v>
          </cell>
          <cell r="F2616" t="b">
            <v>0</v>
          </cell>
          <cell r="G2616">
            <v>15416.941784149099</v>
          </cell>
          <cell r="H2616">
            <v>2646.9432765243901</v>
          </cell>
          <cell r="I2616">
            <v>101</v>
          </cell>
          <cell r="J2616">
            <v>1.97548485657264E-4</v>
          </cell>
          <cell r="K2616">
            <v>406</v>
          </cell>
          <cell r="L2616">
            <v>2096.5334756654402</v>
          </cell>
          <cell r="M2616">
            <v>427</v>
          </cell>
          <cell r="N2616">
            <v>0.44261938296418202</v>
          </cell>
          <cell r="O2616">
            <v>43</v>
          </cell>
          <cell r="P2616">
            <v>0.02</v>
          </cell>
          <cell r="Q2616">
            <v>2515</v>
          </cell>
        </row>
        <row r="2617">
          <cell r="B2617" t="str">
            <v>POTTER VALLEY P H 110576498</v>
          </cell>
          <cell r="C2617">
            <v>42281105</v>
          </cell>
          <cell r="D2617" t="str">
            <v>POTTER VALLEY P H 1105</v>
          </cell>
          <cell r="E2617">
            <v>76498</v>
          </cell>
          <cell r="F2617" t="b">
            <v>0</v>
          </cell>
          <cell r="G2617">
            <v>23942.952852311901</v>
          </cell>
          <cell r="H2617">
            <v>23942.952852311901</v>
          </cell>
          <cell r="I2617">
            <v>119</v>
          </cell>
          <cell r="J2617">
            <v>1.4996111266776701E-4</v>
          </cell>
          <cell r="K2617">
            <v>736</v>
          </cell>
          <cell r="L2617">
            <v>219.48323180832799</v>
          </cell>
          <cell r="M2617">
            <v>1606</v>
          </cell>
          <cell r="N2617">
            <v>3.6330797171165198E-2</v>
          </cell>
          <cell r="O2617">
            <v>1348</v>
          </cell>
          <cell r="P2617">
            <v>7.0000000000000007E-2</v>
          </cell>
          <cell r="Q2617">
            <v>1718</v>
          </cell>
        </row>
        <row r="2618">
          <cell r="B2618" t="str">
            <v>POTTER VALLEY P H 1105990354</v>
          </cell>
          <cell r="C2618">
            <v>42281105</v>
          </cell>
          <cell r="D2618" t="str">
            <v>POTTER VALLEY P H 1105</v>
          </cell>
          <cell r="E2618">
            <v>990354</v>
          </cell>
          <cell r="F2618" t="b">
            <v>1</v>
          </cell>
          <cell r="G2618">
            <v>170.38541554511599</v>
          </cell>
          <cell r="H2618">
            <v>170.38541554511599</v>
          </cell>
          <cell r="I2618">
            <v>2</v>
          </cell>
          <cell r="J2618">
            <v>3.0725116084795402E-4</v>
          </cell>
          <cell r="K2618">
            <v>122</v>
          </cell>
          <cell r="L2618">
            <v>583.99624599229696</v>
          </cell>
          <cell r="M2618">
            <v>1119</v>
          </cell>
          <cell r="N2618">
            <v>0.253409914520206</v>
          </cell>
          <cell r="O2618">
            <v>209</v>
          </cell>
          <cell r="P2618">
            <v>0.02</v>
          </cell>
          <cell r="Q2618">
            <v>2532</v>
          </cell>
        </row>
        <row r="2619">
          <cell r="B2619" t="str">
            <v>POTTER VALLEY P H 1105CB</v>
          </cell>
          <cell r="C2619">
            <v>42281105</v>
          </cell>
          <cell r="D2619" t="str">
            <v>POTTER VALLEY P H 1105</v>
          </cell>
          <cell r="E2619" t="str">
            <v>CB</v>
          </cell>
          <cell r="F2619" t="b">
            <v>1</v>
          </cell>
          <cell r="G2619">
            <v>89.3518240932857</v>
          </cell>
          <cell r="H2619">
            <v>89.3518240932857</v>
          </cell>
          <cell r="I2619">
            <v>2</v>
          </cell>
          <cell r="J2619">
            <v>2.4910211504902598E-4</v>
          </cell>
          <cell r="K2619">
            <v>218</v>
          </cell>
          <cell r="L2619">
            <v>6.6430776348809895E-2</v>
          </cell>
          <cell r="M2619">
            <v>3102</v>
          </cell>
          <cell r="N2619">
            <v>1.65480468928374E-5</v>
          </cell>
          <cell r="O2619">
            <v>2991</v>
          </cell>
          <cell r="P2619">
            <v>0.02</v>
          </cell>
          <cell r="Q2619">
            <v>2430</v>
          </cell>
        </row>
        <row r="2620">
          <cell r="B2620" t="str">
            <v>PRUNEDALE 11103716</v>
          </cell>
          <cell r="C2620">
            <v>182961110</v>
          </cell>
          <cell r="D2620" t="str">
            <v>PRUNEDALE 1110</v>
          </cell>
          <cell r="E2620">
            <v>3716</v>
          </cell>
          <cell r="F2620" t="b">
            <v>1</v>
          </cell>
          <cell r="G2620">
            <v>21171.737162818499</v>
          </cell>
          <cell r="H2620">
            <v>690.73243616091395</v>
          </cell>
          <cell r="I2620">
            <v>157</v>
          </cell>
          <cell r="J2620">
            <v>6.4876504305632905E-5</v>
          </cell>
          <cell r="K2620">
            <v>2613</v>
          </cell>
          <cell r="L2620">
            <v>1.67694973235217</v>
          </cell>
          <cell r="M2620">
            <v>2855</v>
          </cell>
          <cell r="N2620">
            <v>1.5488083767358E-4</v>
          </cell>
          <cell r="O2620">
            <v>2853</v>
          </cell>
          <cell r="P2620">
            <v>0.03</v>
          </cell>
          <cell r="Q2620">
            <v>2321</v>
          </cell>
        </row>
        <row r="2621">
          <cell r="B2621" t="str">
            <v>PUEBLO 11041304</v>
          </cell>
          <cell r="C2621">
            <v>43291104</v>
          </cell>
          <cell r="D2621" t="str">
            <v>PUEBLO 1104</v>
          </cell>
          <cell r="E2621">
            <v>1304</v>
          </cell>
          <cell r="F2621" t="b">
            <v>0</v>
          </cell>
          <cell r="G2621">
            <v>30935.6957301531</v>
          </cell>
          <cell r="H2621">
            <v>30935.6957301531</v>
          </cell>
          <cell r="I2621">
            <v>175</v>
          </cell>
          <cell r="J2621">
            <v>7.3324648879601395E-5</v>
          </cell>
          <cell r="K2621">
            <v>2386</v>
          </cell>
          <cell r="L2621">
            <v>1973.0847601718699</v>
          </cell>
          <cell r="M2621">
            <v>460</v>
          </cell>
          <cell r="N2621">
            <v>0.12901730987971999</v>
          </cell>
          <cell r="O2621">
            <v>607</v>
          </cell>
          <cell r="P2621">
            <v>0.28999999999999998</v>
          </cell>
          <cell r="Q2621">
            <v>1031</v>
          </cell>
        </row>
        <row r="2622">
          <cell r="B2622" t="str">
            <v>PUEBLO 1104580658</v>
          </cell>
          <cell r="C2622">
            <v>43291104</v>
          </cell>
          <cell r="D2622" t="str">
            <v>PUEBLO 1104</v>
          </cell>
          <cell r="E2622">
            <v>580658</v>
          </cell>
          <cell r="F2622" t="b">
            <v>0</v>
          </cell>
          <cell r="G2622">
            <v>16767.5084529903</v>
          </cell>
          <cell r="H2622">
            <v>15111.3604405281</v>
          </cell>
          <cell r="I2622">
            <v>107</v>
          </cell>
          <cell r="J2622">
            <v>6.1348293101694902E-5</v>
          </cell>
          <cell r="K2622">
            <v>2739</v>
          </cell>
          <cell r="L2622">
            <v>693.00403194118803</v>
          </cell>
          <cell r="M2622">
            <v>1027</v>
          </cell>
          <cell r="N2622">
            <v>3.8517587341241701E-2</v>
          </cell>
          <cell r="O2622">
            <v>1324</v>
          </cell>
          <cell r="Q2622">
            <v>2759</v>
          </cell>
        </row>
        <row r="2623">
          <cell r="B2623" t="str">
            <v>PUEBLO 1104640</v>
          </cell>
          <cell r="C2623">
            <v>43291104</v>
          </cell>
          <cell r="D2623" t="str">
            <v>PUEBLO 1104</v>
          </cell>
          <cell r="E2623">
            <v>640</v>
          </cell>
          <cell r="F2623" t="b">
            <v>0</v>
          </cell>
          <cell r="G2623">
            <v>5054.3066762533599</v>
          </cell>
          <cell r="H2623">
            <v>1636.7685117173701</v>
          </cell>
          <cell r="I2623">
            <v>43</v>
          </cell>
          <cell r="J2623">
            <v>9.1534874056463202E-5</v>
          </cell>
          <cell r="K2623">
            <v>1857</v>
          </cell>
          <cell r="L2623">
            <v>103.552201770457</v>
          </cell>
          <cell r="M2623">
            <v>1933</v>
          </cell>
          <cell r="N2623">
            <v>1.26578822891834E-2</v>
          </cell>
          <cell r="O2623">
            <v>1856</v>
          </cell>
          <cell r="P2623">
            <v>0.06</v>
          </cell>
          <cell r="Q2623">
            <v>1786</v>
          </cell>
        </row>
        <row r="2624">
          <cell r="B2624" t="str">
            <v>PUEBLO 1104968601</v>
          </cell>
          <cell r="C2624">
            <v>43291104</v>
          </cell>
          <cell r="D2624" t="str">
            <v>PUEBLO 1104</v>
          </cell>
          <cell r="E2624">
            <v>968601</v>
          </cell>
          <cell r="F2624" t="b">
            <v>1</v>
          </cell>
          <cell r="G2624">
            <v>12.239829724112999</v>
          </cell>
          <cell r="H2624">
            <v>12.239829724112999</v>
          </cell>
          <cell r="I2624">
            <v>1</v>
          </cell>
          <cell r="J2624">
            <v>2.00449911062605E-4</v>
          </cell>
          <cell r="K2624">
            <v>395</v>
          </cell>
          <cell r="L2624">
            <v>6.6431380861030107E-2</v>
          </cell>
          <cell r="M2624">
            <v>3041</v>
          </cell>
          <cell r="N2624">
            <v>1.3316164385359501E-5</v>
          </cell>
          <cell r="O2624">
            <v>3024</v>
          </cell>
          <cell r="Q2624">
            <v>3573</v>
          </cell>
        </row>
        <row r="2625">
          <cell r="B2625" t="str">
            <v>PUEBLO 1105348368</v>
          </cell>
          <cell r="C2625">
            <v>43291105</v>
          </cell>
          <cell r="D2625" t="str">
            <v>PUEBLO 1105</v>
          </cell>
          <cell r="E2625">
            <v>348368</v>
          </cell>
          <cell r="F2625" t="b">
            <v>0</v>
          </cell>
          <cell r="G2625">
            <v>14957.0247276063</v>
          </cell>
          <cell r="H2625">
            <v>4473.6470721261903</v>
          </cell>
          <cell r="I2625">
            <v>107</v>
          </cell>
          <cell r="J2625">
            <v>6.0549083853096402E-5</v>
          </cell>
          <cell r="K2625">
            <v>2762</v>
          </cell>
          <cell r="L2625">
            <v>137.04765845814001</v>
          </cell>
          <cell r="M2625">
            <v>1824</v>
          </cell>
          <cell r="N2625">
            <v>8.5796941298036198E-3</v>
          </cell>
          <cell r="O2625">
            <v>2025</v>
          </cell>
          <cell r="Q2625">
            <v>2865</v>
          </cell>
        </row>
        <row r="2626">
          <cell r="B2626" t="str">
            <v>PUEBLO 1105419634</v>
          </cell>
          <cell r="C2626">
            <v>43291105</v>
          </cell>
          <cell r="D2626" t="str">
            <v>PUEBLO 1105</v>
          </cell>
          <cell r="E2626">
            <v>419634</v>
          </cell>
          <cell r="F2626" t="b">
            <v>1</v>
          </cell>
          <cell r="G2626">
            <v>1981.01331171934</v>
          </cell>
          <cell r="H2626">
            <v>165.107041177837</v>
          </cell>
          <cell r="I2626">
            <v>14</v>
          </cell>
          <cell r="J2626">
            <v>7.8094073484992601E-5</v>
          </cell>
          <cell r="K2626">
            <v>2255</v>
          </cell>
          <cell r="L2626">
            <v>6.29241697371444</v>
          </cell>
          <cell r="M2626">
            <v>2707</v>
          </cell>
          <cell r="N2626">
            <v>3.78319827149444E-4</v>
          </cell>
          <cell r="O2626">
            <v>2770</v>
          </cell>
          <cell r="Q2626">
            <v>3436</v>
          </cell>
        </row>
        <row r="2627">
          <cell r="B2627" t="str">
            <v>PUEBLO 1105637242</v>
          </cell>
          <cell r="C2627">
            <v>43291105</v>
          </cell>
          <cell r="D2627" t="str">
            <v>PUEBLO 1105</v>
          </cell>
          <cell r="E2627">
            <v>637242</v>
          </cell>
          <cell r="F2627" t="b">
            <v>0</v>
          </cell>
          <cell r="G2627">
            <v>35417.216259798603</v>
          </cell>
          <cell r="H2627">
            <v>27085.716020026</v>
          </cell>
          <cell r="I2627">
            <v>193</v>
          </cell>
          <cell r="J2627">
            <v>7.1872616164646194E-5</v>
          </cell>
          <cell r="K2627">
            <v>2424</v>
          </cell>
          <cell r="L2627">
            <v>1184.0183635844301</v>
          </cell>
          <cell r="M2627">
            <v>740</v>
          </cell>
          <cell r="N2627">
            <v>8.3892691424516094E-2</v>
          </cell>
          <cell r="O2627">
            <v>873</v>
          </cell>
          <cell r="Q2627">
            <v>2879</v>
          </cell>
        </row>
        <row r="2628">
          <cell r="B2628" t="str">
            <v>PUEBLO 1105684564</v>
          </cell>
          <cell r="C2628">
            <v>43291105</v>
          </cell>
          <cell r="D2628" t="str">
            <v>PUEBLO 1105</v>
          </cell>
          <cell r="E2628">
            <v>684564</v>
          </cell>
          <cell r="F2628" t="b">
            <v>1</v>
          </cell>
          <cell r="G2628">
            <v>4176.2924161133096</v>
          </cell>
          <cell r="H2628">
            <v>443.39056627306701</v>
          </cell>
          <cell r="I2628">
            <v>28</v>
          </cell>
          <cell r="J2628">
            <v>6.6649962166463506E-5</v>
          </cell>
          <cell r="K2628">
            <v>2566</v>
          </cell>
          <cell r="L2628">
            <v>311.008268876991</v>
          </cell>
          <cell r="M2628">
            <v>1430</v>
          </cell>
          <cell r="N2628">
            <v>2.85801429676007E-2</v>
          </cell>
          <cell r="O2628">
            <v>1487</v>
          </cell>
          <cell r="Q2628">
            <v>3243</v>
          </cell>
        </row>
        <row r="2629">
          <cell r="B2629" t="str">
            <v>PUEBLO 1105696</v>
          </cell>
          <cell r="C2629">
            <v>43291105</v>
          </cell>
          <cell r="D2629" t="str">
            <v>PUEBLO 1105</v>
          </cell>
          <cell r="E2629">
            <v>696</v>
          </cell>
          <cell r="F2629" t="b">
            <v>0</v>
          </cell>
          <cell r="G2629">
            <v>11659.118418365901</v>
          </cell>
          <cell r="H2629">
            <v>6037.9333468757304</v>
          </cell>
          <cell r="I2629">
            <v>79</v>
          </cell>
          <cell r="J2629">
            <v>7.4535161418887402E-5</v>
          </cell>
          <cell r="K2629">
            <v>2343</v>
          </cell>
          <cell r="L2629">
            <v>617.41658724234105</v>
          </cell>
          <cell r="M2629">
            <v>1085</v>
          </cell>
          <cell r="N2629">
            <v>5.9024864209230303E-2</v>
          </cell>
          <cell r="O2629">
            <v>1069</v>
          </cell>
          <cell r="P2629">
            <v>0.32</v>
          </cell>
          <cell r="Q2629">
            <v>991</v>
          </cell>
        </row>
        <row r="2630">
          <cell r="B2630" t="str">
            <v>PUEBLO 1105716</v>
          </cell>
          <cell r="C2630">
            <v>43291105</v>
          </cell>
          <cell r="D2630" t="str">
            <v>PUEBLO 1105</v>
          </cell>
          <cell r="E2630">
            <v>716</v>
          </cell>
          <cell r="F2630" t="b">
            <v>1</v>
          </cell>
          <cell r="G2630">
            <v>14760.548953984</v>
          </cell>
          <cell r="H2630">
            <v>161.152971637425</v>
          </cell>
          <cell r="I2630">
            <v>124</v>
          </cell>
          <cell r="J2630">
            <v>5.8730843126640297E-5</v>
          </cell>
          <cell r="K2630">
            <v>2814</v>
          </cell>
          <cell r="L2630">
            <v>7.5935219009902299</v>
          </cell>
          <cell r="M2630">
            <v>2676</v>
          </cell>
          <cell r="N2630">
            <v>4.9953872148415497E-4</v>
          </cell>
          <cell r="O2630">
            <v>2736</v>
          </cell>
          <cell r="P2630">
            <v>0.53</v>
          </cell>
          <cell r="Q2630">
            <v>880</v>
          </cell>
        </row>
        <row r="2631">
          <cell r="B2631" t="str">
            <v>PUEBLO 2102226562</v>
          </cell>
          <cell r="C2631">
            <v>43292102</v>
          </cell>
          <cell r="D2631" t="str">
            <v>PUEBLO 2102</v>
          </cell>
          <cell r="E2631">
            <v>226562</v>
          </cell>
          <cell r="F2631" t="b">
            <v>0</v>
          </cell>
          <cell r="G2631">
            <v>1660.7793820603799</v>
          </cell>
          <cell r="H2631">
            <v>1371.9928002605</v>
          </cell>
          <cell r="I2631">
            <v>7</v>
          </cell>
          <cell r="J2631">
            <v>8.6130999382779295E-5</v>
          </cell>
          <cell r="K2631">
            <v>2031</v>
          </cell>
          <cell r="L2631">
            <v>1632.6529461999801</v>
          </cell>
          <cell r="M2631">
            <v>550</v>
          </cell>
          <cell r="N2631">
            <v>0.164026230913624</v>
          </cell>
          <cell r="O2631">
            <v>453</v>
          </cell>
          <cell r="Q2631">
            <v>3116</v>
          </cell>
        </row>
        <row r="2632">
          <cell r="B2632" t="str">
            <v>PUEBLO 2102391312</v>
          </cell>
          <cell r="C2632">
            <v>43292102</v>
          </cell>
          <cell r="D2632" t="str">
            <v>PUEBLO 2102</v>
          </cell>
          <cell r="E2632">
            <v>391312</v>
          </cell>
          <cell r="F2632" t="b">
            <v>1</v>
          </cell>
          <cell r="G2632">
            <v>1866.0467713102901</v>
          </cell>
          <cell r="H2632">
            <v>229.63938800570401</v>
          </cell>
          <cell r="I2632">
            <v>13</v>
          </cell>
          <cell r="J2632">
            <v>5.8919438743032501E-5</v>
          </cell>
          <cell r="K2632">
            <v>2810</v>
          </cell>
          <cell r="L2632">
            <v>14.668407494225001</v>
          </cell>
          <cell r="M2632">
            <v>2538</v>
          </cell>
          <cell r="N2632">
            <v>1.5528029701561701E-3</v>
          </cell>
          <cell r="O2632">
            <v>2547</v>
          </cell>
          <cell r="Q2632">
            <v>3544</v>
          </cell>
        </row>
        <row r="2633">
          <cell r="B2633" t="str">
            <v>PUEBLO 2102618</v>
          </cell>
          <cell r="C2633">
            <v>43292102</v>
          </cell>
          <cell r="D2633" t="str">
            <v>PUEBLO 2102</v>
          </cell>
          <cell r="E2633">
            <v>618</v>
          </cell>
          <cell r="F2633" t="b">
            <v>1</v>
          </cell>
          <cell r="G2633">
            <v>16180.0385658205</v>
          </cell>
          <cell r="H2633">
            <v>742.25722057617304</v>
          </cell>
          <cell r="I2633">
            <v>118</v>
          </cell>
          <cell r="J2633">
            <v>9.7103483858518297E-5</v>
          </cell>
          <cell r="K2633">
            <v>1711</v>
          </cell>
          <cell r="L2633">
            <v>69.288666379533893</v>
          </cell>
          <cell r="M2633">
            <v>2098</v>
          </cell>
          <cell r="N2633">
            <v>6.8234211329665602E-3</v>
          </cell>
          <cell r="O2633">
            <v>2102</v>
          </cell>
          <cell r="P2633">
            <v>17.57</v>
          </cell>
          <cell r="Q2633">
            <v>331</v>
          </cell>
        </row>
        <row r="2634">
          <cell r="B2634" t="str">
            <v>PUEBLO 2102647842</v>
          </cell>
          <cell r="C2634">
            <v>43292102</v>
          </cell>
          <cell r="D2634" t="str">
            <v>PUEBLO 2102</v>
          </cell>
          <cell r="E2634">
            <v>647842</v>
          </cell>
          <cell r="F2634" t="b">
            <v>1</v>
          </cell>
          <cell r="G2634">
            <v>1016.92836047199</v>
          </cell>
          <cell r="H2634">
            <v>187.73254595644599</v>
          </cell>
          <cell r="I2634">
            <v>6</v>
          </cell>
          <cell r="J2634">
            <v>4.4257804802327801E-5</v>
          </cell>
          <cell r="K2634">
            <v>3184</v>
          </cell>
          <cell r="L2634">
            <v>47.975076101338601</v>
          </cell>
          <cell r="M2634">
            <v>2222</v>
          </cell>
          <cell r="N2634">
            <v>2.3696780287181399E-3</v>
          </cell>
          <cell r="O2634">
            <v>2427</v>
          </cell>
          <cell r="Q2634">
            <v>2958</v>
          </cell>
        </row>
        <row r="2635">
          <cell r="B2635" t="str">
            <v>PUEBLO 2102773926</v>
          </cell>
          <cell r="C2635">
            <v>43292102</v>
          </cell>
          <cell r="D2635" t="str">
            <v>PUEBLO 2102</v>
          </cell>
          <cell r="E2635">
            <v>773926</v>
          </cell>
          <cell r="F2635" t="b">
            <v>1</v>
          </cell>
          <cell r="G2635">
            <v>3395.21457290224</v>
          </cell>
          <cell r="H2635">
            <v>706.74170553338297</v>
          </cell>
          <cell r="I2635">
            <v>25</v>
          </cell>
          <cell r="J2635">
            <v>7.9068663770461402E-5</v>
          </cell>
          <cell r="K2635">
            <v>2232</v>
          </cell>
          <cell r="L2635">
            <v>668.62592992453199</v>
          </cell>
          <cell r="M2635">
            <v>1044</v>
          </cell>
          <cell r="N2635">
            <v>2.65242993399138E-2</v>
          </cell>
          <cell r="O2635">
            <v>1523</v>
          </cell>
          <cell r="Q2635">
            <v>3448</v>
          </cell>
        </row>
        <row r="2636">
          <cell r="B2636" t="str">
            <v>PUEBLO 2102792</v>
          </cell>
          <cell r="C2636">
            <v>43292102</v>
          </cell>
          <cell r="D2636" t="str">
            <v>PUEBLO 2102</v>
          </cell>
          <cell r="E2636">
            <v>792</v>
          </cell>
          <cell r="F2636" t="b">
            <v>0</v>
          </cell>
          <cell r="G2636">
            <v>33585.8451925595</v>
          </cell>
          <cell r="H2636">
            <v>31119.161499454302</v>
          </cell>
          <cell r="I2636">
            <v>180</v>
          </cell>
          <cell r="J2636">
            <v>9.9050296663518602E-5</v>
          </cell>
          <cell r="K2636">
            <v>1667</v>
          </cell>
          <cell r="L2636">
            <v>711.86000040827798</v>
          </cell>
          <cell r="M2636">
            <v>1012</v>
          </cell>
          <cell r="N2636">
            <v>7.3389170128912898E-2</v>
          </cell>
          <cell r="O2636">
            <v>951</v>
          </cell>
          <cell r="P2636">
            <v>87.74</v>
          </cell>
          <cell r="Q2636">
            <v>36</v>
          </cell>
        </row>
        <row r="2637">
          <cell r="B2637" t="str">
            <v>PUEBLO 2102850102</v>
          </cell>
          <cell r="C2637">
            <v>43292102</v>
          </cell>
          <cell r="D2637" t="str">
            <v>PUEBLO 2102</v>
          </cell>
          <cell r="E2637">
            <v>850102</v>
          </cell>
          <cell r="F2637" t="b">
            <v>1</v>
          </cell>
          <cell r="G2637">
            <v>3948.9066566699698</v>
          </cell>
          <cell r="H2637">
            <v>287.44042612219602</v>
          </cell>
          <cell r="I2637">
            <v>23</v>
          </cell>
          <cell r="J2637">
            <v>4.4231796395747902E-5</v>
          </cell>
          <cell r="K2637">
            <v>3186</v>
          </cell>
          <cell r="L2637">
            <v>279.88823095203497</v>
          </cell>
          <cell r="M2637">
            <v>1472</v>
          </cell>
          <cell r="N2637">
            <v>1.77202170922235E-2</v>
          </cell>
          <cell r="O2637">
            <v>1715</v>
          </cell>
          <cell r="Q2637">
            <v>2955</v>
          </cell>
        </row>
        <row r="2638">
          <cell r="B2638" t="str">
            <v>PUEBLO 2102895310</v>
          </cell>
          <cell r="C2638">
            <v>43292102</v>
          </cell>
          <cell r="D2638" t="str">
            <v>PUEBLO 2102</v>
          </cell>
          <cell r="E2638">
            <v>895310</v>
          </cell>
          <cell r="F2638" t="b">
            <v>1</v>
          </cell>
          <cell r="G2638">
            <v>4366.1321175448002</v>
          </cell>
          <cell r="H2638">
            <v>592.95916457244005</v>
          </cell>
          <cell r="I2638">
            <v>31</v>
          </cell>
          <cell r="J2638">
            <v>6.4236493486649995E-5</v>
          </cell>
          <cell r="K2638">
            <v>2637</v>
          </cell>
          <cell r="L2638">
            <v>241.12400382430999</v>
          </cell>
          <cell r="M2638">
            <v>1565</v>
          </cell>
          <cell r="N2638">
            <v>2.2564883990559802E-2</v>
          </cell>
          <cell r="O2638">
            <v>1616</v>
          </cell>
          <cell r="Q2638">
            <v>3336</v>
          </cell>
        </row>
        <row r="2639">
          <cell r="B2639" t="str">
            <v>PUEBLO 2102943820</v>
          </cell>
          <cell r="C2639">
            <v>43292102</v>
          </cell>
          <cell r="D2639" t="str">
            <v>PUEBLO 2102</v>
          </cell>
          <cell r="E2639">
            <v>943820</v>
          </cell>
          <cell r="F2639" t="b">
            <v>0</v>
          </cell>
          <cell r="G2639">
            <v>3953.9710956255999</v>
          </cell>
          <cell r="H2639">
            <v>3039.5844512744502</v>
          </cell>
          <cell r="I2639">
            <v>13</v>
          </cell>
          <cell r="J2639">
            <v>9.0028823671253503E-5</v>
          </cell>
          <cell r="K2639">
            <v>1913</v>
          </cell>
          <cell r="L2639">
            <v>1434.29496235275</v>
          </cell>
          <cell r="M2639">
            <v>621</v>
          </cell>
          <cell r="N2639">
            <v>0.114640585705253</v>
          </cell>
          <cell r="O2639">
            <v>677</v>
          </cell>
          <cell r="Q2639">
            <v>3527</v>
          </cell>
        </row>
        <row r="2640">
          <cell r="B2640" t="str">
            <v>PUEBLO 21031970</v>
          </cell>
          <cell r="C2640">
            <v>43292103</v>
          </cell>
          <cell r="D2640" t="str">
            <v>PUEBLO 2103</v>
          </cell>
          <cell r="E2640">
            <v>1970</v>
          </cell>
          <cell r="F2640" t="b">
            <v>1</v>
          </cell>
          <cell r="G2640">
            <v>6915.7170308447303</v>
          </cell>
          <cell r="H2640">
            <v>0</v>
          </cell>
          <cell r="I2640">
            <v>60</v>
          </cell>
          <cell r="J2640">
            <v>6.00129052145348E-5</v>
          </cell>
          <cell r="K2640">
            <v>2774</v>
          </cell>
          <cell r="L2640">
            <v>6.5151188800396706E-2</v>
          </cell>
          <cell r="M2640">
            <v>3563</v>
          </cell>
          <cell r="N2640">
            <v>3.9099121180924602E-6</v>
          </cell>
          <cell r="O2640">
            <v>3340</v>
          </cell>
          <cell r="P2640">
            <v>0.06</v>
          </cell>
          <cell r="Q2640">
            <v>1913</v>
          </cell>
        </row>
        <row r="2641">
          <cell r="B2641" t="str">
            <v>PUEBLO 2103253312</v>
          </cell>
          <cell r="C2641">
            <v>43292103</v>
          </cell>
          <cell r="D2641" t="str">
            <v>PUEBLO 2103</v>
          </cell>
          <cell r="E2641">
            <v>253312</v>
          </cell>
          <cell r="F2641" t="b">
            <v>1</v>
          </cell>
          <cell r="G2641">
            <v>698.802592086765</v>
          </cell>
          <cell r="H2641">
            <v>682.80061253800795</v>
          </cell>
          <cell r="I2641">
            <v>2</v>
          </cell>
          <cell r="J2641">
            <v>6.5783853642642498E-5</v>
          </cell>
          <cell r="K2641">
            <v>2596</v>
          </cell>
          <cell r="L2641">
            <v>713.14310578901598</v>
          </cell>
          <cell r="M2641">
            <v>1011</v>
          </cell>
          <cell r="N2641">
            <v>4.2858962686894598E-6</v>
          </cell>
          <cell r="O2641">
            <v>3313</v>
          </cell>
          <cell r="Q2641">
            <v>3438</v>
          </cell>
        </row>
        <row r="2642">
          <cell r="B2642" t="str">
            <v>PUEBLO 2103373667</v>
          </cell>
          <cell r="C2642">
            <v>43292103</v>
          </cell>
          <cell r="D2642" t="str">
            <v>PUEBLO 2103</v>
          </cell>
          <cell r="E2642">
            <v>373667</v>
          </cell>
          <cell r="F2642" t="b">
            <v>0</v>
          </cell>
          <cell r="G2642">
            <v>6861.5817180446002</v>
          </cell>
          <cell r="H2642">
            <v>5269.4020940758701</v>
          </cell>
          <cell r="I2642">
            <v>45</v>
          </cell>
          <cell r="J2642">
            <v>1.0834239953345E-4</v>
          </cell>
          <cell r="K2642">
            <v>1444</v>
          </cell>
          <cell r="L2642">
            <v>757.321410498398</v>
          </cell>
          <cell r="M2642">
            <v>967</v>
          </cell>
          <cell r="N2642">
            <v>9.4140044090972597E-2</v>
          </cell>
          <cell r="O2642">
            <v>801</v>
          </cell>
          <cell r="Q2642">
            <v>2927</v>
          </cell>
        </row>
        <row r="2643">
          <cell r="B2643" t="str">
            <v>PUEBLO 2103678</v>
          </cell>
          <cell r="C2643">
            <v>43292103</v>
          </cell>
          <cell r="D2643" t="str">
            <v>PUEBLO 2103</v>
          </cell>
          <cell r="E2643">
            <v>678</v>
          </cell>
          <cell r="F2643" t="b">
            <v>0</v>
          </cell>
          <cell r="G2643">
            <v>57111.221051189503</v>
          </cell>
          <cell r="H2643">
            <v>56857.879527852303</v>
          </cell>
          <cell r="I2643">
            <v>325</v>
          </cell>
          <cell r="J2643">
            <v>1.1030697728922001E-4</v>
          </cell>
          <cell r="K2643">
            <v>1406</v>
          </cell>
          <cell r="L2643">
            <v>496.75617620399902</v>
          </cell>
          <cell r="M2643">
            <v>1204</v>
          </cell>
          <cell r="N2643">
            <v>4.6077320366589097E-2</v>
          </cell>
          <cell r="O2643">
            <v>1224</v>
          </cell>
          <cell r="P2643">
            <v>2.0499999999999998</v>
          </cell>
          <cell r="Q2643">
            <v>626</v>
          </cell>
        </row>
        <row r="2644">
          <cell r="B2644" t="str">
            <v>PUEBLO 2103706399</v>
          </cell>
          <cell r="C2644">
            <v>43292103</v>
          </cell>
          <cell r="D2644" t="str">
            <v>PUEBLO 2103</v>
          </cell>
          <cell r="E2644">
            <v>706399</v>
          </cell>
          <cell r="F2644" t="b">
            <v>1</v>
          </cell>
          <cell r="G2644">
            <v>1848.727636695</v>
          </cell>
          <cell r="H2644">
            <v>537.97165671339906</v>
          </cell>
          <cell r="I2644">
            <v>16</v>
          </cell>
          <cell r="J2644">
            <v>4.8672271198787098E-5</v>
          </cell>
          <cell r="K2644">
            <v>3069</v>
          </cell>
          <cell r="L2644">
            <v>204.870784283245</v>
          </cell>
          <cell r="M2644">
            <v>1630</v>
          </cell>
          <cell r="N2644">
            <v>1.03375331027677E-2</v>
          </cell>
          <cell r="O2644">
            <v>1945</v>
          </cell>
          <cell r="Q2644">
            <v>3173</v>
          </cell>
        </row>
        <row r="2645">
          <cell r="B2645" t="str">
            <v>PUEBLO 210375612</v>
          </cell>
          <cell r="C2645">
            <v>43292103</v>
          </cell>
          <cell r="D2645" t="str">
            <v>PUEBLO 2103</v>
          </cell>
          <cell r="E2645">
            <v>75612</v>
          </cell>
          <cell r="F2645" t="b">
            <v>1</v>
          </cell>
          <cell r="G2645">
            <v>15618.678734167101</v>
          </cell>
          <cell r="H2645">
            <v>0</v>
          </cell>
          <cell r="I2645">
            <v>114</v>
          </cell>
          <cell r="J2645">
            <v>6.2516218695719502E-5</v>
          </cell>
          <cell r="K2645">
            <v>2703</v>
          </cell>
          <cell r="L2645">
            <v>68.768822214854595</v>
          </cell>
          <cell r="M2645">
            <v>2099</v>
          </cell>
          <cell r="N2645">
            <v>5.1135122237521303E-3</v>
          </cell>
          <cell r="O2645">
            <v>2198</v>
          </cell>
          <cell r="Q2645">
            <v>2747</v>
          </cell>
        </row>
        <row r="2646">
          <cell r="B2646" t="str">
            <v>PUEBLO 2103776244</v>
          </cell>
          <cell r="C2646">
            <v>43292103</v>
          </cell>
          <cell r="D2646" t="str">
            <v>PUEBLO 2103</v>
          </cell>
          <cell r="E2646">
            <v>776244</v>
          </cell>
          <cell r="F2646" t="b">
            <v>1</v>
          </cell>
          <cell r="G2646">
            <v>783.93852228517096</v>
          </cell>
          <cell r="H2646">
            <v>274.58020635571501</v>
          </cell>
          <cell r="I2646">
            <v>5</v>
          </cell>
          <cell r="J2646">
            <v>5.5047699424903801E-5</v>
          </cell>
          <cell r="K2646">
            <v>2909</v>
          </cell>
          <cell r="L2646">
            <v>540.41173286586604</v>
          </cell>
          <cell r="M2646">
            <v>1158</v>
          </cell>
          <cell r="N2646">
            <v>5.2117312394345298E-2</v>
          </cell>
          <cell r="O2646">
            <v>1157</v>
          </cell>
          <cell r="Q2646">
            <v>3366</v>
          </cell>
        </row>
        <row r="2647">
          <cell r="B2647" t="str">
            <v>PUEBLO 2103895784</v>
          </cell>
          <cell r="C2647">
            <v>43292103</v>
          </cell>
          <cell r="D2647" t="str">
            <v>PUEBLO 2103</v>
          </cell>
          <cell r="E2647">
            <v>895784</v>
          </cell>
          <cell r="F2647" t="b">
            <v>0</v>
          </cell>
          <cell r="G2647">
            <v>16727.216340644602</v>
          </cell>
          <cell r="H2647">
            <v>12538.9099748403</v>
          </cell>
          <cell r="I2647">
            <v>110</v>
          </cell>
          <cell r="J2647">
            <v>8.3742796108377896E-5</v>
          </cell>
          <cell r="K2647">
            <v>2101</v>
          </cell>
          <cell r="L2647">
            <v>275.88684488956602</v>
          </cell>
          <cell r="M2647">
            <v>1483</v>
          </cell>
          <cell r="N2647">
            <v>2.20459325790404E-2</v>
          </cell>
          <cell r="O2647">
            <v>1630</v>
          </cell>
          <cell r="Q2647">
            <v>3006</v>
          </cell>
        </row>
        <row r="2648">
          <cell r="B2648" t="str">
            <v>PURISIMA 110149394</v>
          </cell>
          <cell r="C2648">
            <v>182971101</v>
          </cell>
          <cell r="D2648" t="str">
            <v>PURISIMA 1101</v>
          </cell>
          <cell r="E2648">
            <v>49394</v>
          </cell>
          <cell r="F2648" t="b">
            <v>0</v>
          </cell>
          <cell r="G2648">
            <v>14105.1914893004</v>
          </cell>
          <cell r="H2648">
            <v>1836.8422092189301</v>
          </cell>
          <cell r="I2648">
            <v>111</v>
          </cell>
          <cell r="J2648">
            <v>2.0591646732002001E-5</v>
          </cell>
          <cell r="K2648">
            <v>3538</v>
          </cell>
          <cell r="L2648">
            <v>59.3554765127666</v>
          </cell>
          <cell r="M2648">
            <v>2160</v>
          </cell>
          <cell r="N2648">
            <v>2.25088363654578E-3</v>
          </cell>
          <cell r="O2648">
            <v>2443</v>
          </cell>
          <cell r="P2648">
            <v>0.03</v>
          </cell>
          <cell r="Q2648">
            <v>2277</v>
          </cell>
        </row>
        <row r="2649">
          <cell r="B2649" t="str">
            <v>PURISIMA 110154728</v>
          </cell>
          <cell r="C2649">
            <v>182971101</v>
          </cell>
          <cell r="D2649" t="str">
            <v>PURISIMA 1101</v>
          </cell>
          <cell r="E2649">
            <v>54728</v>
          </cell>
          <cell r="F2649" t="b">
            <v>0</v>
          </cell>
          <cell r="G2649">
            <v>7898.4984373029802</v>
          </cell>
          <cell r="H2649">
            <v>1667.87198687667</v>
          </cell>
          <cell r="I2649">
            <v>37</v>
          </cell>
          <cell r="J2649">
            <v>3.3774980084745998E-5</v>
          </cell>
          <cell r="K2649">
            <v>3371</v>
          </cell>
          <cell r="L2649">
            <v>43.320981301165901</v>
          </cell>
          <cell r="M2649">
            <v>2256</v>
          </cell>
          <cell r="N2649">
            <v>6.6262246001680197E-4</v>
          </cell>
          <cell r="O2649">
            <v>2694</v>
          </cell>
          <cell r="P2649">
            <v>0.79</v>
          </cell>
          <cell r="Q2649">
            <v>775</v>
          </cell>
        </row>
        <row r="2650">
          <cell r="B2650" t="str">
            <v>PURISIMA 1101CB</v>
          </cell>
          <cell r="C2650">
            <v>182971101</v>
          </cell>
          <cell r="D2650" t="str">
            <v>PURISIMA 1101</v>
          </cell>
          <cell r="E2650" t="str">
            <v>CB</v>
          </cell>
          <cell r="F2650" t="b">
            <v>0</v>
          </cell>
          <cell r="G2650">
            <v>7381.7292752651501</v>
          </cell>
          <cell r="H2650">
            <v>5917.6188896521599</v>
          </cell>
          <cell r="I2650">
            <v>32</v>
          </cell>
          <cell r="J2650">
            <v>7.2015593606669496E-5</v>
          </cell>
          <cell r="K2650">
            <v>2418</v>
          </cell>
          <cell r="L2650">
            <v>150.05971355969001</v>
          </cell>
          <cell r="M2650">
            <v>1776</v>
          </cell>
          <cell r="N2650">
            <v>8.5314683704253505E-3</v>
          </cell>
          <cell r="O2650">
            <v>2027</v>
          </cell>
          <cell r="P2650">
            <v>0.06</v>
          </cell>
          <cell r="Q2650">
            <v>1914</v>
          </cell>
        </row>
        <row r="2651">
          <cell r="B2651" t="str">
            <v>PURISIMA 1101Y42</v>
          </cell>
          <cell r="C2651">
            <v>182971101</v>
          </cell>
          <cell r="D2651" t="str">
            <v>PURISIMA 1101</v>
          </cell>
          <cell r="E2651" t="str">
            <v>Y42</v>
          </cell>
          <cell r="F2651" t="b">
            <v>0</v>
          </cell>
          <cell r="G2651">
            <v>26985.495576155601</v>
          </cell>
          <cell r="H2651">
            <v>5628.4598850861803</v>
          </cell>
          <cell r="I2651">
            <v>127</v>
          </cell>
          <cell r="J2651">
            <v>5.2152747616312897E-5</v>
          </cell>
          <cell r="K2651">
            <v>2990</v>
          </cell>
          <cell r="L2651">
            <v>480.935992991185</v>
          </cell>
          <cell r="M2651">
            <v>1215</v>
          </cell>
          <cell r="N2651">
            <v>3.7117938356790302E-2</v>
          </cell>
          <cell r="O2651">
            <v>1337</v>
          </cell>
          <cell r="P2651">
            <v>0.03</v>
          </cell>
          <cell r="Q2651">
            <v>2346</v>
          </cell>
        </row>
        <row r="2652">
          <cell r="B2652" t="str">
            <v>PURISIMA 1101Y44</v>
          </cell>
          <cell r="C2652">
            <v>182971101</v>
          </cell>
          <cell r="D2652" t="str">
            <v>PURISIMA 1101</v>
          </cell>
          <cell r="E2652" t="str">
            <v>Y44</v>
          </cell>
          <cell r="F2652" t="b">
            <v>0</v>
          </cell>
          <cell r="G2652">
            <v>18687.867402647</v>
          </cell>
          <cell r="H2652">
            <v>16745.931064232602</v>
          </cell>
          <cell r="I2652">
            <v>45</v>
          </cell>
          <cell r="J2652">
            <v>6.0110572565549903E-5</v>
          </cell>
          <cell r="K2652">
            <v>2770</v>
          </cell>
          <cell r="L2652">
            <v>1213.3424262055</v>
          </cell>
          <cell r="M2652">
            <v>724</v>
          </cell>
          <cell r="N2652">
            <v>7.3295193235966102E-2</v>
          </cell>
          <cell r="O2652">
            <v>954</v>
          </cell>
          <cell r="P2652">
            <v>0.1</v>
          </cell>
          <cell r="Q2652">
            <v>1484</v>
          </cell>
        </row>
        <row r="2653">
          <cell r="B2653" t="str">
            <v>PUTAH CREEK 110246012</v>
          </cell>
          <cell r="C2653">
            <v>63681102</v>
          </cell>
          <cell r="D2653" t="str">
            <v>PUTAH CREEK 1102</v>
          </cell>
          <cell r="E2653">
            <v>46012</v>
          </cell>
          <cell r="F2653" t="b">
            <v>0</v>
          </cell>
          <cell r="G2653">
            <v>4834.6735814507001</v>
          </cell>
          <cell r="H2653">
            <v>1025.14472552087</v>
          </cell>
          <cell r="I2653">
            <v>38</v>
          </cell>
          <cell r="J2653">
            <v>9.4943854444289494E-5</v>
          </cell>
          <cell r="K2653">
            <v>1768</v>
          </cell>
          <cell r="L2653">
            <v>4755.8708363792402</v>
          </cell>
          <cell r="M2653">
            <v>96</v>
          </cell>
          <cell r="N2653">
            <v>0.45556538757167098</v>
          </cell>
          <cell r="O2653">
            <v>41</v>
          </cell>
          <cell r="Q2653">
            <v>3124</v>
          </cell>
        </row>
        <row r="2654">
          <cell r="B2654" t="str">
            <v>PUTAH CREEK 110264044</v>
          </cell>
          <cell r="C2654">
            <v>63681102</v>
          </cell>
          <cell r="D2654" t="str">
            <v>PUTAH CREEK 1102</v>
          </cell>
          <cell r="E2654">
            <v>64044</v>
          </cell>
          <cell r="F2654" t="b">
            <v>0</v>
          </cell>
          <cell r="G2654">
            <v>11992.1978941906</v>
          </cell>
          <cell r="H2654">
            <v>9649.0485066525907</v>
          </cell>
          <cell r="I2654">
            <v>46</v>
          </cell>
          <cell r="J2654">
            <v>6.40183727583739E-5</v>
          </cell>
          <cell r="K2654">
            <v>2645</v>
          </cell>
          <cell r="L2654">
            <v>2318.9503048991101</v>
          </cell>
          <cell r="M2654">
            <v>380</v>
          </cell>
          <cell r="N2654">
            <v>0.148339408099909</v>
          </cell>
          <cell r="O2654">
            <v>529</v>
          </cell>
          <cell r="P2654">
            <v>0.92</v>
          </cell>
          <cell r="Q2654">
            <v>747</v>
          </cell>
        </row>
        <row r="2655">
          <cell r="B2655" t="str">
            <v>PUTAH CREEK 110267858</v>
          </cell>
          <cell r="C2655">
            <v>63681102</v>
          </cell>
          <cell r="D2655" t="str">
            <v>PUTAH CREEK 1102</v>
          </cell>
          <cell r="E2655">
            <v>67858</v>
          </cell>
          <cell r="F2655" t="b">
            <v>0</v>
          </cell>
          <cell r="G2655">
            <v>18377.341498317899</v>
          </cell>
          <cell r="H2655">
            <v>18377.341498317899</v>
          </cell>
          <cell r="I2655">
            <v>107</v>
          </cell>
          <cell r="J2655">
            <v>6.8001502459426105E-5</v>
          </cell>
          <cell r="K2655">
            <v>2535</v>
          </cell>
          <cell r="L2655">
            <v>5416.4768883182196</v>
          </cell>
          <cell r="M2655">
            <v>50</v>
          </cell>
          <cell r="N2655">
            <v>0.35701878238727303</v>
          </cell>
          <cell r="O2655">
            <v>92</v>
          </cell>
          <cell r="P2655">
            <v>2.79</v>
          </cell>
          <cell r="Q2655">
            <v>581</v>
          </cell>
        </row>
        <row r="2656">
          <cell r="B2656" t="str">
            <v>PUTAH CREEK 1102710384</v>
          </cell>
          <cell r="C2656">
            <v>63681102</v>
          </cell>
          <cell r="D2656" t="str">
            <v>PUTAH CREEK 1102</v>
          </cell>
          <cell r="E2656">
            <v>710384</v>
          </cell>
          <cell r="F2656" t="b">
            <v>0</v>
          </cell>
          <cell r="G2656">
            <v>15468.9282297709</v>
          </cell>
          <cell r="H2656">
            <v>8584.2297555652294</v>
          </cell>
          <cell r="I2656">
            <v>84</v>
          </cell>
          <cell r="J2656">
            <v>5.8195376422667099E-5</v>
          </cell>
          <cell r="K2656">
            <v>2830</v>
          </cell>
          <cell r="L2656">
            <v>3710.5414752316501</v>
          </cell>
          <cell r="M2656">
            <v>182</v>
          </cell>
          <cell r="N2656">
            <v>0.174689397729759</v>
          </cell>
          <cell r="O2656">
            <v>418</v>
          </cell>
          <cell r="Q2656">
            <v>2697</v>
          </cell>
        </row>
        <row r="2657">
          <cell r="B2657" t="str">
            <v>PUTAH CREEK 11028352</v>
          </cell>
          <cell r="C2657">
            <v>63681102</v>
          </cell>
          <cell r="D2657" t="str">
            <v>PUTAH CREEK 1102</v>
          </cell>
          <cell r="E2657">
            <v>8352</v>
          </cell>
          <cell r="F2657" t="b">
            <v>0</v>
          </cell>
          <cell r="G2657">
            <v>19103.673104640598</v>
          </cell>
          <cell r="H2657">
            <v>10298.4219040509</v>
          </cell>
          <cell r="I2657">
            <v>133</v>
          </cell>
          <cell r="J2657">
            <v>7.7050544346197501E-5</v>
          </cell>
          <cell r="K2657">
            <v>2286</v>
          </cell>
          <cell r="L2657">
            <v>3533.4319136409999</v>
          </cell>
          <cell r="M2657">
            <v>197</v>
          </cell>
          <cell r="N2657">
            <v>0.27308414018569799</v>
          </cell>
          <cell r="O2657">
            <v>171</v>
          </cell>
          <cell r="P2657">
            <v>0.04</v>
          </cell>
          <cell r="Q2657">
            <v>2110</v>
          </cell>
        </row>
        <row r="2658">
          <cell r="B2658" t="str">
            <v>PUTAH CREEK 11033783</v>
          </cell>
          <cell r="C2658">
            <v>63681103</v>
          </cell>
          <cell r="D2658" t="str">
            <v>PUTAH CREEK 1103</v>
          </cell>
          <cell r="E2658">
            <v>3783</v>
          </cell>
          <cell r="F2658" t="b">
            <v>1</v>
          </cell>
          <cell r="G2658">
            <v>16200.7400749925</v>
          </cell>
          <cell r="H2658">
            <v>142.51093589679201</v>
          </cell>
          <cell r="I2658">
            <v>96</v>
          </cell>
          <cell r="J2658">
            <v>9.2314451829148895E-5</v>
          </cell>
          <cell r="K2658">
            <v>1834</v>
          </cell>
          <cell r="L2658">
            <v>351.51016162190001</v>
          </cell>
          <cell r="M2658">
            <v>1370</v>
          </cell>
          <cell r="N2658">
            <v>2.9685464137826498E-2</v>
          </cell>
          <cell r="O2658">
            <v>1469</v>
          </cell>
          <cell r="Q2658">
            <v>3259</v>
          </cell>
        </row>
        <row r="2659">
          <cell r="B2659" t="str">
            <v>PUTAH CREEK 1103654021</v>
          </cell>
          <cell r="C2659">
            <v>63681103</v>
          </cell>
          <cell r="D2659" t="str">
            <v>PUTAH CREEK 1103</v>
          </cell>
          <cell r="E2659">
            <v>654021</v>
          </cell>
          <cell r="F2659" t="b">
            <v>1</v>
          </cell>
          <cell r="G2659">
            <v>1396.0556640485199</v>
          </cell>
          <cell r="H2659">
            <v>329.19541437237802</v>
          </cell>
          <cell r="I2659">
            <v>12</v>
          </cell>
          <cell r="J2659">
            <v>6.2032598483104497E-5</v>
          </cell>
          <cell r="K2659">
            <v>2719</v>
          </cell>
          <cell r="L2659">
            <v>5297.9521336930402</v>
          </cell>
          <cell r="M2659">
            <v>54</v>
          </cell>
          <cell r="N2659">
            <v>0.27878114117647301</v>
          </cell>
          <cell r="O2659">
            <v>158</v>
          </cell>
          <cell r="Q2659">
            <v>3351</v>
          </cell>
        </row>
        <row r="2660">
          <cell r="B2660" t="str">
            <v>PUTAH CREEK 110396792</v>
          </cell>
          <cell r="C2660">
            <v>63681103</v>
          </cell>
          <cell r="D2660" t="str">
            <v>PUTAH CREEK 1103</v>
          </cell>
          <cell r="E2660">
            <v>96792</v>
          </cell>
          <cell r="F2660" t="b">
            <v>0</v>
          </cell>
          <cell r="G2660">
            <v>8212.3137194259998</v>
          </cell>
          <cell r="H2660">
            <v>6394.0350923412198</v>
          </cell>
          <cell r="I2660">
            <v>30</v>
          </cell>
          <cell r="J2660">
            <v>7.1793253325801005E-5</v>
          </cell>
          <cell r="K2660">
            <v>2425</v>
          </cell>
          <cell r="L2660">
            <v>5020.5256229979896</v>
          </cell>
          <cell r="M2660">
            <v>72</v>
          </cell>
          <cell r="N2660">
            <v>0.30689062528108402</v>
          </cell>
          <cell r="O2660">
            <v>131</v>
          </cell>
          <cell r="Q2660">
            <v>3057</v>
          </cell>
        </row>
        <row r="2661">
          <cell r="B2661" t="str">
            <v>PUTAH CREEK 1105617260</v>
          </cell>
          <cell r="C2661">
            <v>63681105</v>
          </cell>
          <cell r="D2661" t="str">
            <v>PUTAH CREEK 1105</v>
          </cell>
          <cell r="E2661">
            <v>617260</v>
          </cell>
          <cell r="F2661" t="b">
            <v>0</v>
          </cell>
          <cell r="G2661">
            <v>4545.7003418065397</v>
          </cell>
          <cell r="H2661">
            <v>1876.8401803643201</v>
          </cell>
          <cell r="I2661">
            <v>15</v>
          </cell>
          <cell r="J2661">
            <v>9.4125222676666397E-5</v>
          </cell>
          <cell r="K2661">
            <v>1791</v>
          </cell>
          <cell r="L2661">
            <v>3143.4533339640102</v>
          </cell>
          <cell r="M2661">
            <v>249</v>
          </cell>
          <cell r="N2661">
            <v>0.23960487506607001</v>
          </cell>
          <cell r="O2661">
            <v>237</v>
          </cell>
          <cell r="Q2661">
            <v>3506</v>
          </cell>
        </row>
        <row r="2662">
          <cell r="B2662" t="str">
            <v>PUTAH CREEK 1105665952</v>
          </cell>
          <cell r="C2662">
            <v>63681105</v>
          </cell>
          <cell r="D2662" t="str">
            <v>PUTAH CREEK 1105</v>
          </cell>
          <cell r="E2662">
            <v>665952</v>
          </cell>
          <cell r="F2662" t="b">
            <v>1</v>
          </cell>
          <cell r="G2662">
            <v>1521.6619724100799</v>
          </cell>
          <cell r="H2662">
            <v>243.38244219654001</v>
          </cell>
          <cell r="I2662">
            <v>13</v>
          </cell>
          <cell r="J2662">
            <v>7.1773918231580498E-5</v>
          </cell>
          <cell r="K2662">
            <v>2427</v>
          </cell>
          <cell r="L2662">
            <v>3135.6660065002302</v>
          </cell>
          <cell r="M2662">
            <v>250</v>
          </cell>
          <cell r="N2662">
            <v>0.215913557092411</v>
          </cell>
          <cell r="O2662">
            <v>293</v>
          </cell>
          <cell r="Q2662">
            <v>3252</v>
          </cell>
        </row>
        <row r="2663">
          <cell r="B2663" t="str">
            <v>PUTAH CREEK 1105748272</v>
          </cell>
          <cell r="C2663">
            <v>63681105</v>
          </cell>
          <cell r="D2663" t="str">
            <v>PUTAH CREEK 1105</v>
          </cell>
          <cell r="E2663">
            <v>748272</v>
          </cell>
          <cell r="F2663" t="b">
            <v>0</v>
          </cell>
          <cell r="G2663">
            <v>6311.5498392040299</v>
          </cell>
          <cell r="H2663">
            <v>1206.1255418754499</v>
          </cell>
          <cell r="I2663">
            <v>26</v>
          </cell>
          <cell r="J2663">
            <v>6.9164477584611903E-5</v>
          </cell>
          <cell r="K2663">
            <v>2501</v>
          </cell>
          <cell r="L2663">
            <v>2825.8419958827699</v>
          </cell>
          <cell r="M2663">
            <v>296</v>
          </cell>
          <cell r="N2663">
            <v>0.15028499507335299</v>
          </cell>
          <cell r="O2663">
            <v>515</v>
          </cell>
          <cell r="Q2663">
            <v>3317</v>
          </cell>
        </row>
        <row r="2664">
          <cell r="B2664" t="str">
            <v>RACETRACK 170310850</v>
          </cell>
          <cell r="C2664">
            <v>163761703</v>
          </cell>
          <cell r="D2664" t="str">
            <v>RACETRACK 1703</v>
          </cell>
          <cell r="E2664">
            <v>10850</v>
          </cell>
          <cell r="F2664" t="b">
            <v>1</v>
          </cell>
          <cell r="G2664">
            <v>3044.0071508615902</v>
          </cell>
          <cell r="H2664">
            <v>994.88421106303997</v>
          </cell>
          <cell r="I2664">
            <v>28</v>
          </cell>
          <cell r="J2664">
            <v>8.6545042514834202E-5</v>
          </cell>
          <cell r="K2664">
            <v>2022</v>
          </cell>
          <cell r="L2664">
            <v>6.5651779994368498E-2</v>
          </cell>
          <cell r="M2664">
            <v>3324</v>
          </cell>
          <cell r="N2664">
            <v>5.7039665195315701E-6</v>
          </cell>
          <cell r="O2664">
            <v>3227</v>
          </cell>
          <cell r="P2664">
            <v>0.04</v>
          </cell>
          <cell r="Q2664">
            <v>2091</v>
          </cell>
        </row>
        <row r="2665">
          <cell r="B2665" t="str">
            <v>RACETRACK 170310870</v>
          </cell>
          <cell r="C2665">
            <v>163761703</v>
          </cell>
          <cell r="D2665" t="str">
            <v>RACETRACK 1703</v>
          </cell>
          <cell r="E2665">
            <v>10870</v>
          </cell>
          <cell r="F2665" t="b">
            <v>0</v>
          </cell>
          <cell r="G2665">
            <v>4188.8092118730001</v>
          </cell>
          <cell r="H2665">
            <v>3071.5505164811698</v>
          </cell>
          <cell r="I2665">
            <v>28</v>
          </cell>
          <cell r="J2665">
            <v>1.01266271160836E-4</v>
          </cell>
          <cell r="K2665">
            <v>1622</v>
          </cell>
          <cell r="L2665">
            <v>246.13271977353301</v>
          </cell>
          <cell r="M2665">
            <v>1549</v>
          </cell>
          <cell r="N2665">
            <v>2.3076971501716701E-2</v>
          </cell>
          <cell r="O2665">
            <v>1601</v>
          </cell>
          <cell r="P2665">
            <v>0.04</v>
          </cell>
          <cell r="Q2665">
            <v>2108</v>
          </cell>
        </row>
        <row r="2666">
          <cell r="B2666" t="str">
            <v>RACETRACK 170311270</v>
          </cell>
          <cell r="C2666">
            <v>163761703</v>
          </cell>
          <cell r="D2666" t="str">
            <v>RACETRACK 1703</v>
          </cell>
          <cell r="E2666">
            <v>11270</v>
          </cell>
          <cell r="F2666" t="b">
            <v>0</v>
          </cell>
          <cell r="G2666">
            <v>20312.1456316861</v>
          </cell>
          <cell r="H2666">
            <v>20312.1456316861</v>
          </cell>
          <cell r="I2666">
            <v>123</v>
          </cell>
          <cell r="J2666">
            <v>1.2755791914194101E-4</v>
          </cell>
          <cell r="K2666">
            <v>1056</v>
          </cell>
          <cell r="L2666">
            <v>499.30737625438002</v>
          </cell>
          <cell r="M2666">
            <v>1201</v>
          </cell>
          <cell r="N2666">
            <v>5.5685118257552499E-2</v>
          </cell>
          <cell r="O2666">
            <v>1112</v>
          </cell>
          <cell r="P2666">
            <v>0.11</v>
          </cell>
          <cell r="Q2666">
            <v>1443</v>
          </cell>
        </row>
        <row r="2667">
          <cell r="B2667" t="str">
            <v>RACETRACK 17032553</v>
          </cell>
          <cell r="C2667">
            <v>163761703</v>
          </cell>
          <cell r="D2667" t="str">
            <v>RACETRACK 1703</v>
          </cell>
          <cell r="E2667">
            <v>2553</v>
          </cell>
          <cell r="F2667" t="b">
            <v>0</v>
          </cell>
          <cell r="G2667">
            <v>3992.311701956</v>
          </cell>
          <cell r="H2667">
            <v>1548.3172852335599</v>
          </cell>
          <cell r="I2667">
            <v>32</v>
          </cell>
          <cell r="J2667">
            <v>7.5372303570020395E-5</v>
          </cell>
          <cell r="K2667">
            <v>2324</v>
          </cell>
          <cell r="L2667">
            <v>6.5668988740071599E-2</v>
          </cell>
          <cell r="M2667">
            <v>3318</v>
          </cell>
          <cell r="N2667">
            <v>4.95348747274718E-6</v>
          </cell>
          <cell r="O2667">
            <v>3268</v>
          </cell>
          <cell r="P2667">
            <v>0.05</v>
          </cell>
          <cell r="Q2667">
            <v>2058</v>
          </cell>
        </row>
        <row r="2668">
          <cell r="B2668" t="str">
            <v>RACETRACK 17036014</v>
          </cell>
          <cell r="C2668">
            <v>163761703</v>
          </cell>
          <cell r="D2668" t="str">
            <v>RACETRACK 1703</v>
          </cell>
          <cell r="E2668">
            <v>6014</v>
          </cell>
          <cell r="F2668" t="b">
            <v>0</v>
          </cell>
          <cell r="G2668">
            <v>11167.253152073899</v>
          </cell>
          <cell r="H2668">
            <v>11167.253152073899</v>
          </cell>
          <cell r="I2668">
            <v>73</v>
          </cell>
          <cell r="J2668">
            <v>1.2644597687814301E-4</v>
          </cell>
          <cell r="K2668">
            <v>1075</v>
          </cell>
          <cell r="L2668">
            <v>322.17450330110398</v>
          </cell>
          <cell r="M2668">
            <v>1410</v>
          </cell>
          <cell r="N2668">
            <v>3.3828602830487997E-2</v>
          </cell>
          <cell r="O2668">
            <v>1391</v>
          </cell>
          <cell r="P2668">
            <v>0.11</v>
          </cell>
          <cell r="Q2668">
            <v>1416</v>
          </cell>
        </row>
        <row r="2669">
          <cell r="B2669" t="str">
            <v>RACETRACK 17038120</v>
          </cell>
          <cell r="C2669">
            <v>163761703</v>
          </cell>
          <cell r="D2669" t="str">
            <v>RACETRACK 1703</v>
          </cell>
          <cell r="E2669">
            <v>8120</v>
          </cell>
          <cell r="F2669" t="b">
            <v>0</v>
          </cell>
          <cell r="G2669">
            <v>14371.6326331082</v>
          </cell>
          <cell r="H2669">
            <v>14371.6326331082</v>
          </cell>
          <cell r="I2669">
            <v>108</v>
          </cell>
          <cell r="J2669">
            <v>1.4141027570977301E-4</v>
          </cell>
          <cell r="K2669">
            <v>847</v>
          </cell>
          <cell r="L2669">
            <v>24.264561695633098</v>
          </cell>
          <cell r="M2669">
            <v>2397</v>
          </cell>
          <cell r="N2669">
            <v>1.7068211148071101E-3</v>
          </cell>
          <cell r="O2669">
            <v>2516</v>
          </cell>
          <cell r="P2669">
            <v>0.12</v>
          </cell>
          <cell r="Q2669">
            <v>1384</v>
          </cell>
        </row>
        <row r="2670">
          <cell r="B2670" t="str">
            <v>RACETRACK 17039190</v>
          </cell>
          <cell r="C2670">
            <v>163761703</v>
          </cell>
          <cell r="D2670" t="str">
            <v>RACETRACK 1703</v>
          </cell>
          <cell r="E2670">
            <v>9190</v>
          </cell>
          <cell r="F2670" t="b">
            <v>0</v>
          </cell>
          <cell r="G2670">
            <v>14438.9194831604</v>
          </cell>
          <cell r="H2670">
            <v>14438.9194831604</v>
          </cell>
          <cell r="I2670">
            <v>104</v>
          </cell>
          <cell r="J2670">
            <v>1.5927376941884001E-4</v>
          </cell>
          <cell r="K2670">
            <v>649</v>
          </cell>
          <cell r="L2670">
            <v>560.21855221402097</v>
          </cell>
          <cell r="M2670">
            <v>1135</v>
          </cell>
          <cell r="N2670">
            <v>8.711513332727E-2</v>
          </cell>
          <cell r="O2670">
            <v>845</v>
          </cell>
          <cell r="P2670">
            <v>0.12</v>
          </cell>
          <cell r="Q2670">
            <v>1405</v>
          </cell>
        </row>
        <row r="2671">
          <cell r="B2671" t="str">
            <v>RACETRACK 1703CB</v>
          </cell>
          <cell r="C2671">
            <v>163761703</v>
          </cell>
          <cell r="D2671" t="str">
            <v>RACETRACK 1703</v>
          </cell>
          <cell r="E2671" t="str">
            <v>CB</v>
          </cell>
          <cell r="F2671" t="b">
            <v>0</v>
          </cell>
          <cell r="G2671">
            <v>28877.591716272698</v>
          </cell>
          <cell r="H2671">
            <v>25353.141626073899</v>
          </cell>
          <cell r="I2671">
            <v>216</v>
          </cell>
          <cell r="J2671">
            <v>1.38248427240931E-4</v>
          </cell>
          <cell r="K2671">
            <v>891</v>
          </cell>
          <cell r="L2671">
            <v>45.587040609059201</v>
          </cell>
          <cell r="M2671">
            <v>2242</v>
          </cell>
          <cell r="N2671">
            <v>8.1629841993436404E-3</v>
          </cell>
          <cell r="O2671">
            <v>2042</v>
          </cell>
          <cell r="P2671">
            <v>0.16</v>
          </cell>
          <cell r="Q2671">
            <v>1262</v>
          </cell>
        </row>
        <row r="2672">
          <cell r="B2672" t="str">
            <v>RACETRACK 170455798</v>
          </cell>
          <cell r="C2672">
            <v>163761704</v>
          </cell>
          <cell r="D2672" t="str">
            <v>RACETRACK 1704</v>
          </cell>
          <cell r="E2672">
            <v>55798</v>
          </cell>
          <cell r="F2672" t="b">
            <v>0</v>
          </cell>
          <cell r="G2672">
            <v>37886.619609950802</v>
          </cell>
          <cell r="H2672">
            <v>37886.619609950802</v>
          </cell>
          <cell r="I2672">
            <v>246</v>
          </cell>
          <cell r="J2672">
            <v>1.1153651767904701E-4</v>
          </cell>
          <cell r="K2672">
            <v>1383</v>
          </cell>
          <cell r="L2672">
            <v>632.83823928757897</v>
          </cell>
          <cell r="M2672">
            <v>1075</v>
          </cell>
          <cell r="N2672">
            <v>4.9086155005693403E-2</v>
          </cell>
          <cell r="O2672">
            <v>1186</v>
          </cell>
          <cell r="P2672">
            <v>6.76</v>
          </cell>
          <cell r="Q2672">
            <v>461</v>
          </cell>
        </row>
        <row r="2673">
          <cell r="B2673" t="str">
            <v>RACETRACK 1704CB</v>
          </cell>
          <cell r="C2673">
            <v>163761704</v>
          </cell>
          <cell r="D2673" t="str">
            <v>RACETRACK 1704</v>
          </cell>
          <cell r="E2673" t="str">
            <v>CB</v>
          </cell>
          <cell r="F2673" t="b">
            <v>0</v>
          </cell>
          <cell r="G2673">
            <v>36834.543611233297</v>
          </cell>
          <cell r="H2673">
            <v>36834.543611233297</v>
          </cell>
          <cell r="I2673">
            <v>193</v>
          </cell>
          <cell r="J2673">
            <v>1.13434369116779E-4</v>
          </cell>
          <cell r="K2673">
            <v>1334</v>
          </cell>
          <cell r="L2673">
            <v>2972.4937065484601</v>
          </cell>
          <cell r="M2673">
            <v>272</v>
          </cell>
          <cell r="N2673">
            <v>0.31093026731265699</v>
          </cell>
          <cell r="O2673">
            <v>126</v>
          </cell>
          <cell r="P2673">
            <v>10.25</v>
          </cell>
          <cell r="Q2673">
            <v>399</v>
          </cell>
        </row>
        <row r="2674">
          <cell r="B2674" t="str">
            <v>RADUM 1105806392</v>
          </cell>
          <cell r="C2674">
            <v>13151105</v>
          </cell>
          <cell r="D2674" t="str">
            <v>RADUM 1105</v>
          </cell>
          <cell r="E2674">
            <v>806392</v>
          </cell>
          <cell r="F2674" t="b">
            <v>0</v>
          </cell>
          <cell r="G2674">
            <v>8744.0051245773993</v>
          </cell>
          <cell r="H2674">
            <v>5446.9276849279804</v>
          </cell>
          <cell r="I2674">
            <v>79</v>
          </cell>
          <cell r="J2674">
            <v>6.3819825183413604E-5</v>
          </cell>
          <cell r="K2674">
            <v>2652</v>
          </cell>
          <cell r="L2674">
            <v>38.911902650751799</v>
          </cell>
          <cell r="M2674">
            <v>2286</v>
          </cell>
          <cell r="N2674">
            <v>3.3155050185171499E-3</v>
          </cell>
          <cell r="O2674">
            <v>2315</v>
          </cell>
          <cell r="Q2674">
            <v>2691</v>
          </cell>
        </row>
        <row r="2675">
          <cell r="B2675" t="str">
            <v>RALSTON 1101100040</v>
          </cell>
          <cell r="C2675">
            <v>24141101</v>
          </cell>
          <cell r="D2675" t="str">
            <v>RALSTON 1101</v>
          </cell>
          <cell r="E2675">
            <v>100040</v>
          </cell>
          <cell r="F2675" t="b">
            <v>0</v>
          </cell>
          <cell r="G2675">
            <v>1340.2292840501</v>
          </cell>
          <cell r="H2675">
            <v>1324.2273844948099</v>
          </cell>
          <cell r="I2675">
            <v>7</v>
          </cell>
          <cell r="J2675">
            <v>2.5541959725420101E-4</v>
          </cell>
          <cell r="K2675">
            <v>205</v>
          </cell>
          <cell r="L2675">
            <v>6.5697669982910101E-2</v>
          </cell>
          <cell r="M2675">
            <v>3313</v>
          </cell>
          <cell r="N2675">
            <v>1.6778673579210001E-5</v>
          </cell>
          <cell r="O2675">
            <v>2989</v>
          </cell>
          <cell r="Q2675">
            <v>3490</v>
          </cell>
        </row>
        <row r="2676">
          <cell r="B2676" t="str">
            <v>RALSTON 1101420730</v>
          </cell>
          <cell r="C2676">
            <v>24141101</v>
          </cell>
          <cell r="D2676" t="str">
            <v>RALSTON 1101</v>
          </cell>
          <cell r="E2676">
            <v>420730</v>
          </cell>
          <cell r="F2676" t="b">
            <v>0</v>
          </cell>
          <cell r="G2676">
            <v>2651.7059721809001</v>
          </cell>
          <cell r="H2676">
            <v>1292.63239153264</v>
          </cell>
          <cell r="I2676">
            <v>21</v>
          </cell>
          <cell r="J2676">
            <v>4.1694159573948799E-5</v>
          </cell>
          <cell r="K2676">
            <v>3230</v>
          </cell>
          <cell r="L2676">
            <v>6.5758856634298896E-2</v>
          </cell>
          <cell r="M2676">
            <v>3293</v>
          </cell>
          <cell r="N2676">
            <v>2.7512758740974399E-6</v>
          </cell>
          <cell r="O2676">
            <v>3436</v>
          </cell>
          <cell r="Q2676">
            <v>2760</v>
          </cell>
        </row>
        <row r="2677">
          <cell r="B2677" t="str">
            <v>RALSTON 110148936</v>
          </cell>
          <cell r="C2677">
            <v>24141101</v>
          </cell>
          <cell r="D2677" t="str">
            <v>RALSTON 1101</v>
          </cell>
          <cell r="E2677">
            <v>48936</v>
          </cell>
          <cell r="F2677" t="b">
            <v>0</v>
          </cell>
          <cell r="G2677">
            <v>9703.0007922683308</v>
          </cell>
          <cell r="H2677">
            <v>7437.2140326885901</v>
          </cell>
          <cell r="I2677">
            <v>86</v>
          </cell>
          <cell r="J2677">
            <v>3.4700574809881703E-5</v>
          </cell>
          <cell r="K2677">
            <v>3355</v>
          </cell>
          <cell r="L2677">
            <v>6.6043445710525894E-2</v>
          </cell>
          <cell r="M2677">
            <v>3210</v>
          </cell>
          <cell r="N2677">
            <v>2.2942917325811199E-6</v>
          </cell>
          <cell r="O2677">
            <v>3484</v>
          </cell>
          <cell r="P2677">
            <v>0.08</v>
          </cell>
          <cell r="Q2677">
            <v>1663</v>
          </cell>
        </row>
        <row r="2678">
          <cell r="B2678" t="str">
            <v>RALSTON 1101836528</v>
          </cell>
          <cell r="C2678">
            <v>24141101</v>
          </cell>
          <cell r="D2678" t="str">
            <v>RALSTON 1101</v>
          </cell>
          <cell r="E2678">
            <v>836528</v>
          </cell>
          <cell r="F2678" t="b">
            <v>0</v>
          </cell>
          <cell r="G2678">
            <v>4695.3621084666001</v>
          </cell>
          <cell r="H2678">
            <v>4679.5840179626302</v>
          </cell>
          <cell r="I2678">
            <v>39</v>
          </cell>
          <cell r="J2678">
            <v>3.02092940751791E-5</v>
          </cell>
          <cell r="K2678">
            <v>3424</v>
          </cell>
          <cell r="L2678">
            <v>39.663307966712097</v>
          </cell>
          <cell r="M2678">
            <v>2275</v>
          </cell>
          <cell r="N2678">
            <v>1.15516198654791E-3</v>
          </cell>
          <cell r="O2678">
            <v>2605</v>
          </cell>
          <cell r="Q2678">
            <v>2820</v>
          </cell>
        </row>
        <row r="2679">
          <cell r="B2679" t="str">
            <v>RALSTON 1101CB</v>
          </cell>
          <cell r="C2679">
            <v>24141101</v>
          </cell>
          <cell r="D2679" t="str">
            <v>RALSTON 1101</v>
          </cell>
          <cell r="E2679" t="str">
            <v>CB</v>
          </cell>
          <cell r="F2679" t="b">
            <v>1</v>
          </cell>
          <cell r="G2679">
            <v>4645.0370104450403</v>
          </cell>
          <cell r="H2679">
            <v>606.80440284081999</v>
          </cell>
          <cell r="I2679">
            <v>37</v>
          </cell>
          <cell r="J2679">
            <v>4.6425271547276503E-5</v>
          </cell>
          <cell r="K2679">
            <v>3127</v>
          </cell>
          <cell r="L2679">
            <v>105.64035080755799</v>
          </cell>
          <cell r="M2679">
            <v>1927</v>
          </cell>
          <cell r="N2679">
            <v>5.5946473973059697E-3</v>
          </cell>
          <cell r="O2679">
            <v>2176</v>
          </cell>
          <cell r="P2679">
            <v>0.05</v>
          </cell>
          <cell r="Q2679">
            <v>1970</v>
          </cell>
        </row>
        <row r="2680">
          <cell r="B2680" t="str">
            <v>RALSTON 11022028</v>
          </cell>
          <cell r="C2680">
            <v>24141102</v>
          </cell>
          <cell r="D2680" t="str">
            <v>RALSTON 1102</v>
          </cell>
          <cell r="E2680">
            <v>2028</v>
          </cell>
          <cell r="F2680" t="b">
            <v>0</v>
          </cell>
          <cell r="G2680">
            <v>3747.97407668612</v>
          </cell>
          <cell r="H2680">
            <v>3373.7724043550302</v>
          </cell>
          <cell r="I2680">
            <v>38</v>
          </cell>
          <cell r="J2680">
            <v>7.4489843367892203E-5</v>
          </cell>
          <cell r="K2680">
            <v>2345</v>
          </cell>
          <cell r="L2680">
            <v>86.264086073950693</v>
          </cell>
          <cell r="M2680">
            <v>2021</v>
          </cell>
          <cell r="N2680">
            <v>5.5851058258603202E-3</v>
          </cell>
          <cell r="O2680">
            <v>2177</v>
          </cell>
          <cell r="P2680">
            <v>0.08</v>
          </cell>
          <cell r="Q2680">
            <v>1658</v>
          </cell>
        </row>
        <row r="2681">
          <cell r="B2681" t="str">
            <v>RALSTON 11029126</v>
          </cell>
          <cell r="C2681">
            <v>24141102</v>
          </cell>
          <cell r="D2681" t="str">
            <v>RALSTON 1102</v>
          </cell>
          <cell r="E2681">
            <v>9126</v>
          </cell>
          <cell r="F2681" t="b">
            <v>0</v>
          </cell>
          <cell r="G2681">
            <v>3038.29024652096</v>
          </cell>
          <cell r="H2681">
            <v>1621.4045476993399</v>
          </cell>
          <cell r="I2681">
            <v>25</v>
          </cell>
          <cell r="J2681">
            <v>2.1702195143999101E-5</v>
          </cell>
          <cell r="K2681">
            <v>3526</v>
          </cell>
          <cell r="L2681">
            <v>6.5969338715076403E-2</v>
          </cell>
          <cell r="M2681">
            <v>3226</v>
          </cell>
          <cell r="N2681">
            <v>1.43291670592747E-6</v>
          </cell>
          <cell r="O2681">
            <v>3551</v>
          </cell>
          <cell r="P2681">
            <v>0.04</v>
          </cell>
          <cell r="Q2681">
            <v>2080</v>
          </cell>
        </row>
        <row r="2682">
          <cell r="B2682" t="str">
            <v>RALSTON 1102CB</v>
          </cell>
          <cell r="C2682">
            <v>24141102</v>
          </cell>
          <cell r="D2682" t="str">
            <v>RALSTON 1102</v>
          </cell>
          <cell r="E2682" t="str">
            <v>CB</v>
          </cell>
          <cell r="F2682" t="b">
            <v>0</v>
          </cell>
          <cell r="G2682">
            <v>6891.3641347274997</v>
          </cell>
          <cell r="H2682">
            <v>1520.12806965295</v>
          </cell>
          <cell r="I2682">
            <v>66</v>
          </cell>
          <cell r="J2682">
            <v>4.9607301572464302E-5</v>
          </cell>
          <cell r="K2682">
            <v>3044</v>
          </cell>
          <cell r="L2682">
            <v>6.5477954280195802E-2</v>
          </cell>
          <cell r="M2682">
            <v>3378</v>
          </cell>
          <cell r="N2682">
            <v>3.2501994987395702E-6</v>
          </cell>
          <cell r="O2682">
            <v>3386</v>
          </cell>
          <cell r="P2682">
            <v>0.05</v>
          </cell>
          <cell r="Q2682">
            <v>2029</v>
          </cell>
        </row>
        <row r="2683">
          <cell r="B2683" t="str">
            <v>RAWSON 1103428534</v>
          </cell>
          <cell r="C2683">
            <v>103531103</v>
          </cell>
          <cell r="D2683" t="str">
            <v>RAWSON 1103</v>
          </cell>
          <cell r="E2683">
            <v>428534</v>
          </cell>
          <cell r="F2683" t="b">
            <v>0</v>
          </cell>
          <cell r="G2683">
            <v>8740.09321080058</v>
          </cell>
          <cell r="H2683">
            <v>7301.7326108739398</v>
          </cell>
          <cell r="I2683">
            <v>18</v>
          </cell>
          <cell r="J2683">
            <v>6.0557219916922302E-5</v>
          </cell>
          <cell r="K2683">
            <v>2760</v>
          </cell>
          <cell r="L2683">
            <v>3052.7594957399601</v>
          </cell>
          <cell r="M2683">
            <v>263</v>
          </cell>
          <cell r="N2683">
            <v>0.15819067550407401</v>
          </cell>
          <cell r="O2683">
            <v>478</v>
          </cell>
          <cell r="Q2683">
            <v>2880</v>
          </cell>
        </row>
        <row r="2684">
          <cell r="B2684" t="str">
            <v>RED BLUFF 11011334</v>
          </cell>
          <cell r="C2684">
            <v>103541101</v>
          </cell>
          <cell r="D2684" t="str">
            <v>RED BLUFF 1101</v>
          </cell>
          <cell r="E2684">
            <v>1334</v>
          </cell>
          <cell r="F2684" t="b">
            <v>0</v>
          </cell>
          <cell r="G2684">
            <v>25612.991156906301</v>
          </cell>
          <cell r="H2684">
            <v>2886.1164532345601</v>
          </cell>
          <cell r="I2684">
            <v>155</v>
          </cell>
          <cell r="J2684">
            <v>6.0866647285556998E-5</v>
          </cell>
          <cell r="K2684">
            <v>2753</v>
          </cell>
          <cell r="L2684">
            <v>682.70983951346898</v>
          </cell>
          <cell r="M2684">
            <v>1035</v>
          </cell>
          <cell r="N2684">
            <v>3.3358893898967998E-2</v>
          </cell>
          <cell r="O2684">
            <v>1401</v>
          </cell>
          <cell r="P2684">
            <v>1.21</v>
          </cell>
          <cell r="Q2684">
            <v>700</v>
          </cell>
        </row>
        <row r="2685">
          <cell r="B2685" t="str">
            <v>RED BLUFF 11011556</v>
          </cell>
          <cell r="C2685">
            <v>103541101</v>
          </cell>
          <cell r="D2685" t="str">
            <v>RED BLUFF 1101</v>
          </cell>
          <cell r="E2685">
            <v>1556</v>
          </cell>
          <cell r="F2685" t="b">
            <v>0</v>
          </cell>
          <cell r="G2685">
            <v>64601.0138397868</v>
          </cell>
          <cell r="H2685">
            <v>61930.082371117802</v>
          </cell>
          <cell r="I2685">
            <v>411</v>
          </cell>
          <cell r="J2685">
            <v>5.28152539641213E-5</v>
          </cell>
          <cell r="K2685">
            <v>2977</v>
          </cell>
          <cell r="L2685">
            <v>3779.2145376697799</v>
          </cell>
          <cell r="M2685">
            <v>173</v>
          </cell>
          <cell r="N2685">
            <v>0.18357123427662</v>
          </cell>
          <cell r="O2685">
            <v>390</v>
          </cell>
          <cell r="P2685">
            <v>0.18</v>
          </cell>
          <cell r="Q2685">
            <v>1205</v>
          </cell>
        </row>
        <row r="2686">
          <cell r="B2686" t="str">
            <v>RED BLUFF 110176020</v>
          </cell>
          <cell r="C2686">
            <v>103541101</v>
          </cell>
          <cell r="D2686" t="str">
            <v>RED BLUFF 1101</v>
          </cell>
          <cell r="E2686">
            <v>76020</v>
          </cell>
          <cell r="F2686" t="b">
            <v>0</v>
          </cell>
          <cell r="G2686">
            <v>23407.8426447563</v>
          </cell>
          <cell r="H2686">
            <v>15031.7581219986</v>
          </cell>
          <cell r="I2686">
            <v>137</v>
          </cell>
          <cell r="J2686">
            <v>5.4998241763247203E-5</v>
          </cell>
          <cell r="K2686">
            <v>2910</v>
          </cell>
          <cell r="L2686">
            <v>2512.6526519619702</v>
          </cell>
          <cell r="M2686">
            <v>342</v>
          </cell>
          <cell r="N2686">
            <v>0.13317959409679</v>
          </cell>
          <cell r="O2686">
            <v>592</v>
          </cell>
          <cell r="P2686">
            <v>0.45</v>
          </cell>
          <cell r="Q2686">
            <v>918</v>
          </cell>
        </row>
        <row r="2687">
          <cell r="B2687" t="str">
            <v>RED BLUFF 11031702</v>
          </cell>
          <cell r="C2687">
            <v>103541103</v>
          </cell>
          <cell r="D2687" t="str">
            <v>RED BLUFF 1103</v>
          </cell>
          <cell r="E2687">
            <v>1702</v>
          </cell>
          <cell r="F2687" t="b">
            <v>0</v>
          </cell>
          <cell r="G2687">
            <v>29294.347957785201</v>
          </cell>
          <cell r="H2687">
            <v>26958.204369013602</v>
          </cell>
          <cell r="I2687">
            <v>177</v>
          </cell>
          <cell r="J2687">
            <v>4.2190974259311302E-5</v>
          </cell>
          <cell r="K2687">
            <v>3220</v>
          </cell>
          <cell r="L2687">
            <v>3360.2880047393901</v>
          </cell>
          <cell r="M2687">
            <v>216</v>
          </cell>
          <cell r="N2687">
            <v>0.12715736185045601</v>
          </cell>
          <cell r="O2687">
            <v>616</v>
          </cell>
          <cell r="P2687">
            <v>0.14000000000000001</v>
          </cell>
          <cell r="Q2687">
            <v>1332</v>
          </cell>
        </row>
        <row r="2688">
          <cell r="B2688" t="str">
            <v>RED BLUFF 1103CB</v>
          </cell>
          <cell r="C2688">
            <v>103541103</v>
          </cell>
          <cell r="D2688" t="str">
            <v>RED BLUFF 1103</v>
          </cell>
          <cell r="E2688" t="str">
            <v>CB</v>
          </cell>
          <cell r="F2688" t="b">
            <v>1</v>
          </cell>
          <cell r="G2688">
            <v>31613.070377395699</v>
          </cell>
          <cell r="H2688">
            <v>164.663585199377</v>
          </cell>
          <cell r="I2688">
            <v>261</v>
          </cell>
          <cell r="J2688">
            <v>5.23889004689408E-5</v>
          </cell>
          <cell r="K2688">
            <v>2982</v>
          </cell>
          <cell r="L2688">
            <v>125.983353581424</v>
          </cell>
          <cell r="M2688">
            <v>1855</v>
          </cell>
          <cell r="N2688">
            <v>7.31717026564516E-3</v>
          </cell>
          <cell r="O2688">
            <v>2079</v>
          </cell>
          <cell r="Q2688">
            <v>2718</v>
          </cell>
        </row>
        <row r="2689">
          <cell r="B2689" t="str">
            <v>RED BLUFF 11041302</v>
          </cell>
          <cell r="C2689">
            <v>103541104</v>
          </cell>
          <cell r="D2689" t="str">
            <v>RED BLUFF 1104</v>
          </cell>
          <cell r="E2689">
            <v>1302</v>
          </cell>
          <cell r="F2689" t="b">
            <v>0</v>
          </cell>
          <cell r="G2689">
            <v>23388.516884949699</v>
          </cell>
          <cell r="H2689">
            <v>22389.971076691902</v>
          </cell>
          <cell r="I2689">
            <v>113</v>
          </cell>
          <cell r="J2689">
            <v>5.0169483410508597E-5</v>
          </cell>
          <cell r="K2689">
            <v>3034</v>
          </cell>
          <cell r="L2689">
            <v>1215.85323189832</v>
          </cell>
          <cell r="M2689">
            <v>721</v>
          </cell>
          <cell r="N2689">
            <v>5.2452705653711497E-2</v>
          </cell>
          <cell r="O2689">
            <v>1151</v>
          </cell>
          <cell r="P2689">
            <v>0.06</v>
          </cell>
          <cell r="Q2689">
            <v>1889</v>
          </cell>
        </row>
        <row r="2690">
          <cell r="B2690" t="str">
            <v>RED BLUFF 1104135854</v>
          </cell>
          <cell r="C2690">
            <v>103541104</v>
          </cell>
          <cell r="D2690" t="str">
            <v>RED BLUFF 1104</v>
          </cell>
          <cell r="E2690">
            <v>135854</v>
          </cell>
          <cell r="F2690" t="b">
            <v>0</v>
          </cell>
          <cell r="G2690">
            <v>4250.0634286492404</v>
          </cell>
          <cell r="H2690">
            <v>2325.1243977168001</v>
          </cell>
          <cell r="I2690">
            <v>34</v>
          </cell>
          <cell r="J2690">
            <v>6.0566395886245799E-5</v>
          </cell>
          <cell r="K2690">
            <v>2759</v>
          </cell>
          <cell r="L2690">
            <v>1134.6908165524301</v>
          </cell>
          <cell r="M2690">
            <v>761</v>
          </cell>
          <cell r="N2690">
            <v>5.39738569146678E-2</v>
          </cell>
          <cell r="O2690">
            <v>1134</v>
          </cell>
          <cell r="Q2690">
            <v>3213</v>
          </cell>
        </row>
        <row r="2691">
          <cell r="B2691" t="str">
            <v>RED BLUFF 11041566</v>
          </cell>
          <cell r="C2691">
            <v>103541104</v>
          </cell>
          <cell r="D2691" t="str">
            <v>RED BLUFF 1104</v>
          </cell>
          <cell r="E2691">
            <v>1566</v>
          </cell>
          <cell r="F2691" t="b">
            <v>0</v>
          </cell>
          <cell r="G2691">
            <v>24740.573628939401</v>
          </cell>
          <cell r="H2691">
            <v>19451.094637857699</v>
          </cell>
          <cell r="I2691">
            <v>94</v>
          </cell>
          <cell r="J2691">
            <v>8.0219611046121903E-5</v>
          </cell>
          <cell r="K2691">
            <v>2199</v>
          </cell>
          <cell r="L2691">
            <v>4262.1108707385001</v>
          </cell>
          <cell r="M2691">
            <v>129</v>
          </cell>
          <cell r="N2691">
            <v>0.32249925608629498</v>
          </cell>
          <cell r="O2691">
            <v>113</v>
          </cell>
          <cell r="P2691">
            <v>0.05</v>
          </cell>
          <cell r="Q2691">
            <v>2042</v>
          </cell>
        </row>
        <row r="2692">
          <cell r="B2692" t="str">
            <v>RED BLUFF 11041630</v>
          </cell>
          <cell r="C2692">
            <v>103541104</v>
          </cell>
          <cell r="D2692" t="str">
            <v>RED BLUFF 1104</v>
          </cell>
          <cell r="E2692">
            <v>1630</v>
          </cell>
          <cell r="F2692" t="b">
            <v>0</v>
          </cell>
          <cell r="G2692">
            <v>22751.249202577001</v>
          </cell>
          <cell r="H2692">
            <v>4020.9241879813499</v>
          </cell>
          <cell r="I2692">
            <v>152</v>
          </cell>
          <cell r="J2692">
            <v>5.7082503321668598E-5</v>
          </cell>
          <cell r="K2692">
            <v>2858</v>
          </cell>
          <cell r="L2692">
            <v>3897.0640443388602</v>
          </cell>
          <cell r="M2692">
            <v>159</v>
          </cell>
          <cell r="N2692">
            <v>0.225620922676114</v>
          </cell>
          <cell r="O2692">
            <v>273</v>
          </cell>
          <cell r="P2692">
            <v>0.02</v>
          </cell>
          <cell r="Q2692">
            <v>2518</v>
          </cell>
        </row>
        <row r="2693">
          <cell r="B2693" t="str">
            <v>RED BLUFF 110451238</v>
          </cell>
          <cell r="C2693">
            <v>103541104</v>
          </cell>
          <cell r="D2693" t="str">
            <v>RED BLUFF 1104</v>
          </cell>
          <cell r="E2693">
            <v>51238</v>
          </cell>
          <cell r="F2693" t="b">
            <v>0</v>
          </cell>
          <cell r="G2693">
            <v>63137.738754720798</v>
          </cell>
          <cell r="H2693">
            <v>63137.738754720798</v>
          </cell>
          <cell r="I2693">
            <v>335</v>
          </cell>
          <cell r="J2693">
            <v>5.1642279536131199E-5</v>
          </cell>
          <cell r="K2693">
            <v>3004</v>
          </cell>
          <cell r="L2693">
            <v>2984.3430768631601</v>
          </cell>
          <cell r="M2693">
            <v>269</v>
          </cell>
          <cell r="N2693">
            <v>0.15925653991149499</v>
          </cell>
          <cell r="O2693">
            <v>476</v>
          </cell>
          <cell r="P2693">
            <v>2.31</v>
          </cell>
          <cell r="Q2693">
            <v>614</v>
          </cell>
        </row>
        <row r="2694">
          <cell r="B2694" t="str">
            <v>RED BLUFF 1105146070</v>
          </cell>
          <cell r="C2694">
            <v>103541105</v>
          </cell>
          <cell r="D2694" t="str">
            <v>RED BLUFF 1105</v>
          </cell>
          <cell r="E2694">
            <v>146070</v>
          </cell>
          <cell r="F2694" t="b">
            <v>0</v>
          </cell>
          <cell r="G2694">
            <v>22680.392106830499</v>
          </cell>
          <cell r="H2694">
            <v>20479.5895784885</v>
          </cell>
          <cell r="I2694">
            <v>167</v>
          </cell>
          <cell r="J2694">
            <v>6.69170389827116E-5</v>
          </cell>
          <cell r="K2694">
            <v>2560</v>
          </cell>
          <cell r="L2694">
            <v>1071.96965331254</v>
          </cell>
          <cell r="M2694">
            <v>786</v>
          </cell>
          <cell r="N2694">
            <v>6.7012250625730005E-2</v>
          </cell>
          <cell r="O2694">
            <v>1002</v>
          </cell>
          <cell r="Q2694">
            <v>2871</v>
          </cell>
        </row>
        <row r="2695">
          <cell r="B2695" t="str">
            <v>RED BLUFF 11051564</v>
          </cell>
          <cell r="C2695">
            <v>103541105</v>
          </cell>
          <cell r="D2695" t="str">
            <v>RED BLUFF 1105</v>
          </cell>
          <cell r="E2695">
            <v>1564</v>
          </cell>
          <cell r="F2695" t="b">
            <v>0</v>
          </cell>
          <cell r="G2695">
            <v>17092.583180027701</v>
          </cell>
          <cell r="H2695">
            <v>1891.6003111222001</v>
          </cell>
          <cell r="I2695">
            <v>133</v>
          </cell>
          <cell r="J2695">
            <v>7.3289763184386004E-5</v>
          </cell>
          <cell r="K2695">
            <v>2387</v>
          </cell>
          <cell r="L2695">
            <v>869.30016236242295</v>
          </cell>
          <cell r="M2695">
            <v>900</v>
          </cell>
          <cell r="N2695">
            <v>5.3412112249803897E-2</v>
          </cell>
          <cell r="O2695">
            <v>1140</v>
          </cell>
          <cell r="P2695">
            <v>0.62</v>
          </cell>
          <cell r="Q2695">
            <v>839</v>
          </cell>
        </row>
        <row r="2696">
          <cell r="B2696" t="str">
            <v>RED BLUFF 1105161818</v>
          </cell>
          <cell r="C2696">
            <v>103541105</v>
          </cell>
          <cell r="D2696" t="str">
            <v>RED BLUFF 1105</v>
          </cell>
          <cell r="E2696">
            <v>161818</v>
          </cell>
          <cell r="F2696" t="b">
            <v>1</v>
          </cell>
          <cell r="G2696">
            <v>7658.7383744839399</v>
          </cell>
          <cell r="H2696">
            <v>212.36375046901799</v>
          </cell>
          <cell r="I2696">
            <v>59</v>
          </cell>
          <cell r="J2696">
            <v>5.70726832959559E-5</v>
          </cell>
          <cell r="K2696">
            <v>2859</v>
          </cell>
          <cell r="L2696">
            <v>1511.2201211059701</v>
          </cell>
          <cell r="M2696">
            <v>590</v>
          </cell>
          <cell r="N2696">
            <v>8.5880138737636599E-2</v>
          </cell>
          <cell r="O2696">
            <v>852</v>
          </cell>
          <cell r="P2696">
            <v>0.02</v>
          </cell>
          <cell r="Q2696">
            <v>2419</v>
          </cell>
        </row>
        <row r="2697">
          <cell r="B2697" t="str">
            <v>REDBUD 1101323962</v>
          </cell>
          <cell r="C2697">
            <v>43191101</v>
          </cell>
          <cell r="D2697" t="str">
            <v>REDBUD 1101</v>
          </cell>
          <cell r="E2697">
            <v>323962</v>
          </cell>
          <cell r="F2697" t="b">
            <v>0</v>
          </cell>
          <cell r="G2697">
            <v>46007.991250915598</v>
          </cell>
          <cell r="H2697">
            <v>33116.542531508698</v>
          </cell>
          <cell r="I2697">
            <v>282</v>
          </cell>
          <cell r="J2697">
            <v>7.3878957994556296E-5</v>
          </cell>
          <cell r="K2697">
            <v>2363</v>
          </cell>
          <cell r="L2697">
            <v>2674.5474972081802</v>
          </cell>
          <cell r="M2697">
            <v>317</v>
          </cell>
          <cell r="N2697">
            <v>0.17388536896568699</v>
          </cell>
          <cell r="O2697">
            <v>423</v>
          </cell>
          <cell r="P2697">
            <v>22.52</v>
          </cell>
          <cell r="Q2697">
            <v>293</v>
          </cell>
        </row>
        <row r="2698">
          <cell r="B2698" t="str">
            <v>REDBUD 1101400</v>
          </cell>
          <cell r="C2698">
            <v>43191101</v>
          </cell>
          <cell r="D2698" t="str">
            <v>REDBUD 1101</v>
          </cell>
          <cell r="E2698">
            <v>400</v>
          </cell>
          <cell r="F2698" t="b">
            <v>0</v>
          </cell>
          <cell r="G2698">
            <v>1650.1100112543099</v>
          </cell>
          <cell r="H2698">
            <v>1410.48890573576</v>
          </cell>
          <cell r="I2698">
            <v>14</v>
          </cell>
          <cell r="J2698">
            <v>7.9737647605985005E-5</v>
          </cell>
          <cell r="K2698">
            <v>2214</v>
          </cell>
          <cell r="L2698">
            <v>97.446914702945307</v>
          </cell>
          <cell r="M2698">
            <v>1971</v>
          </cell>
          <cell r="N2698">
            <v>1.0194680363932E-2</v>
          </cell>
          <cell r="O2698">
            <v>1952</v>
          </cell>
          <cell r="P2698">
            <v>0.05</v>
          </cell>
          <cell r="Q2698">
            <v>2066</v>
          </cell>
        </row>
        <row r="2699">
          <cell r="B2699" t="str">
            <v>REDBUD 1101454</v>
          </cell>
          <cell r="C2699">
            <v>43191101</v>
          </cell>
          <cell r="D2699" t="str">
            <v>REDBUD 1101</v>
          </cell>
          <cell r="E2699">
            <v>454</v>
          </cell>
          <cell r="F2699" t="b">
            <v>0</v>
          </cell>
          <cell r="G2699">
            <v>8909.2194862055203</v>
          </cell>
          <cell r="H2699">
            <v>8909.2194862055203</v>
          </cell>
          <cell r="I2699">
            <v>54</v>
          </cell>
          <cell r="J2699">
            <v>6.6514106475989504E-5</v>
          </cell>
          <cell r="K2699">
            <v>2574</v>
          </cell>
          <cell r="L2699">
            <v>3069.2552992303299</v>
          </cell>
          <cell r="M2699">
            <v>261</v>
          </cell>
          <cell r="N2699">
            <v>0.207377062195814</v>
          </cell>
          <cell r="O2699">
            <v>312</v>
          </cell>
          <cell r="P2699">
            <v>0.38</v>
          </cell>
          <cell r="Q2699">
            <v>962</v>
          </cell>
        </row>
        <row r="2700">
          <cell r="B2700" t="str">
            <v>REDBUD 1101708166</v>
          </cell>
          <cell r="C2700">
            <v>43191101</v>
          </cell>
          <cell r="D2700" t="str">
            <v>REDBUD 1101</v>
          </cell>
          <cell r="E2700">
            <v>708166</v>
          </cell>
          <cell r="F2700" t="b">
            <v>0</v>
          </cell>
          <cell r="G2700">
            <v>33499.355503257</v>
          </cell>
          <cell r="H2700">
            <v>18511.185385978701</v>
          </cell>
          <cell r="I2700">
            <v>162</v>
          </cell>
          <cell r="J2700">
            <v>7.9859871661280206E-5</v>
          </cell>
          <cell r="K2700">
            <v>2209</v>
          </cell>
          <cell r="L2700">
            <v>2528.2806888820501</v>
          </cell>
          <cell r="M2700">
            <v>340</v>
          </cell>
          <cell r="N2700">
            <v>0.195391771915293</v>
          </cell>
          <cell r="O2700">
            <v>345</v>
          </cell>
          <cell r="P2700">
            <v>9.6199999999999992</v>
          </cell>
          <cell r="Q2700">
            <v>407</v>
          </cell>
        </row>
        <row r="2701">
          <cell r="B2701" t="str">
            <v>REDBUD 110191960</v>
          </cell>
          <cell r="C2701">
            <v>43191101</v>
          </cell>
          <cell r="D2701" t="str">
            <v>REDBUD 1101</v>
          </cell>
          <cell r="E2701">
            <v>91960</v>
          </cell>
          <cell r="F2701" t="b">
            <v>0</v>
          </cell>
          <cell r="G2701">
            <v>11326.1042061147</v>
          </cell>
          <cell r="H2701">
            <v>10487.688342673</v>
          </cell>
          <cell r="I2701">
            <v>90</v>
          </cell>
          <cell r="J2701">
            <v>7.98298437277683E-5</v>
          </cell>
          <cell r="K2701">
            <v>2210</v>
          </cell>
          <cell r="L2701">
            <v>850.93594873506697</v>
          </cell>
          <cell r="M2701">
            <v>913</v>
          </cell>
          <cell r="N2701">
            <v>3.84878924248813E-2</v>
          </cell>
          <cell r="O2701">
            <v>1325</v>
          </cell>
          <cell r="P2701">
            <v>0.06</v>
          </cell>
          <cell r="Q2701">
            <v>1880</v>
          </cell>
        </row>
        <row r="2702">
          <cell r="B2702" t="str">
            <v>REDBUD 1101CB</v>
          </cell>
          <cell r="C2702">
            <v>43191101</v>
          </cell>
          <cell r="D2702" t="str">
            <v>REDBUD 1101</v>
          </cell>
          <cell r="E2702" t="str">
            <v>CB</v>
          </cell>
          <cell r="F2702" t="b">
            <v>0</v>
          </cell>
          <cell r="G2702">
            <v>11764.5734780239</v>
          </cell>
          <cell r="H2702">
            <v>5407.52854090857</v>
          </cell>
          <cell r="I2702">
            <v>91</v>
          </cell>
          <cell r="J2702">
            <v>5.0448208694833301E-5</v>
          </cell>
          <cell r="K2702">
            <v>3027</v>
          </cell>
          <cell r="L2702">
            <v>32.709086903375102</v>
          </cell>
          <cell r="M2702">
            <v>2324</v>
          </cell>
          <cell r="N2702">
            <v>3.05231358596452E-3</v>
          </cell>
          <cell r="O2702">
            <v>2343</v>
          </cell>
          <cell r="P2702">
            <v>0.09</v>
          </cell>
          <cell r="Q2702">
            <v>1557</v>
          </cell>
        </row>
        <row r="2703">
          <cell r="B2703" t="str">
            <v>REDBUD 11021212</v>
          </cell>
          <cell r="C2703">
            <v>43191102</v>
          </cell>
          <cell r="D2703" t="str">
            <v>REDBUD 1102</v>
          </cell>
          <cell r="E2703">
            <v>1212</v>
          </cell>
          <cell r="F2703" t="b">
            <v>1</v>
          </cell>
          <cell r="G2703">
            <v>6586.9974604082099</v>
          </cell>
          <cell r="H2703">
            <v>0</v>
          </cell>
          <cell r="I2703">
            <v>62</v>
          </cell>
          <cell r="J2703">
            <v>4.4639844300916301E-5</v>
          </cell>
          <cell r="K2703">
            <v>3173</v>
          </cell>
          <cell r="L2703">
            <v>87.4084321223568</v>
          </cell>
          <cell r="M2703">
            <v>2014</v>
          </cell>
          <cell r="N2703">
            <v>4.4983926802612904E-3</v>
          </cell>
          <cell r="O2703">
            <v>2231</v>
          </cell>
          <cell r="P2703">
            <v>0.42</v>
          </cell>
          <cell r="Q2703">
            <v>928</v>
          </cell>
        </row>
        <row r="2704">
          <cell r="B2704" t="str">
            <v>REDBUD 11022013</v>
          </cell>
          <cell r="C2704">
            <v>43191102</v>
          </cell>
          <cell r="D2704" t="str">
            <v>REDBUD 1102</v>
          </cell>
          <cell r="E2704">
            <v>2013</v>
          </cell>
          <cell r="F2704" t="b">
            <v>1</v>
          </cell>
          <cell r="G2704">
            <v>7412.4545217635696</v>
          </cell>
          <cell r="H2704">
            <v>238.96785032390301</v>
          </cell>
          <cell r="I2704">
            <v>51</v>
          </cell>
          <cell r="J2704">
            <v>5.2168797921302598E-5</v>
          </cell>
          <cell r="K2704">
            <v>2988</v>
          </cell>
          <cell r="L2704">
            <v>888.47608070029901</v>
          </cell>
          <cell r="M2704">
            <v>888</v>
          </cell>
          <cell r="N2704">
            <v>6.0480067506244503E-2</v>
          </cell>
          <cell r="O2704">
            <v>1060</v>
          </cell>
          <cell r="P2704">
            <v>0.44</v>
          </cell>
          <cell r="Q2704">
            <v>923</v>
          </cell>
        </row>
        <row r="2705">
          <cell r="B2705" t="str">
            <v>REDBUD 1102432</v>
          </cell>
          <cell r="C2705">
            <v>43191102</v>
          </cell>
          <cell r="D2705" t="str">
            <v>REDBUD 1102</v>
          </cell>
          <cell r="E2705">
            <v>432</v>
          </cell>
          <cell r="F2705" t="b">
            <v>0</v>
          </cell>
          <cell r="G2705">
            <v>18069.968605488</v>
          </cell>
          <cell r="H2705">
            <v>1802.36388294617</v>
          </cell>
          <cell r="I2705">
            <v>130</v>
          </cell>
          <cell r="J2705">
            <v>5.4493038421172102E-5</v>
          </cell>
          <cell r="K2705">
            <v>2933</v>
          </cell>
          <cell r="L2705">
            <v>13.592779180815601</v>
          </cell>
          <cell r="M2705">
            <v>2560</v>
          </cell>
          <cell r="N2705">
            <v>8.0535648659067999E-4</v>
          </cell>
          <cell r="O2705">
            <v>2671</v>
          </cell>
          <cell r="P2705">
            <v>0.03</v>
          </cell>
          <cell r="Q2705">
            <v>2402</v>
          </cell>
        </row>
        <row r="2706">
          <cell r="B2706" t="str">
            <v>REDBUD 110244119</v>
          </cell>
          <cell r="C2706">
            <v>43191102</v>
          </cell>
          <cell r="D2706" t="str">
            <v>REDBUD 1102</v>
          </cell>
          <cell r="E2706">
            <v>44119</v>
          </cell>
          <cell r="F2706" t="b">
            <v>1</v>
          </cell>
          <cell r="G2706">
            <v>4510.2451212913702</v>
          </cell>
          <cell r="H2706">
            <v>512.721364663636</v>
          </cell>
          <cell r="I2706">
            <v>35</v>
          </cell>
          <cell r="J2706">
            <v>5.29787271391666E-5</v>
          </cell>
          <cell r="K2706">
            <v>2968</v>
          </cell>
          <cell r="L2706">
            <v>87.433159676195004</v>
          </cell>
          <cell r="M2706">
            <v>2013</v>
          </cell>
          <cell r="N2706">
            <v>4.7622610337956402E-3</v>
          </cell>
          <cell r="O2706">
            <v>2215</v>
          </cell>
          <cell r="P2706">
            <v>0.04</v>
          </cell>
          <cell r="Q2706">
            <v>2190</v>
          </cell>
        </row>
        <row r="2707">
          <cell r="B2707" t="str">
            <v>REDBUD 1102510</v>
          </cell>
          <cell r="C2707">
            <v>43191102</v>
          </cell>
          <cell r="D2707" t="str">
            <v>REDBUD 1102</v>
          </cell>
          <cell r="E2707">
            <v>510</v>
          </cell>
          <cell r="F2707" t="b">
            <v>0</v>
          </cell>
          <cell r="G2707">
            <v>13083.2787915771</v>
          </cell>
          <cell r="H2707">
            <v>6767.6988572622704</v>
          </cell>
          <cell r="I2707">
            <v>101</v>
          </cell>
          <cell r="J2707">
            <v>7.5460551229435997E-5</v>
          </cell>
          <cell r="K2707">
            <v>2323</v>
          </cell>
          <cell r="L2707">
            <v>619.50244796069296</v>
          </cell>
          <cell r="M2707">
            <v>1082</v>
          </cell>
          <cell r="N2707">
            <v>3.49498697864742E-2</v>
          </cell>
          <cell r="O2707">
            <v>1375</v>
          </cell>
          <cell r="P2707">
            <v>0.06</v>
          </cell>
          <cell r="Q2707">
            <v>1875</v>
          </cell>
        </row>
        <row r="2708">
          <cell r="B2708" t="str">
            <v>REDBUD 1102922</v>
          </cell>
          <cell r="C2708">
            <v>43191102</v>
          </cell>
          <cell r="D2708" t="str">
            <v>REDBUD 1102</v>
          </cell>
          <cell r="E2708">
            <v>922</v>
          </cell>
          <cell r="F2708" t="b">
            <v>0</v>
          </cell>
          <cell r="G2708">
            <v>12634.840691877</v>
          </cell>
          <cell r="H2708">
            <v>12589.4257558847</v>
          </cell>
          <cell r="I2708">
            <v>84</v>
          </cell>
          <cell r="J2708">
            <v>5.9230910735025698E-5</v>
          </cell>
          <cell r="K2708">
            <v>2798</v>
          </cell>
          <cell r="L2708">
            <v>352.28836730413701</v>
          </cell>
          <cell r="M2708">
            <v>1369</v>
          </cell>
          <cell r="N2708">
            <v>2.5186982717291102E-2</v>
          </cell>
          <cell r="O2708">
            <v>1554</v>
          </cell>
          <cell r="P2708">
            <v>0.06</v>
          </cell>
          <cell r="Q2708">
            <v>1854</v>
          </cell>
        </row>
        <row r="2709">
          <cell r="B2709" t="str">
            <v>REDBUD 1102CB</v>
          </cell>
          <cell r="C2709">
            <v>43191102</v>
          </cell>
          <cell r="D2709" t="str">
            <v>REDBUD 1102</v>
          </cell>
          <cell r="E2709" t="str">
            <v>CB</v>
          </cell>
          <cell r="F2709" t="b">
            <v>0</v>
          </cell>
          <cell r="G2709">
            <v>32077.070141063599</v>
          </cell>
          <cell r="H2709">
            <v>28146.425619195499</v>
          </cell>
          <cell r="I2709">
            <v>170</v>
          </cell>
          <cell r="J2709">
            <v>9.0631169801521795E-5</v>
          </cell>
          <cell r="K2709">
            <v>1893</v>
          </cell>
          <cell r="L2709">
            <v>2204.8047599878</v>
          </cell>
          <cell r="M2709">
            <v>402</v>
          </cell>
          <cell r="N2709">
            <v>0.18972820593255599</v>
          </cell>
          <cell r="O2709">
            <v>371</v>
          </cell>
          <cell r="P2709">
            <v>5.76</v>
          </cell>
          <cell r="Q2709">
            <v>479</v>
          </cell>
        </row>
        <row r="2710">
          <cell r="B2710" t="str">
            <v>REEDLEY 1104887932</v>
          </cell>
          <cell r="C2710">
            <v>252341104</v>
          </cell>
          <cell r="D2710" t="str">
            <v>REEDLEY 1104</v>
          </cell>
          <cell r="E2710">
            <v>887932</v>
          </cell>
          <cell r="F2710" t="b">
            <v>0</v>
          </cell>
          <cell r="G2710">
            <v>7830.5819764661901</v>
          </cell>
          <cell r="H2710">
            <v>2732.0867832816898</v>
          </cell>
          <cell r="I2710">
            <v>34</v>
          </cell>
          <cell r="J2710">
            <v>3.80494788342647E-5</v>
          </cell>
          <cell r="K2710">
            <v>3299</v>
          </cell>
          <cell r="L2710">
            <v>1172.27740383476</v>
          </cell>
          <cell r="M2710">
            <v>745</v>
          </cell>
          <cell r="N2710">
            <v>3.1896163499655301E-2</v>
          </cell>
          <cell r="O2710">
            <v>1431</v>
          </cell>
          <cell r="Q2710">
            <v>2945</v>
          </cell>
        </row>
        <row r="2711">
          <cell r="B2711" t="str">
            <v>REEDLEY 1112477952</v>
          </cell>
          <cell r="C2711">
            <v>252341112</v>
          </cell>
          <cell r="D2711" t="str">
            <v>REEDLEY 1112</v>
          </cell>
          <cell r="E2711">
            <v>477952</v>
          </cell>
          <cell r="F2711" t="b">
            <v>1</v>
          </cell>
          <cell r="G2711">
            <v>2593.1423127703601</v>
          </cell>
          <cell r="H2711">
            <v>282.84654111422498</v>
          </cell>
          <cell r="I2711">
            <v>14</v>
          </cell>
          <cell r="J2711">
            <v>3.3616093917641701E-5</v>
          </cell>
          <cell r="K2711">
            <v>3374</v>
          </cell>
          <cell r="L2711">
            <v>2064.1112620388799</v>
          </cell>
          <cell r="M2711">
            <v>439</v>
          </cell>
          <cell r="N2711">
            <v>3.3843393081610197E-2</v>
          </cell>
          <cell r="O2711">
            <v>1389</v>
          </cell>
          <cell r="Q2711">
            <v>3390</v>
          </cell>
        </row>
        <row r="2712">
          <cell r="B2712" t="str">
            <v>REEDLEY 11127240</v>
          </cell>
          <cell r="C2712">
            <v>252341112</v>
          </cell>
          <cell r="D2712" t="str">
            <v>REEDLEY 1112</v>
          </cell>
          <cell r="E2712">
            <v>7240</v>
          </cell>
          <cell r="F2712" t="b">
            <v>0</v>
          </cell>
          <cell r="G2712">
            <v>41066.749103139802</v>
          </cell>
          <cell r="H2712">
            <v>1553.9231130328201</v>
          </cell>
          <cell r="I2712">
            <v>234</v>
          </cell>
          <cell r="J2712">
            <v>4.3626405515389103E-5</v>
          </cell>
          <cell r="K2712">
            <v>3198</v>
          </cell>
          <cell r="L2712">
            <v>175.63702334138799</v>
          </cell>
          <cell r="M2712">
            <v>1696</v>
          </cell>
          <cell r="N2712">
            <v>6.7641694446041603E-3</v>
          </cell>
          <cell r="O2712">
            <v>2104</v>
          </cell>
          <cell r="P2712">
            <v>0.02</v>
          </cell>
          <cell r="Q2712">
            <v>2533</v>
          </cell>
        </row>
        <row r="2713">
          <cell r="B2713" t="str">
            <v>RESEARCH 2102183888</v>
          </cell>
          <cell r="C2713">
            <v>14692102</v>
          </cell>
          <cell r="D2713" t="str">
            <v>RESEARCH 2102</v>
          </cell>
          <cell r="E2713">
            <v>183888</v>
          </cell>
          <cell r="F2713" t="b">
            <v>0</v>
          </cell>
          <cell r="G2713">
            <v>4871.8576879807797</v>
          </cell>
          <cell r="H2713">
            <v>1898.9744942017301</v>
          </cell>
          <cell r="I2713">
            <v>43</v>
          </cell>
          <cell r="J2713">
            <v>1.10469992948712E-4</v>
          </cell>
          <cell r="K2713">
            <v>1402</v>
          </cell>
          <cell r="L2713">
            <v>6.5447386778835395E-2</v>
          </cell>
          <cell r="M2713">
            <v>3396</v>
          </cell>
          <cell r="N2713">
            <v>7.23436602552418E-6</v>
          </cell>
          <cell r="O2713">
            <v>3154</v>
          </cell>
          <cell r="Q2713">
            <v>2846</v>
          </cell>
        </row>
        <row r="2714">
          <cell r="B2714" t="str">
            <v>RESEARCH 2102446423</v>
          </cell>
          <cell r="C2714">
            <v>14692102</v>
          </cell>
          <cell r="D2714" t="str">
            <v>RESEARCH 2102</v>
          </cell>
          <cell r="E2714">
            <v>446423</v>
          </cell>
          <cell r="F2714" t="b">
            <v>0</v>
          </cell>
          <cell r="G2714">
            <v>2345.77491893352</v>
          </cell>
          <cell r="H2714">
            <v>1135.4020205126001</v>
          </cell>
          <cell r="I2714">
            <v>23</v>
          </cell>
          <cell r="J2714">
            <v>1.23264423050188E-4</v>
          </cell>
          <cell r="K2714">
            <v>1131</v>
          </cell>
          <cell r="L2714">
            <v>2.1309582869886201</v>
          </cell>
          <cell r="M2714">
            <v>2836</v>
          </cell>
          <cell r="N2714">
            <v>2.6533674180544701E-4</v>
          </cell>
          <cell r="O2714">
            <v>2809</v>
          </cell>
          <cell r="Q2714">
            <v>2912</v>
          </cell>
        </row>
        <row r="2715">
          <cell r="B2715" t="str">
            <v>RESEARCH 210263274</v>
          </cell>
          <cell r="C2715">
            <v>14692102</v>
          </cell>
          <cell r="D2715" t="str">
            <v>RESEARCH 2102</v>
          </cell>
          <cell r="E2715">
            <v>63274</v>
          </cell>
          <cell r="F2715" t="b">
            <v>1</v>
          </cell>
          <cell r="G2715">
            <v>13077.116063777599</v>
          </cell>
          <cell r="H2715">
            <v>74.365236895784804</v>
          </cell>
          <cell r="I2715">
            <v>119</v>
          </cell>
          <cell r="J2715">
            <v>8.9998351212357606E-5</v>
          </cell>
          <cell r="K2715">
            <v>1914</v>
          </cell>
          <cell r="L2715">
            <v>6.5159960153335597E-2</v>
          </cell>
          <cell r="M2715">
            <v>3555</v>
          </cell>
          <cell r="N2715">
            <v>5.8646270728338096E-6</v>
          </cell>
          <cell r="O2715">
            <v>3218</v>
          </cell>
          <cell r="P2715">
            <v>1.68</v>
          </cell>
          <cell r="Q2715">
            <v>654</v>
          </cell>
        </row>
        <row r="2716">
          <cell r="B2716" t="str">
            <v>RESEARCH 2102644462</v>
          </cell>
          <cell r="C2716">
            <v>14692102</v>
          </cell>
          <cell r="D2716" t="str">
            <v>RESEARCH 2102</v>
          </cell>
          <cell r="E2716">
            <v>644462</v>
          </cell>
          <cell r="F2716" t="b">
            <v>1</v>
          </cell>
          <cell r="G2716">
            <v>2486.8084764159698</v>
          </cell>
          <cell r="H2716">
            <v>567.616138830208</v>
          </cell>
          <cell r="I2716">
            <v>24</v>
          </cell>
          <cell r="J2716">
            <v>1.00976642897876E-4</v>
          </cell>
          <cell r="K2716">
            <v>1625</v>
          </cell>
          <cell r="L2716">
            <v>12.9287440575708</v>
          </cell>
          <cell r="M2716">
            <v>2571</v>
          </cell>
          <cell r="N2716">
            <v>1.0124339901485401E-3</v>
          </cell>
          <cell r="O2716">
            <v>2626</v>
          </cell>
          <cell r="Q2716">
            <v>3468</v>
          </cell>
        </row>
        <row r="2717">
          <cell r="B2717" t="str">
            <v>RESERVATION ROAD 11013026</v>
          </cell>
          <cell r="C2717">
            <v>182731101</v>
          </cell>
          <cell r="D2717" t="str">
            <v>RESERVATION ROAD 1101</v>
          </cell>
          <cell r="E2717">
            <v>3026</v>
          </cell>
          <cell r="F2717" t="b">
            <v>0</v>
          </cell>
          <cell r="G2717">
            <v>36330.525120385202</v>
          </cell>
          <cell r="H2717">
            <v>35201.258240828902</v>
          </cell>
          <cell r="I2717">
            <v>238</v>
          </cell>
          <cell r="J2717">
            <v>5.5885690999122597E-5</v>
          </cell>
          <cell r="K2717">
            <v>2892</v>
          </cell>
          <cell r="L2717">
            <v>99.001990599524106</v>
          </cell>
          <cell r="M2717">
            <v>1958</v>
          </cell>
          <cell r="N2717">
            <v>5.7671433403145298E-3</v>
          </cell>
          <cell r="O2717">
            <v>2164</v>
          </cell>
          <cell r="P2717">
            <v>2.36</v>
          </cell>
          <cell r="Q2717">
            <v>610</v>
          </cell>
        </row>
        <row r="2718">
          <cell r="B2718" t="str">
            <v>RESERVATION ROAD 1101CB</v>
          </cell>
          <cell r="C2718">
            <v>182731101</v>
          </cell>
          <cell r="D2718" t="str">
            <v>RESERVATION ROAD 1101</v>
          </cell>
          <cell r="E2718" t="str">
            <v>CB</v>
          </cell>
          <cell r="F2718" t="b">
            <v>0</v>
          </cell>
          <cell r="G2718">
            <v>15128.6126997752</v>
          </cell>
          <cell r="H2718">
            <v>8212.8879652553096</v>
          </cell>
          <cell r="I2718">
            <v>106</v>
          </cell>
          <cell r="J2718">
            <v>2.99578404378563E-5</v>
          </cell>
          <cell r="K2718">
            <v>3427</v>
          </cell>
          <cell r="L2718">
            <v>117.125428561972</v>
          </cell>
          <cell r="M2718">
            <v>1887</v>
          </cell>
          <cell r="N2718">
            <v>3.1059365358166099E-3</v>
          </cell>
          <cell r="O2718">
            <v>2338</v>
          </cell>
          <cell r="P2718">
            <v>0.03</v>
          </cell>
          <cell r="Q2718">
            <v>2246</v>
          </cell>
        </row>
        <row r="2719">
          <cell r="B2719" t="str">
            <v>RESERVATION ROAD 110222136</v>
          </cell>
          <cell r="C2719">
            <v>182731102</v>
          </cell>
          <cell r="D2719" t="str">
            <v>RESERVATION ROAD 1102</v>
          </cell>
          <cell r="E2719">
            <v>22136</v>
          </cell>
          <cell r="F2719" t="b">
            <v>0</v>
          </cell>
          <cell r="G2719">
            <v>8542.0355507894892</v>
          </cell>
          <cell r="H2719">
            <v>2842.9957285454998</v>
          </cell>
          <cell r="I2719">
            <v>59</v>
          </cell>
          <cell r="J2719">
            <v>4.5410057313254803E-5</v>
          </cell>
          <cell r="K2719">
            <v>3155</v>
          </cell>
          <cell r="L2719">
            <v>51.601361516926197</v>
          </cell>
          <cell r="M2719">
            <v>2204</v>
          </cell>
          <cell r="N2719">
            <v>3.88292228476629E-3</v>
          </cell>
          <cell r="O2719">
            <v>2262</v>
          </cell>
          <cell r="P2719">
            <v>0.01</v>
          </cell>
          <cell r="Q2719">
            <v>2587</v>
          </cell>
        </row>
        <row r="2720">
          <cell r="B2720" t="str">
            <v>RESERVATION ROAD 11023030</v>
          </cell>
          <cell r="C2720">
            <v>182731102</v>
          </cell>
          <cell r="D2720" t="str">
            <v>RESERVATION ROAD 1102</v>
          </cell>
          <cell r="E2720">
            <v>3030</v>
          </cell>
          <cell r="F2720" t="b">
            <v>0</v>
          </cell>
          <cell r="G2720">
            <v>41820.8596114213</v>
          </cell>
          <cell r="H2720">
            <v>16131.841774340901</v>
          </cell>
          <cell r="I2720">
            <v>186</v>
          </cell>
          <cell r="J2720">
            <v>2.9057890618345E-5</v>
          </cell>
          <cell r="K2720">
            <v>3440</v>
          </cell>
          <cell r="L2720">
            <v>203.80880303639299</v>
          </cell>
          <cell r="M2720">
            <v>1634</v>
          </cell>
          <cell r="N2720">
            <v>9.4083006012183699E-3</v>
          </cell>
          <cell r="O2720">
            <v>1989</v>
          </cell>
          <cell r="P2720">
            <v>0.06</v>
          </cell>
          <cell r="Q2720">
            <v>1801</v>
          </cell>
        </row>
        <row r="2721">
          <cell r="B2721" t="str">
            <v>RESERVATION ROAD 11023032</v>
          </cell>
          <cell r="C2721">
            <v>182731102</v>
          </cell>
          <cell r="D2721" t="str">
            <v>RESERVATION ROAD 1102</v>
          </cell>
          <cell r="E2721">
            <v>3032</v>
          </cell>
          <cell r="F2721" t="b">
            <v>0</v>
          </cell>
          <cell r="G2721">
            <v>15762.9703952415</v>
          </cell>
          <cell r="H2721">
            <v>5799.1689851668898</v>
          </cell>
          <cell r="I2721">
            <v>84</v>
          </cell>
          <cell r="J2721">
            <v>2.4376023518579101E-5</v>
          </cell>
          <cell r="K2721">
            <v>3503</v>
          </cell>
          <cell r="L2721">
            <v>5.9132877728323097</v>
          </cell>
          <cell r="M2721">
            <v>2716</v>
          </cell>
          <cell r="N2721">
            <v>2.8141063641409298E-4</v>
          </cell>
          <cell r="O2721">
            <v>2804</v>
          </cell>
          <cell r="P2721">
            <v>0.03</v>
          </cell>
          <cell r="Q2721">
            <v>2349</v>
          </cell>
        </row>
        <row r="2722">
          <cell r="B2722" t="str">
            <v>RESERVATION ROAD 1102303870</v>
          </cell>
          <cell r="C2722">
            <v>182731102</v>
          </cell>
          <cell r="D2722" t="str">
            <v>RESERVATION ROAD 1102</v>
          </cell>
          <cell r="E2722">
            <v>303870</v>
          </cell>
          <cell r="F2722" t="b">
            <v>0</v>
          </cell>
          <cell r="G2722">
            <v>1292.42482752719</v>
          </cell>
          <cell r="H2722">
            <v>1028.46383429976</v>
          </cell>
          <cell r="I2722">
            <v>7</v>
          </cell>
          <cell r="J2722">
            <v>5.31554640994207E-5</v>
          </cell>
          <cell r="K2722">
            <v>2962</v>
          </cell>
          <cell r="L2722">
            <v>2.3248813300968099</v>
          </cell>
          <cell r="M2722">
            <v>2831</v>
          </cell>
          <cell r="N2722">
            <v>1.18496836122243E-4</v>
          </cell>
          <cell r="O2722">
            <v>2867</v>
          </cell>
          <cell r="Q2722">
            <v>3080</v>
          </cell>
        </row>
        <row r="2723">
          <cell r="B2723" t="str">
            <v>RESERVATION ROAD 1102CB</v>
          </cell>
          <cell r="C2723">
            <v>182731102</v>
          </cell>
          <cell r="D2723" t="str">
            <v>RESERVATION ROAD 1102</v>
          </cell>
          <cell r="E2723" t="str">
            <v>CB</v>
          </cell>
          <cell r="F2723" t="b">
            <v>0</v>
          </cell>
          <cell r="G2723">
            <v>27553.079202999601</v>
          </cell>
          <cell r="H2723">
            <v>12591.579525699701</v>
          </cell>
          <cell r="I2723">
            <v>180</v>
          </cell>
          <cell r="J2723">
            <v>4.1970070445553199E-5</v>
          </cell>
          <cell r="K2723">
            <v>3225</v>
          </cell>
          <cell r="L2723">
            <v>36.651938992461702</v>
          </cell>
          <cell r="M2723">
            <v>2300</v>
          </cell>
          <cell r="N2723">
            <v>2.4687890088882598E-3</v>
          </cell>
          <cell r="O2723">
            <v>2416</v>
          </cell>
          <cell r="P2723">
            <v>0.03</v>
          </cell>
          <cell r="Q2723">
            <v>2341</v>
          </cell>
        </row>
        <row r="2724">
          <cell r="B2724" t="str">
            <v>RIDGE 0401CB</v>
          </cell>
          <cell r="C2724">
            <v>12840401</v>
          </cell>
          <cell r="D2724" t="str">
            <v>RIDGE 0401</v>
          </cell>
          <cell r="E2724" t="str">
            <v>CB</v>
          </cell>
          <cell r="F2724" t="b">
            <v>0</v>
          </cell>
          <cell r="G2724">
            <v>4270.3120640851903</v>
          </cell>
          <cell r="H2724">
            <v>4270.3120640851903</v>
          </cell>
          <cell r="I2724">
            <v>36</v>
          </cell>
          <cell r="J2724">
            <v>1.00025480100561E-4</v>
          </cell>
          <cell r="K2724">
            <v>1646</v>
          </cell>
          <cell r="L2724">
            <v>6.6396217586265599E-2</v>
          </cell>
          <cell r="M2724">
            <v>3120</v>
          </cell>
          <cell r="N2724">
            <v>6.6432106698233701E-6</v>
          </cell>
          <cell r="O2724">
            <v>3183</v>
          </cell>
          <cell r="P2724">
            <v>0.08</v>
          </cell>
          <cell r="Q2724">
            <v>1628</v>
          </cell>
        </row>
        <row r="2725">
          <cell r="B2725" t="str">
            <v>RIDGE 0402CB</v>
          </cell>
          <cell r="C2725">
            <v>12840402</v>
          </cell>
          <cell r="D2725" t="str">
            <v>RIDGE 0402</v>
          </cell>
          <cell r="E2725" t="str">
            <v>CB</v>
          </cell>
          <cell r="F2725" t="b">
            <v>0</v>
          </cell>
          <cell r="G2725">
            <v>3860.7171284750698</v>
          </cell>
          <cell r="H2725">
            <v>2930.22711555567</v>
          </cell>
          <cell r="I2725">
            <v>31</v>
          </cell>
          <cell r="J2725">
            <v>4.5081856757766699E-5</v>
          </cell>
          <cell r="K2725">
            <v>3157</v>
          </cell>
          <cell r="L2725">
            <v>6.6058868602398901E-2</v>
          </cell>
          <cell r="M2725">
            <v>3208</v>
          </cell>
          <cell r="N2725">
            <v>2.9926590169173398E-6</v>
          </cell>
          <cell r="O2725">
            <v>3411</v>
          </cell>
          <cell r="P2725">
            <v>0.06</v>
          </cell>
          <cell r="Q2725">
            <v>1837</v>
          </cell>
        </row>
        <row r="2726">
          <cell r="B2726" t="str">
            <v>RINCON 1101205854</v>
          </cell>
          <cell r="C2726">
            <v>43321101</v>
          </cell>
          <cell r="D2726" t="str">
            <v>RINCON 1101</v>
          </cell>
          <cell r="E2726">
            <v>205854</v>
          </cell>
          <cell r="F2726" t="b">
            <v>1</v>
          </cell>
          <cell r="G2726">
            <v>505.107935991945</v>
          </cell>
          <cell r="H2726">
            <v>505.107935991945</v>
          </cell>
          <cell r="I2726">
            <v>5</v>
          </cell>
          <cell r="J2726">
            <v>1.2714166805380899E-4</v>
          </cell>
          <cell r="K2726">
            <v>1063</v>
          </cell>
          <cell r="L2726">
            <v>6.5923001211458804E-2</v>
          </cell>
          <cell r="M2726">
            <v>3238</v>
          </cell>
          <cell r="N2726">
            <v>8.3651507217397294E-6</v>
          </cell>
          <cell r="O2726">
            <v>3111</v>
          </cell>
          <cell r="Q2726">
            <v>3625</v>
          </cell>
        </row>
        <row r="2727">
          <cell r="B2727" t="str">
            <v>RINCON 1101539980</v>
          </cell>
          <cell r="C2727">
            <v>43321101</v>
          </cell>
          <cell r="D2727" t="str">
            <v>RINCON 1101</v>
          </cell>
          <cell r="E2727">
            <v>539980</v>
          </cell>
          <cell r="F2727" t="b">
            <v>1</v>
          </cell>
          <cell r="G2727">
            <v>697.29034164981397</v>
          </cell>
          <cell r="H2727">
            <v>474.65464916448099</v>
          </cell>
          <cell r="I2727">
            <v>4</v>
          </cell>
          <cell r="J2727">
            <v>1.39700889121741E-4</v>
          </cell>
          <cell r="K2727">
            <v>874</v>
          </cell>
          <cell r="L2727">
            <v>59.597418769963802</v>
          </cell>
          <cell r="M2727">
            <v>2157</v>
          </cell>
          <cell r="N2727">
            <v>9.6291311476265594E-3</v>
          </cell>
          <cell r="O2727">
            <v>1976</v>
          </cell>
          <cell r="Q2727">
            <v>2837</v>
          </cell>
        </row>
        <row r="2728">
          <cell r="B2728" t="str">
            <v>RINCON 1101576</v>
          </cell>
          <cell r="C2728">
            <v>43321101</v>
          </cell>
          <cell r="D2728" t="str">
            <v>RINCON 1101</v>
          </cell>
          <cell r="E2728">
            <v>576</v>
          </cell>
          <cell r="F2728" t="b">
            <v>0</v>
          </cell>
          <cell r="G2728">
            <v>13079.425483249701</v>
          </cell>
          <cell r="H2728">
            <v>1582.55922629206</v>
          </cell>
          <cell r="I2728">
            <v>116</v>
          </cell>
          <cell r="J2728">
            <v>1.2307973468167501E-4</v>
          </cell>
          <cell r="K2728">
            <v>1132</v>
          </cell>
          <cell r="L2728">
            <v>17.548817003877001</v>
          </cell>
          <cell r="M2728">
            <v>2490</v>
          </cell>
          <cell r="N2728">
            <v>1.86360083581402E-3</v>
          </cell>
          <cell r="O2728">
            <v>2492</v>
          </cell>
          <cell r="P2728">
            <v>0.15</v>
          </cell>
          <cell r="Q2728">
            <v>1287</v>
          </cell>
        </row>
        <row r="2729">
          <cell r="B2729" t="str">
            <v>RINCON 1101578</v>
          </cell>
          <cell r="C2729">
            <v>43321101</v>
          </cell>
          <cell r="D2729" t="str">
            <v>RINCON 1101</v>
          </cell>
          <cell r="E2729">
            <v>578</v>
          </cell>
          <cell r="F2729" t="b">
            <v>0</v>
          </cell>
          <cell r="G2729">
            <v>29556.667602150199</v>
          </cell>
          <cell r="H2729">
            <v>27517.497748217302</v>
          </cell>
          <cell r="I2729">
            <v>170</v>
          </cell>
          <cell r="J2729">
            <v>8.7603748397668796E-5</v>
          </cell>
          <cell r="K2729">
            <v>1997</v>
          </cell>
          <cell r="L2729">
            <v>393.46597886891902</v>
          </cell>
          <cell r="M2729">
            <v>1303</v>
          </cell>
          <cell r="N2729">
            <v>3.0755648057042801E-2</v>
          </cell>
          <cell r="O2729">
            <v>1449</v>
          </cell>
          <cell r="P2729">
            <v>37.08</v>
          </cell>
          <cell r="Q2729">
            <v>203</v>
          </cell>
        </row>
        <row r="2730">
          <cell r="B2730" t="str">
            <v>RINCON 1101663641</v>
          </cell>
          <cell r="C2730">
            <v>43321101</v>
          </cell>
          <cell r="D2730" t="str">
            <v>RINCON 1101</v>
          </cell>
          <cell r="E2730">
            <v>663641</v>
          </cell>
          <cell r="F2730" t="b">
            <v>0</v>
          </cell>
          <cell r="G2730">
            <v>1909.33404400227</v>
          </cell>
          <cell r="H2730">
            <v>1173.5612522666499</v>
          </cell>
          <cell r="I2730">
            <v>13</v>
          </cell>
          <cell r="J2730">
            <v>1.42167463938956E-4</v>
          </cell>
          <cell r="K2730">
            <v>836</v>
          </cell>
          <cell r="L2730">
            <v>35.424360886857997</v>
          </cell>
          <cell r="M2730">
            <v>2307</v>
          </cell>
          <cell r="N2730">
            <v>3.3545218795211899E-3</v>
          </cell>
          <cell r="O2730">
            <v>2309</v>
          </cell>
          <cell r="Q2730">
            <v>3093</v>
          </cell>
        </row>
        <row r="2731">
          <cell r="B2731" t="str">
            <v>RINCON 1101839669</v>
          </cell>
          <cell r="C2731">
            <v>43321101</v>
          </cell>
          <cell r="D2731" t="str">
            <v>RINCON 1101</v>
          </cell>
          <cell r="E2731">
            <v>839669</v>
          </cell>
          <cell r="F2731" t="b">
            <v>1</v>
          </cell>
          <cell r="G2731">
            <v>1273.78357663885</v>
          </cell>
          <cell r="H2731">
            <v>989.21902951081597</v>
          </cell>
          <cell r="I2731">
            <v>12</v>
          </cell>
          <cell r="J2731">
            <v>1.0611241395963501E-4</v>
          </cell>
          <cell r="K2731">
            <v>1492</v>
          </cell>
          <cell r="L2731">
            <v>23.200824967343902</v>
          </cell>
          <cell r="M2731">
            <v>2411</v>
          </cell>
          <cell r="N2731">
            <v>2.0383354135005598E-3</v>
          </cell>
          <cell r="O2731">
            <v>2473</v>
          </cell>
          <cell r="Q2731">
            <v>3373</v>
          </cell>
        </row>
        <row r="2732">
          <cell r="B2732" t="str">
            <v>RINCON 1101CB</v>
          </cell>
          <cell r="C2732">
            <v>43321101</v>
          </cell>
          <cell r="D2732" t="str">
            <v>RINCON 1101</v>
          </cell>
          <cell r="E2732" t="str">
            <v>CB</v>
          </cell>
          <cell r="F2732" t="b">
            <v>0</v>
          </cell>
          <cell r="G2732">
            <v>7739.8410858978696</v>
          </cell>
          <cell r="H2732">
            <v>2580.5040696255801</v>
          </cell>
          <cell r="I2732">
            <v>68</v>
          </cell>
          <cell r="J2732">
            <v>1.46155660386835E-4</v>
          </cell>
          <cell r="K2732">
            <v>786</v>
          </cell>
          <cell r="L2732">
            <v>21.760470021287901</v>
          </cell>
          <cell r="M2732">
            <v>2428</v>
          </cell>
          <cell r="N2732">
            <v>5.4995284177019703E-3</v>
          </cell>
          <cell r="O2732">
            <v>2182</v>
          </cell>
          <cell r="P2732">
            <v>0.06</v>
          </cell>
          <cell r="Q2732">
            <v>1798</v>
          </cell>
        </row>
        <row r="2733">
          <cell r="B2733" t="str">
            <v>RINCON 1102640</v>
          </cell>
          <cell r="C2733">
            <v>43321102</v>
          </cell>
          <cell r="D2733" t="str">
            <v>RINCON 1102</v>
          </cell>
          <cell r="E2733">
            <v>640</v>
          </cell>
          <cell r="F2733" t="b">
            <v>1</v>
          </cell>
          <cell r="G2733">
            <v>6850.9553423106599</v>
          </cell>
          <cell r="H2733">
            <v>0</v>
          </cell>
          <cell r="I2733">
            <v>56</v>
          </cell>
          <cell r="J2733">
            <v>4.7108829659129697E-5</v>
          </cell>
          <cell r="K2733">
            <v>3110</v>
          </cell>
          <cell r="L2733">
            <v>6.5185216667269494E-2</v>
          </cell>
          <cell r="M2733">
            <v>3528</v>
          </cell>
          <cell r="N2733">
            <v>3.0722000720251101E-6</v>
          </cell>
          <cell r="O2733">
            <v>3406</v>
          </cell>
          <cell r="P2733">
            <v>0.02</v>
          </cell>
          <cell r="Q2733">
            <v>2509</v>
          </cell>
        </row>
        <row r="2734">
          <cell r="B2734" t="str">
            <v>RINCON 1102782389</v>
          </cell>
          <cell r="C2734">
            <v>43321102</v>
          </cell>
          <cell r="D2734" t="str">
            <v>RINCON 1102</v>
          </cell>
          <cell r="E2734">
            <v>782389</v>
          </cell>
          <cell r="F2734" t="b">
            <v>1</v>
          </cell>
          <cell r="G2734">
            <v>861.60155122830201</v>
          </cell>
          <cell r="H2734">
            <v>585.95969516302705</v>
          </cell>
          <cell r="I2734">
            <v>8</v>
          </cell>
          <cell r="J2734">
            <v>1.01512801588147E-4</v>
          </cell>
          <cell r="K2734">
            <v>1617</v>
          </cell>
          <cell r="L2734">
            <v>6.5954685210289105E-2</v>
          </cell>
          <cell r="M2734">
            <v>3232</v>
          </cell>
          <cell r="N2734">
            <v>6.71508686833292E-6</v>
          </cell>
          <cell r="O2734">
            <v>3177</v>
          </cell>
          <cell r="Q2734">
            <v>3216</v>
          </cell>
        </row>
        <row r="2735">
          <cell r="B2735" t="str">
            <v>RINCON 1102CB</v>
          </cell>
          <cell r="C2735">
            <v>43321102</v>
          </cell>
          <cell r="D2735" t="str">
            <v>RINCON 1102</v>
          </cell>
          <cell r="E2735" t="str">
            <v>CB</v>
          </cell>
          <cell r="F2735" t="b">
            <v>0</v>
          </cell>
          <cell r="G2735">
            <v>5699.8132387856704</v>
          </cell>
          <cell r="H2735">
            <v>4772.46852602121</v>
          </cell>
          <cell r="I2735">
            <v>49</v>
          </cell>
          <cell r="J2735">
            <v>1.40085718826134E-4</v>
          </cell>
          <cell r="K2735">
            <v>868</v>
          </cell>
          <cell r="L2735">
            <v>39.048016011570802</v>
          </cell>
          <cell r="M2735">
            <v>2283</v>
          </cell>
          <cell r="N2735">
            <v>3.72093798355935E-3</v>
          </cell>
          <cell r="O2735">
            <v>2273</v>
          </cell>
          <cell r="P2735">
            <v>0.11</v>
          </cell>
          <cell r="Q2735">
            <v>1423</v>
          </cell>
        </row>
        <row r="2736">
          <cell r="B2736" t="str">
            <v>RINCON 1103198</v>
          </cell>
          <cell r="C2736">
            <v>43321103</v>
          </cell>
          <cell r="D2736" t="str">
            <v>RINCON 1103</v>
          </cell>
          <cell r="E2736">
            <v>198</v>
          </cell>
          <cell r="F2736" t="b">
            <v>0</v>
          </cell>
          <cell r="G2736">
            <v>10335.817910175199</v>
          </cell>
          <cell r="H2736">
            <v>10335.817910175199</v>
          </cell>
          <cell r="I2736">
            <v>62</v>
          </cell>
          <cell r="J2736">
            <v>1.18299670600296E-4</v>
          </cell>
          <cell r="K2736">
            <v>1224</v>
          </cell>
          <cell r="L2736">
            <v>193.00035267634701</v>
          </cell>
          <cell r="M2736">
            <v>1658</v>
          </cell>
          <cell r="N2736">
            <v>2.25597379657945E-2</v>
          </cell>
          <cell r="O2736">
            <v>1618</v>
          </cell>
          <cell r="P2736">
            <v>41.1</v>
          </cell>
          <cell r="Q2736">
            <v>181</v>
          </cell>
        </row>
        <row r="2737">
          <cell r="B2737" t="str">
            <v>RINCON 1103472</v>
          </cell>
          <cell r="C2737">
            <v>43321103</v>
          </cell>
          <cell r="D2737" t="str">
            <v>RINCON 1103</v>
          </cell>
          <cell r="E2737">
            <v>472</v>
          </cell>
          <cell r="F2737" t="b">
            <v>0</v>
          </cell>
          <cell r="G2737">
            <v>7739.15513687161</v>
          </cell>
          <cell r="H2737">
            <v>4930.8207690173303</v>
          </cell>
          <cell r="I2737">
            <v>71</v>
          </cell>
          <cell r="J2737">
            <v>9.5788967857361894E-5</v>
          </cell>
          <cell r="K2737">
            <v>1733</v>
          </cell>
          <cell r="L2737">
            <v>2.7473657097374602</v>
          </cell>
          <cell r="M2737">
            <v>2818</v>
          </cell>
          <cell r="N2737">
            <v>2.9461668910157901E-4</v>
          </cell>
          <cell r="O2737">
            <v>2799</v>
          </cell>
          <cell r="P2737">
            <v>0.08</v>
          </cell>
          <cell r="Q2737">
            <v>1630</v>
          </cell>
        </row>
        <row r="2738">
          <cell r="B2738" t="str">
            <v>RINCON 1103474</v>
          </cell>
          <cell r="C2738">
            <v>43321103</v>
          </cell>
          <cell r="D2738" t="str">
            <v>RINCON 1103</v>
          </cell>
          <cell r="E2738">
            <v>474</v>
          </cell>
          <cell r="F2738" t="b">
            <v>0</v>
          </cell>
          <cell r="G2738">
            <v>29501.144772830201</v>
          </cell>
          <cell r="H2738">
            <v>29501.144772830201</v>
          </cell>
          <cell r="I2738">
            <v>174</v>
          </cell>
          <cell r="J2738">
            <v>9.7852952536810995E-5</v>
          </cell>
          <cell r="K2738">
            <v>1695</v>
          </cell>
          <cell r="L2738">
            <v>328.92508386915898</v>
          </cell>
          <cell r="M2738">
            <v>1399</v>
          </cell>
          <cell r="N2738">
            <v>3.68132465751288E-2</v>
          </cell>
          <cell r="O2738">
            <v>1342</v>
          </cell>
          <cell r="P2738">
            <v>75.790000000000006</v>
          </cell>
          <cell r="Q2738">
            <v>56</v>
          </cell>
        </row>
        <row r="2739">
          <cell r="B2739" t="str">
            <v>RINCON 11035152</v>
          </cell>
          <cell r="C2739">
            <v>43321103</v>
          </cell>
          <cell r="D2739" t="str">
            <v>RINCON 1103</v>
          </cell>
          <cell r="E2739">
            <v>5152</v>
          </cell>
          <cell r="F2739" t="b">
            <v>0</v>
          </cell>
          <cell r="G2739">
            <v>2685.0441546176498</v>
          </cell>
          <cell r="H2739">
            <v>2685.0441546176498</v>
          </cell>
          <cell r="I2739">
            <v>17</v>
          </cell>
          <cell r="J2739">
            <v>1.87872481011949E-4</v>
          </cell>
          <cell r="K2739">
            <v>456</v>
          </cell>
          <cell r="L2739">
            <v>675.79034234768505</v>
          </cell>
          <cell r="M2739">
            <v>1038</v>
          </cell>
          <cell r="N2739">
            <v>0.123903464181378</v>
          </cell>
          <cell r="O2739">
            <v>625</v>
          </cell>
          <cell r="P2739">
            <v>12.52</v>
          </cell>
          <cell r="Q2739">
            <v>374</v>
          </cell>
        </row>
        <row r="2740">
          <cell r="B2740" t="str">
            <v>RINCON 1103568</v>
          </cell>
          <cell r="C2740">
            <v>43321103</v>
          </cell>
          <cell r="D2740" t="str">
            <v>RINCON 1103</v>
          </cell>
          <cell r="E2740">
            <v>568</v>
          </cell>
          <cell r="F2740" t="b">
            <v>0</v>
          </cell>
          <cell r="G2740">
            <v>20285.883213253699</v>
          </cell>
          <cell r="H2740">
            <v>20285.883213253699</v>
          </cell>
          <cell r="I2740">
            <v>129</v>
          </cell>
          <cell r="J2740">
            <v>1.19408573624468E-4</v>
          </cell>
          <cell r="K2740">
            <v>1198</v>
          </cell>
          <cell r="L2740">
            <v>98.392740984928196</v>
          </cell>
          <cell r="M2740">
            <v>1966</v>
          </cell>
          <cell r="N2740">
            <v>9.8399275825106908E-3</v>
          </cell>
          <cell r="O2740">
            <v>1966</v>
          </cell>
          <cell r="P2740">
            <v>40.01</v>
          </cell>
          <cell r="Q2740">
            <v>186</v>
          </cell>
        </row>
        <row r="2741">
          <cell r="B2741" t="str">
            <v>RINCON 1103CB</v>
          </cell>
          <cell r="C2741">
            <v>43321103</v>
          </cell>
          <cell r="D2741" t="str">
            <v>RINCON 1103</v>
          </cell>
          <cell r="E2741" t="str">
            <v>CB</v>
          </cell>
          <cell r="F2741" t="b">
            <v>0</v>
          </cell>
          <cell r="G2741">
            <v>6066.7415075839799</v>
          </cell>
          <cell r="H2741">
            <v>3931.2505188917398</v>
          </cell>
          <cell r="I2741">
            <v>41</v>
          </cell>
          <cell r="J2741">
            <v>1.6438336306237001E-4</v>
          </cell>
          <cell r="K2741">
            <v>593</v>
          </cell>
          <cell r="L2741">
            <v>84.769527215539</v>
          </cell>
          <cell r="M2741">
            <v>2033</v>
          </cell>
          <cell r="N2741">
            <v>1.6460837920562299E-2</v>
          </cell>
          <cell r="O2741">
            <v>1755</v>
          </cell>
          <cell r="P2741">
            <v>3.87</v>
          </cell>
          <cell r="Q2741">
            <v>532</v>
          </cell>
        </row>
        <row r="2742">
          <cell r="B2742" t="str">
            <v>RINCON 1104786782</v>
          </cell>
          <cell r="C2742">
            <v>43321104</v>
          </cell>
          <cell r="D2742" t="str">
            <v>RINCON 1104</v>
          </cell>
          <cell r="E2742">
            <v>786782</v>
          </cell>
          <cell r="F2742" t="b">
            <v>0</v>
          </cell>
          <cell r="G2742">
            <v>5173.0207264327601</v>
          </cell>
          <cell r="H2742">
            <v>3549.2326150583899</v>
          </cell>
          <cell r="I2742">
            <v>46</v>
          </cell>
          <cell r="J2742">
            <v>1.4663873512092801E-4</v>
          </cell>
          <cell r="K2742">
            <v>779</v>
          </cell>
          <cell r="L2742">
            <v>8.3436847908231595</v>
          </cell>
          <cell r="M2742">
            <v>2661</v>
          </cell>
          <cell r="N2742">
            <v>3.2053307579939399E-3</v>
          </cell>
          <cell r="O2742">
            <v>2328</v>
          </cell>
          <cell r="Q2742">
            <v>2734</v>
          </cell>
        </row>
        <row r="2743">
          <cell r="B2743" t="str">
            <v>RINCON 1104CB</v>
          </cell>
          <cell r="C2743">
            <v>43321104</v>
          </cell>
          <cell r="D2743" t="str">
            <v>RINCON 1104</v>
          </cell>
          <cell r="E2743" t="str">
            <v>CB</v>
          </cell>
          <cell r="F2743" t="b">
            <v>1</v>
          </cell>
          <cell r="G2743">
            <v>3983.6129721427801</v>
          </cell>
          <cell r="H2743">
            <v>901.43318802735996</v>
          </cell>
          <cell r="I2743">
            <v>34</v>
          </cell>
          <cell r="J2743">
            <v>5.1405601960355199E-5</v>
          </cell>
          <cell r="K2743">
            <v>3008</v>
          </cell>
          <cell r="L2743">
            <v>6.9388894912068302E-2</v>
          </cell>
          <cell r="M2743">
            <v>2944</v>
          </cell>
          <cell r="N2743">
            <v>4.3927841937991199E-6</v>
          </cell>
          <cell r="O2743">
            <v>3302</v>
          </cell>
          <cell r="P2743">
            <v>0.16</v>
          </cell>
          <cell r="Q2743">
            <v>1257</v>
          </cell>
        </row>
        <row r="2744">
          <cell r="B2744" t="str">
            <v>RIO DEL MAR 0401931192</v>
          </cell>
          <cell r="C2744">
            <v>83260401</v>
          </cell>
          <cell r="D2744" t="str">
            <v>RIO DEL MAR 0401</v>
          </cell>
          <cell r="E2744">
            <v>931192</v>
          </cell>
          <cell r="F2744" t="b">
            <v>0</v>
          </cell>
          <cell r="G2744">
            <v>11415.597112270199</v>
          </cell>
          <cell r="H2744">
            <v>3615.6701361301102</v>
          </cell>
          <cell r="I2744">
            <v>87</v>
          </cell>
          <cell r="J2744">
            <v>4.0211799486492402E-5</v>
          </cell>
          <cell r="K2744">
            <v>3262</v>
          </cell>
          <cell r="L2744">
            <v>6.5486681529845298E-2</v>
          </cell>
          <cell r="M2744">
            <v>3375</v>
          </cell>
          <cell r="N2744">
            <v>2.6466897758576601E-6</v>
          </cell>
          <cell r="O2744">
            <v>3450</v>
          </cell>
          <cell r="Q2744">
            <v>3020</v>
          </cell>
        </row>
        <row r="2745">
          <cell r="B2745" t="str">
            <v>RIO DELL 11021504</v>
          </cell>
          <cell r="C2745">
            <v>192251102</v>
          </cell>
          <cell r="D2745" t="str">
            <v>RIO DELL 1102</v>
          </cell>
          <cell r="E2745">
            <v>1504</v>
          </cell>
          <cell r="F2745" t="b">
            <v>0</v>
          </cell>
          <cell r="G2745">
            <v>19432.047451965002</v>
          </cell>
          <cell r="H2745">
            <v>17454.8051120829</v>
          </cell>
          <cell r="I2745">
            <v>64</v>
          </cell>
          <cell r="J2745">
            <v>2.7686072934233401E-4</v>
          </cell>
          <cell r="K2745">
            <v>165</v>
          </cell>
          <cell r="L2745">
            <v>148.50883445980301</v>
          </cell>
          <cell r="M2745">
            <v>1782</v>
          </cell>
          <cell r="N2745">
            <v>1.9341555640817101E-2</v>
          </cell>
          <cell r="O2745">
            <v>1683</v>
          </cell>
          <cell r="P2745">
            <v>0.01</v>
          </cell>
          <cell r="Q2745">
            <v>2608</v>
          </cell>
        </row>
        <row r="2746">
          <cell r="B2746" t="str">
            <v>RIO DELL 1102214052</v>
          </cell>
          <cell r="C2746">
            <v>192251102</v>
          </cell>
          <cell r="D2746" t="str">
            <v>RIO DELL 1102</v>
          </cell>
          <cell r="E2746">
            <v>214052</v>
          </cell>
          <cell r="F2746" t="b">
            <v>1</v>
          </cell>
          <cell r="G2746">
            <v>1011.6764453944</v>
          </cell>
          <cell r="H2746">
            <v>941.15870726872799</v>
          </cell>
          <cell r="I2746">
            <v>7</v>
          </cell>
          <cell r="J2746">
            <v>4.4429073438680301E-4</v>
          </cell>
          <cell r="K2746">
            <v>50</v>
          </cell>
          <cell r="L2746">
            <v>6.60649072931664E-2</v>
          </cell>
          <cell r="M2746">
            <v>3204</v>
          </cell>
          <cell r="N2746">
            <v>2.9330249516747001E-5</v>
          </cell>
          <cell r="O2746">
            <v>2938</v>
          </cell>
          <cell r="Q2746">
            <v>3447</v>
          </cell>
        </row>
        <row r="2747">
          <cell r="B2747" t="str">
            <v>RIO DELL 11024230</v>
          </cell>
          <cell r="C2747">
            <v>192251102</v>
          </cell>
          <cell r="D2747" t="str">
            <v>RIO DELL 1102</v>
          </cell>
          <cell r="E2747">
            <v>4230</v>
          </cell>
          <cell r="F2747" t="b">
            <v>0</v>
          </cell>
          <cell r="G2747">
            <v>36923.387403140703</v>
          </cell>
          <cell r="H2747">
            <v>36847.624826813299</v>
          </cell>
          <cell r="I2747">
            <v>59</v>
          </cell>
          <cell r="J2747">
            <v>3.6560744700653698E-4</v>
          </cell>
          <cell r="K2747">
            <v>80</v>
          </cell>
          <cell r="L2747">
            <v>373.679591045981</v>
          </cell>
          <cell r="M2747">
            <v>1331</v>
          </cell>
          <cell r="N2747">
            <v>0.135119834819735</v>
          </cell>
          <cell r="O2747">
            <v>585</v>
          </cell>
          <cell r="P2747">
            <v>0.02</v>
          </cell>
          <cell r="Q2747">
            <v>2536</v>
          </cell>
        </row>
        <row r="2748">
          <cell r="B2748" t="str">
            <v>RIO DELL 110270960</v>
          </cell>
          <cell r="C2748">
            <v>192251102</v>
          </cell>
          <cell r="D2748" t="str">
            <v>RIO DELL 1102</v>
          </cell>
          <cell r="E2748">
            <v>70960</v>
          </cell>
          <cell r="F2748" t="b">
            <v>0</v>
          </cell>
          <cell r="G2748">
            <v>18837.827846555701</v>
          </cell>
          <cell r="H2748">
            <v>9297.8122467411395</v>
          </cell>
          <cell r="I2748">
            <v>103</v>
          </cell>
          <cell r="J2748">
            <v>2.3998042774573799E-4</v>
          </cell>
          <cell r="K2748">
            <v>245</v>
          </cell>
          <cell r="L2748">
            <v>91.502926349187604</v>
          </cell>
          <cell r="M2748">
            <v>1995</v>
          </cell>
          <cell r="N2748">
            <v>1.8608605554942901E-2</v>
          </cell>
          <cell r="O2748">
            <v>1691</v>
          </cell>
          <cell r="P2748">
            <v>0</v>
          </cell>
          <cell r="Q2748">
            <v>2636</v>
          </cell>
        </row>
        <row r="2749">
          <cell r="B2749" t="str">
            <v>RIO DELL 11027124</v>
          </cell>
          <cell r="C2749">
            <v>192251102</v>
          </cell>
          <cell r="D2749" t="str">
            <v>RIO DELL 1102</v>
          </cell>
          <cell r="E2749">
            <v>7124</v>
          </cell>
          <cell r="F2749" t="b">
            <v>0</v>
          </cell>
          <cell r="G2749">
            <v>1081.37433168949</v>
          </cell>
          <cell r="H2749">
            <v>1081.37433168949</v>
          </cell>
          <cell r="I2749">
            <v>5</v>
          </cell>
          <cell r="J2749">
            <v>2.30799520795699E-4</v>
          </cell>
          <cell r="K2749">
            <v>283</v>
          </cell>
          <cell r="L2749">
            <v>190.38831898127299</v>
          </cell>
          <cell r="M2749">
            <v>1663</v>
          </cell>
          <cell r="N2749">
            <v>4.2228904095623097E-2</v>
          </cell>
          <cell r="O2749">
            <v>1272</v>
          </cell>
          <cell r="P2749">
            <v>0.05</v>
          </cell>
          <cell r="Q2749">
            <v>1941</v>
          </cell>
        </row>
        <row r="2750">
          <cell r="B2750" t="str">
            <v>RIO DELL 110275970</v>
          </cell>
          <cell r="C2750">
            <v>192251102</v>
          </cell>
          <cell r="D2750" t="str">
            <v>RIO DELL 1102</v>
          </cell>
          <cell r="E2750">
            <v>75970</v>
          </cell>
          <cell r="F2750" t="b">
            <v>0</v>
          </cell>
          <cell r="G2750">
            <v>11378.8383657997</v>
          </cell>
          <cell r="H2750">
            <v>11378.8383657997</v>
          </cell>
          <cell r="I2750">
            <v>33</v>
          </cell>
          <cell r="J2750">
            <v>2.30104490583471E-4</v>
          </cell>
          <cell r="K2750">
            <v>284</v>
          </cell>
          <cell r="L2750">
            <v>549.49155840926699</v>
          </cell>
          <cell r="M2750">
            <v>1145</v>
          </cell>
          <cell r="N2750">
            <v>8.6940355700276306E-2</v>
          </cell>
          <cell r="O2750">
            <v>846</v>
          </cell>
          <cell r="P2750">
            <v>7.0000000000000007E-2</v>
          </cell>
          <cell r="Q2750">
            <v>1700</v>
          </cell>
        </row>
        <row r="2751">
          <cell r="B2751" t="str">
            <v>RIO DELL 1102772210</v>
          </cell>
          <cell r="C2751">
            <v>192251102</v>
          </cell>
          <cell r="D2751" t="str">
            <v>RIO DELL 1102</v>
          </cell>
          <cell r="E2751">
            <v>772210</v>
          </cell>
          <cell r="F2751" t="b">
            <v>0</v>
          </cell>
          <cell r="G2751">
            <v>5622.5297289063301</v>
          </cell>
          <cell r="H2751">
            <v>1329.77933855316</v>
          </cell>
          <cell r="I2751">
            <v>32</v>
          </cell>
          <cell r="J2751">
            <v>3.0089734120279399E-4</v>
          </cell>
          <cell r="K2751">
            <v>129</v>
          </cell>
          <cell r="L2751">
            <v>8.4673283588729404</v>
          </cell>
          <cell r="M2751">
            <v>2658</v>
          </cell>
          <cell r="N2751">
            <v>2.3979022634995901E-3</v>
          </cell>
          <cell r="O2751">
            <v>2421</v>
          </cell>
          <cell r="Q2751">
            <v>2876</v>
          </cell>
        </row>
        <row r="2752">
          <cell r="B2752" t="str">
            <v>RIO DELL 11028852</v>
          </cell>
          <cell r="C2752">
            <v>192251102</v>
          </cell>
          <cell r="D2752" t="str">
            <v>RIO DELL 1102</v>
          </cell>
          <cell r="E2752">
            <v>8852</v>
          </cell>
          <cell r="F2752" t="b">
            <v>0</v>
          </cell>
          <cell r="G2752">
            <v>7650.5093589870203</v>
          </cell>
          <cell r="H2752">
            <v>7473.98989687219</v>
          </cell>
          <cell r="I2752">
            <v>46</v>
          </cell>
          <cell r="J2752">
            <v>2.8420991071945298E-4</v>
          </cell>
          <cell r="K2752">
            <v>148</v>
          </cell>
          <cell r="L2752">
            <v>54.469968049713103</v>
          </cell>
          <cell r="M2752">
            <v>2184</v>
          </cell>
          <cell r="N2752">
            <v>1.4353608725037501E-2</v>
          </cell>
          <cell r="O2752">
            <v>1807</v>
          </cell>
          <cell r="P2752">
            <v>0.05</v>
          </cell>
          <cell r="Q2752">
            <v>1930</v>
          </cell>
        </row>
        <row r="2753">
          <cell r="B2753" t="str">
            <v>RIO DELL 1102CB</v>
          </cell>
          <cell r="C2753">
            <v>192251102</v>
          </cell>
          <cell r="D2753" t="str">
            <v>RIO DELL 1102</v>
          </cell>
          <cell r="E2753" t="str">
            <v>CB</v>
          </cell>
          <cell r="F2753" t="b">
            <v>1</v>
          </cell>
          <cell r="G2753">
            <v>10445.4546966909</v>
          </cell>
          <cell r="H2753">
            <v>0</v>
          </cell>
          <cell r="I2753">
            <v>86</v>
          </cell>
          <cell r="J2753">
            <v>1.4143157307390601E-4</v>
          </cell>
          <cell r="K2753">
            <v>846</v>
          </cell>
          <cell r="L2753">
            <v>6.51475899323882E-2</v>
          </cell>
          <cell r="M2753">
            <v>3602</v>
          </cell>
          <cell r="N2753">
            <v>9.2139261261114993E-6</v>
          </cell>
          <cell r="O2753">
            <v>3090</v>
          </cell>
          <cell r="P2753">
            <v>0.28000000000000003</v>
          </cell>
          <cell r="Q2753">
            <v>1040</v>
          </cell>
        </row>
        <row r="2754">
          <cell r="B2754" t="str">
            <v>RISING RIVER 11011530</v>
          </cell>
          <cell r="C2754">
            <v>103551101</v>
          </cell>
          <cell r="D2754" t="str">
            <v>RISING RIVER 1101</v>
          </cell>
          <cell r="E2754">
            <v>1530</v>
          </cell>
          <cell r="F2754" t="b">
            <v>0</v>
          </cell>
          <cell r="G2754">
            <v>28483.8521222571</v>
          </cell>
          <cell r="H2754">
            <v>18168.0105576838</v>
          </cell>
          <cell r="I2754">
            <v>167</v>
          </cell>
          <cell r="J2754">
            <v>5.6107294734296902E-5</v>
          </cell>
          <cell r="K2754">
            <v>2884</v>
          </cell>
          <cell r="L2754">
            <v>2176.98416117017</v>
          </cell>
          <cell r="M2754">
            <v>405</v>
          </cell>
          <cell r="N2754">
            <v>0.112184733635505</v>
          </cell>
          <cell r="O2754">
            <v>697</v>
          </cell>
          <cell r="P2754">
            <v>0.01</v>
          </cell>
          <cell r="Q2754">
            <v>2573</v>
          </cell>
        </row>
        <row r="2755">
          <cell r="B2755" t="str">
            <v>RISING RIVER 11011532</v>
          </cell>
          <cell r="C2755">
            <v>103551101</v>
          </cell>
          <cell r="D2755" t="str">
            <v>RISING RIVER 1101</v>
          </cell>
          <cell r="E2755">
            <v>1532</v>
          </cell>
          <cell r="F2755" t="b">
            <v>0</v>
          </cell>
          <cell r="G2755">
            <v>7926.8977530452403</v>
          </cell>
          <cell r="H2755">
            <v>6133.1892999869797</v>
          </cell>
          <cell r="I2755">
            <v>27</v>
          </cell>
          <cell r="J2755">
            <v>6.5114312816988798E-5</v>
          </cell>
          <cell r="K2755">
            <v>2606</v>
          </cell>
          <cell r="L2755">
            <v>6536.3280841248497</v>
          </cell>
          <cell r="M2755">
            <v>17</v>
          </cell>
          <cell r="N2755">
            <v>0.380766082110924</v>
          </cell>
          <cell r="O2755">
            <v>71</v>
          </cell>
          <cell r="P2755">
            <v>0.01</v>
          </cell>
          <cell r="Q2755">
            <v>2591</v>
          </cell>
        </row>
        <row r="2756">
          <cell r="B2756" t="str">
            <v>RISING RIVER 11019032</v>
          </cell>
          <cell r="C2756">
            <v>103551101</v>
          </cell>
          <cell r="D2756" t="str">
            <v>RISING RIVER 1101</v>
          </cell>
          <cell r="E2756">
            <v>9032</v>
          </cell>
          <cell r="F2756" t="b">
            <v>0</v>
          </cell>
          <cell r="G2756">
            <v>37853.358100378398</v>
          </cell>
          <cell r="H2756">
            <v>36827.563314977699</v>
          </cell>
          <cell r="I2756">
            <v>175</v>
          </cell>
          <cell r="J2756">
            <v>3.6108218667538402E-5</v>
          </cell>
          <cell r="K2756">
            <v>3334</v>
          </cell>
          <cell r="L2756">
            <v>413.85459098342398</v>
          </cell>
          <cell r="M2756">
            <v>1280</v>
          </cell>
          <cell r="N2756">
            <v>1.12065441384985E-2</v>
          </cell>
          <cell r="O2756">
            <v>1912</v>
          </cell>
          <cell r="P2756">
            <v>0.02</v>
          </cell>
          <cell r="Q2756">
            <v>2552</v>
          </cell>
        </row>
        <row r="2757">
          <cell r="B2757" t="str">
            <v>RISING RIVER 1101CB</v>
          </cell>
          <cell r="C2757">
            <v>103551101</v>
          </cell>
          <cell r="D2757" t="str">
            <v>RISING RIVER 1101</v>
          </cell>
          <cell r="E2757" t="str">
            <v>CB</v>
          </cell>
          <cell r="F2757" t="b">
            <v>0</v>
          </cell>
          <cell r="G2757">
            <v>21509.969368366899</v>
          </cell>
          <cell r="H2757">
            <v>15956.2358730631</v>
          </cell>
          <cell r="I2757">
            <v>121</v>
          </cell>
          <cell r="J2757">
            <v>5.1920192847379502E-5</v>
          </cell>
          <cell r="K2757">
            <v>2995</v>
          </cell>
          <cell r="L2757">
            <v>1288.06522918363</v>
          </cell>
          <cell r="M2757">
            <v>687</v>
          </cell>
          <cell r="N2757">
            <v>7.4106261057634196E-2</v>
          </cell>
          <cell r="O2757">
            <v>943</v>
          </cell>
          <cell r="P2757">
            <v>0.03</v>
          </cell>
          <cell r="Q2757">
            <v>2320</v>
          </cell>
        </row>
        <row r="2758">
          <cell r="B2758" t="str">
            <v>ROB ROY 210410298</v>
          </cell>
          <cell r="C2758">
            <v>83692104</v>
          </cell>
          <cell r="D2758" t="str">
            <v>ROB ROY 2104</v>
          </cell>
          <cell r="E2758">
            <v>10298</v>
          </cell>
          <cell r="F2758" t="b">
            <v>0</v>
          </cell>
          <cell r="G2758">
            <v>21540.325333705001</v>
          </cell>
          <cell r="H2758">
            <v>17635.974648382999</v>
          </cell>
          <cell r="I2758">
            <v>138</v>
          </cell>
          <cell r="J2758">
            <v>1.14249349610253E-4</v>
          </cell>
          <cell r="K2758">
            <v>1313</v>
          </cell>
          <cell r="L2758">
            <v>23.021876144776801</v>
          </cell>
          <cell r="M2758">
            <v>2412</v>
          </cell>
          <cell r="N2758">
            <v>2.6824804729529699E-3</v>
          </cell>
          <cell r="O2758">
            <v>2387</v>
          </cell>
          <cell r="P2758">
            <v>0.67</v>
          </cell>
          <cell r="Q2758">
            <v>817</v>
          </cell>
        </row>
        <row r="2759">
          <cell r="B2759" t="str">
            <v>ROB ROY 210410714</v>
          </cell>
          <cell r="C2759">
            <v>83692104</v>
          </cell>
          <cell r="D2759" t="str">
            <v>ROB ROY 2104</v>
          </cell>
          <cell r="E2759">
            <v>10714</v>
          </cell>
          <cell r="F2759" t="b">
            <v>0</v>
          </cell>
          <cell r="G2759">
            <v>31415.188820610099</v>
          </cell>
          <cell r="H2759">
            <v>22795.515690628701</v>
          </cell>
          <cell r="I2759">
            <v>212</v>
          </cell>
          <cell r="J2759">
            <v>8.9963665927053496E-5</v>
          </cell>
          <cell r="K2759">
            <v>1915</v>
          </cell>
          <cell r="L2759">
            <v>34.882796114416003</v>
          </cell>
          <cell r="M2759">
            <v>2308</v>
          </cell>
          <cell r="N2759">
            <v>2.8840015706543699E-3</v>
          </cell>
          <cell r="O2759">
            <v>2362</v>
          </cell>
          <cell r="P2759">
            <v>0.2</v>
          </cell>
          <cell r="Q2759">
            <v>1158</v>
          </cell>
        </row>
        <row r="2760">
          <cell r="B2760" t="str">
            <v>ROB ROY 210410930</v>
          </cell>
          <cell r="C2760">
            <v>83692104</v>
          </cell>
          <cell r="D2760" t="str">
            <v>ROB ROY 2104</v>
          </cell>
          <cell r="E2760">
            <v>10930</v>
          </cell>
          <cell r="F2760" t="b">
            <v>0</v>
          </cell>
          <cell r="G2760">
            <v>18316.5864041858</v>
          </cell>
          <cell r="H2760">
            <v>1585.2477129945</v>
          </cell>
          <cell r="I2760">
            <v>149</v>
          </cell>
          <cell r="J2760">
            <v>9.2072430054898196E-5</v>
          </cell>
          <cell r="K2760">
            <v>1841</v>
          </cell>
          <cell r="L2760">
            <v>11.216713298337099</v>
          </cell>
          <cell r="M2760">
            <v>2602</v>
          </cell>
          <cell r="N2760">
            <v>1.11260135239289E-3</v>
          </cell>
          <cell r="O2760">
            <v>2615</v>
          </cell>
          <cell r="P2760">
            <v>0.03</v>
          </cell>
          <cell r="Q2760">
            <v>2315</v>
          </cell>
        </row>
        <row r="2761">
          <cell r="B2761" t="str">
            <v>ROB ROY 210410954</v>
          </cell>
          <cell r="C2761">
            <v>83692104</v>
          </cell>
          <cell r="D2761" t="str">
            <v>ROB ROY 2104</v>
          </cell>
          <cell r="E2761">
            <v>10954</v>
          </cell>
          <cell r="F2761" t="b">
            <v>0</v>
          </cell>
          <cell r="G2761">
            <v>11428.748304913601</v>
          </cell>
          <cell r="H2761">
            <v>11428.748304913601</v>
          </cell>
          <cell r="I2761">
            <v>90</v>
          </cell>
          <cell r="J2761">
            <v>9.18920450809916E-5</v>
          </cell>
          <cell r="K2761">
            <v>1847</v>
          </cell>
          <cell r="L2761">
            <v>2.44224845170974</v>
          </cell>
          <cell r="M2761">
            <v>2825</v>
          </cell>
          <cell r="N2761">
            <v>1.22622464341103E-4</v>
          </cell>
          <cell r="O2761">
            <v>2864</v>
          </cell>
          <cell r="P2761">
            <v>0.16</v>
          </cell>
          <cell r="Q2761">
            <v>1268</v>
          </cell>
        </row>
        <row r="2762">
          <cell r="B2762" t="str">
            <v>ROB ROY 210410960</v>
          </cell>
          <cell r="C2762">
            <v>83692104</v>
          </cell>
          <cell r="D2762" t="str">
            <v>ROB ROY 2104</v>
          </cell>
          <cell r="E2762">
            <v>10960</v>
          </cell>
          <cell r="F2762" t="b">
            <v>0</v>
          </cell>
          <cell r="G2762">
            <v>45089.9596984577</v>
          </cell>
          <cell r="H2762">
            <v>30132.538653887099</v>
          </cell>
          <cell r="I2762">
            <v>320</v>
          </cell>
          <cell r="J2762">
            <v>9.21088595012926E-5</v>
          </cell>
          <cell r="K2762">
            <v>1838</v>
          </cell>
          <cell r="L2762">
            <v>18.252933436352698</v>
          </cell>
          <cell r="M2762">
            <v>2472</v>
          </cell>
          <cell r="N2762">
            <v>1.94538816987656E-3</v>
          </cell>
          <cell r="O2762">
            <v>2485</v>
          </cell>
          <cell r="P2762">
            <v>0.12</v>
          </cell>
          <cell r="Q2762">
            <v>1381</v>
          </cell>
        </row>
        <row r="2763">
          <cell r="B2763" t="str">
            <v>ROB ROY 210412596</v>
          </cell>
          <cell r="C2763">
            <v>83692104</v>
          </cell>
          <cell r="D2763" t="str">
            <v>ROB ROY 2104</v>
          </cell>
          <cell r="E2763">
            <v>12596</v>
          </cell>
          <cell r="F2763" t="b">
            <v>0</v>
          </cell>
          <cell r="G2763">
            <v>17025.8656728977</v>
          </cell>
          <cell r="H2763">
            <v>12925.078560323</v>
          </cell>
          <cell r="I2763">
            <v>140</v>
          </cell>
          <cell r="J2763">
            <v>8.8890867833210199E-5</v>
          </cell>
          <cell r="K2763">
            <v>1955</v>
          </cell>
          <cell r="L2763">
            <v>5.6621975712478099</v>
          </cell>
          <cell r="M2763">
            <v>2721</v>
          </cell>
          <cell r="N2763">
            <v>4.33706665416429E-4</v>
          </cell>
          <cell r="O2763">
            <v>2754</v>
          </cell>
          <cell r="P2763">
            <v>0.06</v>
          </cell>
          <cell r="Q2763">
            <v>1804</v>
          </cell>
        </row>
        <row r="2764">
          <cell r="B2764" t="str">
            <v>ROB ROY 21045082</v>
          </cell>
          <cell r="C2764">
            <v>83692104</v>
          </cell>
          <cell r="D2764" t="str">
            <v>ROB ROY 2104</v>
          </cell>
          <cell r="E2764">
            <v>5082</v>
          </cell>
          <cell r="F2764" t="b">
            <v>0</v>
          </cell>
          <cell r="G2764">
            <v>33362.418006462598</v>
          </cell>
          <cell r="H2764">
            <v>32012.7006768875</v>
          </cell>
          <cell r="I2764">
            <v>215</v>
          </cell>
          <cell r="J2764">
            <v>1.20647553872726E-4</v>
          </cell>
          <cell r="K2764">
            <v>1172</v>
          </cell>
          <cell r="L2764">
            <v>16.315469137698301</v>
          </cell>
          <cell r="M2764">
            <v>2512</v>
          </cell>
          <cell r="N2764">
            <v>1.66718509823657E-3</v>
          </cell>
          <cell r="O2764">
            <v>2526</v>
          </cell>
          <cell r="P2764">
            <v>2.33</v>
          </cell>
          <cell r="Q2764">
            <v>613</v>
          </cell>
        </row>
        <row r="2765">
          <cell r="B2765" t="str">
            <v>ROB ROY 21045304</v>
          </cell>
          <cell r="C2765">
            <v>83692104</v>
          </cell>
          <cell r="D2765" t="str">
            <v>ROB ROY 2104</v>
          </cell>
          <cell r="E2765">
            <v>5304</v>
          </cell>
          <cell r="F2765" t="b">
            <v>0</v>
          </cell>
          <cell r="G2765">
            <v>8039.9736547574703</v>
          </cell>
          <cell r="H2765">
            <v>5763.2850119582799</v>
          </cell>
          <cell r="I2765">
            <v>60</v>
          </cell>
          <cell r="J2765">
            <v>9.1859874737565398E-5</v>
          </cell>
          <cell r="K2765">
            <v>1848</v>
          </cell>
          <cell r="L2765">
            <v>18.674022188037601</v>
          </cell>
          <cell r="M2765">
            <v>2464</v>
          </cell>
          <cell r="N2765">
            <v>1.57844360821783E-3</v>
          </cell>
          <cell r="O2765">
            <v>2543</v>
          </cell>
          <cell r="P2765">
            <v>0.05</v>
          </cell>
          <cell r="Q2765">
            <v>1963</v>
          </cell>
        </row>
        <row r="2766">
          <cell r="B2766" t="str">
            <v>ROB ROY 21046577</v>
          </cell>
          <cell r="C2766">
            <v>83692104</v>
          </cell>
          <cell r="D2766" t="str">
            <v>ROB ROY 2104</v>
          </cell>
          <cell r="E2766">
            <v>6577</v>
          </cell>
          <cell r="F2766" t="b">
            <v>0</v>
          </cell>
          <cell r="G2766">
            <v>5581.4139146421903</v>
          </cell>
          <cell r="H2766">
            <v>5581.4139146421903</v>
          </cell>
          <cell r="I2766">
            <v>33</v>
          </cell>
          <cell r="J2766">
            <v>1.8058957269231801E-4</v>
          </cell>
          <cell r="K2766">
            <v>509</v>
          </cell>
          <cell r="L2766">
            <v>33.203736799363099</v>
          </cell>
          <cell r="M2766">
            <v>2318</v>
          </cell>
          <cell r="N2766">
            <v>8.9942579608076004E-3</v>
          </cell>
          <cell r="O2766">
            <v>2002</v>
          </cell>
          <cell r="Q2766">
            <v>3482</v>
          </cell>
        </row>
        <row r="2767">
          <cell r="B2767" t="str">
            <v>ROB ROY 21049973</v>
          </cell>
          <cell r="C2767">
            <v>83692104</v>
          </cell>
          <cell r="D2767" t="str">
            <v>ROB ROY 2104</v>
          </cell>
          <cell r="E2767">
            <v>9973</v>
          </cell>
          <cell r="F2767" t="b">
            <v>1</v>
          </cell>
          <cell r="G2767">
            <v>921.51823176058497</v>
          </cell>
          <cell r="H2767">
            <v>921.51823176058497</v>
          </cell>
          <cell r="I2767">
            <v>7</v>
          </cell>
          <cell r="J2767">
            <v>9.7760988865047693E-5</v>
          </cell>
          <cell r="K2767">
            <v>1697</v>
          </cell>
          <cell r="L2767">
            <v>6.6431229729116206E-2</v>
          </cell>
          <cell r="M2767">
            <v>3072</v>
          </cell>
          <cell r="N2767">
            <v>6.4943827098395603E-6</v>
          </cell>
          <cell r="O2767">
            <v>3192</v>
          </cell>
          <cell r="Q2767">
            <v>3027</v>
          </cell>
        </row>
        <row r="2768">
          <cell r="B2768" t="str">
            <v>ROB ROY 2104CB</v>
          </cell>
          <cell r="C2768">
            <v>83692104</v>
          </cell>
          <cell r="D2768" t="str">
            <v>ROB ROY 2104</v>
          </cell>
          <cell r="E2768" t="str">
            <v>CB</v>
          </cell>
          <cell r="F2768" t="b">
            <v>0</v>
          </cell>
          <cell r="G2768">
            <v>23033.379206698301</v>
          </cell>
          <cell r="H2768">
            <v>23033.379206698301</v>
          </cell>
          <cell r="I2768">
            <v>170</v>
          </cell>
          <cell r="J2768">
            <v>1.05137618618969E-4</v>
          </cell>
          <cell r="K2768">
            <v>1519</v>
          </cell>
          <cell r="L2768">
            <v>8.8710376294816804</v>
          </cell>
          <cell r="M2768">
            <v>2646</v>
          </cell>
          <cell r="N2768">
            <v>8.7440350721032902E-4</v>
          </cell>
          <cell r="O2768">
            <v>2658</v>
          </cell>
          <cell r="P2768">
            <v>0.65</v>
          </cell>
          <cell r="Q2768">
            <v>822</v>
          </cell>
        </row>
        <row r="2769">
          <cell r="B2769" t="str">
            <v>ROB ROY 210512474</v>
          </cell>
          <cell r="C2769">
            <v>83692105</v>
          </cell>
          <cell r="D2769" t="str">
            <v>ROB ROY 2105</v>
          </cell>
          <cell r="E2769">
            <v>12474</v>
          </cell>
          <cell r="F2769" t="b">
            <v>0</v>
          </cell>
          <cell r="G2769">
            <v>13789.0354782014</v>
          </cell>
          <cell r="H2769">
            <v>5487.3000736473196</v>
          </cell>
          <cell r="I2769">
            <v>105</v>
          </cell>
          <cell r="J2769">
            <v>7.0779246605178695E-5</v>
          </cell>
          <cell r="K2769">
            <v>2448</v>
          </cell>
          <cell r="L2769">
            <v>6.5612008670965796E-2</v>
          </cell>
          <cell r="M2769">
            <v>3333</v>
          </cell>
          <cell r="N2769">
            <v>4.6505346166318196E-6</v>
          </cell>
          <cell r="O2769">
            <v>3283</v>
          </cell>
          <cell r="P2769">
            <v>0.04</v>
          </cell>
          <cell r="Q2769">
            <v>2152</v>
          </cell>
        </row>
        <row r="2770">
          <cell r="B2770" t="str">
            <v>ROB ROY 210512584</v>
          </cell>
          <cell r="C2770">
            <v>83692105</v>
          </cell>
          <cell r="D2770" t="str">
            <v>ROB ROY 2105</v>
          </cell>
          <cell r="E2770">
            <v>12584</v>
          </cell>
          <cell r="F2770" t="b">
            <v>0</v>
          </cell>
          <cell r="G2770">
            <v>41638.889721319298</v>
          </cell>
          <cell r="H2770">
            <v>5651.1648454135702</v>
          </cell>
          <cell r="I2770">
            <v>297</v>
          </cell>
          <cell r="J2770">
            <v>5.9861225836172898E-5</v>
          </cell>
          <cell r="K2770">
            <v>2779</v>
          </cell>
          <cell r="L2770">
            <v>0.22528606066198001</v>
          </cell>
          <cell r="M2770">
            <v>2929</v>
          </cell>
          <cell r="N2770">
            <v>1.8188060634458801E-5</v>
          </cell>
          <cell r="O2770">
            <v>2974</v>
          </cell>
          <cell r="P2770">
            <v>0.03</v>
          </cell>
          <cell r="Q2770">
            <v>2245</v>
          </cell>
        </row>
        <row r="2771">
          <cell r="B2771" t="str">
            <v>ROB ROY 210512586</v>
          </cell>
          <cell r="C2771">
            <v>83692105</v>
          </cell>
          <cell r="D2771" t="str">
            <v>ROB ROY 2105</v>
          </cell>
          <cell r="E2771">
            <v>12586</v>
          </cell>
          <cell r="F2771" t="b">
            <v>0</v>
          </cell>
          <cell r="G2771">
            <v>10478.250612842899</v>
          </cell>
          <cell r="H2771">
            <v>3041.3303635040502</v>
          </cell>
          <cell r="I2771">
            <v>85</v>
          </cell>
          <cell r="J2771">
            <v>4.1068495182072898E-5</v>
          </cell>
          <cell r="K2771">
            <v>3241</v>
          </cell>
          <cell r="L2771">
            <v>6.5464440864675094E-2</v>
          </cell>
          <cell r="M2771">
            <v>3391</v>
          </cell>
          <cell r="N2771">
            <v>2.69703929647186E-6</v>
          </cell>
          <cell r="O2771">
            <v>3441</v>
          </cell>
          <cell r="P2771">
            <v>0.05</v>
          </cell>
          <cell r="Q2771">
            <v>2013</v>
          </cell>
        </row>
        <row r="2772">
          <cell r="B2772" t="str">
            <v>ROB ROY 210538430</v>
          </cell>
          <cell r="C2772">
            <v>83692105</v>
          </cell>
          <cell r="D2772" t="str">
            <v>ROB ROY 2105</v>
          </cell>
          <cell r="E2772">
            <v>38430</v>
          </cell>
          <cell r="F2772" t="b">
            <v>0</v>
          </cell>
          <cell r="G2772">
            <v>10237.4777237854</v>
          </cell>
          <cell r="H2772">
            <v>6060.3575350320798</v>
          </cell>
          <cell r="I2772">
            <v>90</v>
          </cell>
          <cell r="J2772">
            <v>5.3215155311887203E-5</v>
          </cell>
          <cell r="K2772">
            <v>2959</v>
          </cell>
          <cell r="L2772">
            <v>0.59377721473574596</v>
          </cell>
          <cell r="M2772">
            <v>2912</v>
          </cell>
          <cell r="N2772">
            <v>3.7767916393875103E-5</v>
          </cell>
          <cell r="O2772">
            <v>2918</v>
          </cell>
          <cell r="P2772">
            <v>0.19</v>
          </cell>
          <cell r="Q2772">
            <v>1175</v>
          </cell>
        </row>
        <row r="2773">
          <cell r="B2773" t="str">
            <v>ROB ROY 21055090</v>
          </cell>
          <cell r="C2773">
            <v>83692105</v>
          </cell>
          <cell r="D2773" t="str">
            <v>ROB ROY 2105</v>
          </cell>
          <cell r="E2773">
            <v>5090</v>
          </cell>
          <cell r="F2773" t="b">
            <v>0</v>
          </cell>
          <cell r="G2773">
            <v>34218.656570002902</v>
          </cell>
          <cell r="H2773">
            <v>34218.656570002902</v>
          </cell>
          <cell r="I2773">
            <v>245</v>
          </cell>
          <cell r="J2773">
            <v>1.06924834865506E-4</v>
          </cell>
          <cell r="K2773">
            <v>1476</v>
          </cell>
          <cell r="L2773">
            <v>6.8560630544323899</v>
          </cell>
          <cell r="M2773">
            <v>2689</v>
          </cell>
          <cell r="N2773">
            <v>7.4249207415256796E-4</v>
          </cell>
          <cell r="O2773">
            <v>2679</v>
          </cell>
          <cell r="P2773">
            <v>1.26</v>
          </cell>
          <cell r="Q2773">
            <v>691</v>
          </cell>
        </row>
        <row r="2774">
          <cell r="B2774" t="str">
            <v>ROB ROY 21055166</v>
          </cell>
          <cell r="C2774">
            <v>83692105</v>
          </cell>
          <cell r="D2774" t="str">
            <v>ROB ROY 2105</v>
          </cell>
          <cell r="E2774">
            <v>5166</v>
          </cell>
          <cell r="F2774" t="b">
            <v>0</v>
          </cell>
          <cell r="G2774">
            <v>8840.5785571237593</v>
          </cell>
          <cell r="H2774">
            <v>8840.5785571237593</v>
          </cell>
          <cell r="I2774">
            <v>81</v>
          </cell>
          <cell r="J2774">
            <v>9.56294584565186E-5</v>
          </cell>
          <cell r="K2774">
            <v>1737</v>
          </cell>
          <cell r="L2774">
            <v>3.5861599187792002</v>
          </cell>
          <cell r="M2774">
            <v>2788</v>
          </cell>
          <cell r="N2774">
            <v>2.8990560780155602E-4</v>
          </cell>
          <cell r="O2774">
            <v>2801</v>
          </cell>
          <cell r="P2774">
            <v>31.21</v>
          </cell>
          <cell r="Q2774">
            <v>231</v>
          </cell>
        </row>
        <row r="2775">
          <cell r="B2775" t="str">
            <v>ROB ROY 210571630</v>
          </cell>
          <cell r="C2775">
            <v>83692105</v>
          </cell>
          <cell r="D2775" t="str">
            <v>ROB ROY 2105</v>
          </cell>
          <cell r="E2775">
            <v>71630</v>
          </cell>
          <cell r="F2775" t="b">
            <v>0</v>
          </cell>
          <cell r="G2775">
            <v>3041.9597004975699</v>
          </cell>
          <cell r="H2775">
            <v>2182.1843229328701</v>
          </cell>
          <cell r="I2775">
            <v>26</v>
          </cell>
          <cell r="J2775">
            <v>1.02946875463553E-4</v>
          </cell>
          <cell r="K2775">
            <v>1569</v>
          </cell>
          <cell r="L2775">
            <v>6.60365498982943E-2</v>
          </cell>
          <cell r="M2775">
            <v>3211</v>
          </cell>
          <cell r="N2775">
            <v>6.8241023190801302E-6</v>
          </cell>
          <cell r="O2775">
            <v>3173</v>
          </cell>
          <cell r="P2775">
            <v>0.21</v>
          </cell>
          <cell r="Q2775">
            <v>1143</v>
          </cell>
        </row>
        <row r="2776">
          <cell r="B2776" t="str">
            <v>ROB ROY 2105CB</v>
          </cell>
          <cell r="C2776">
            <v>83692105</v>
          </cell>
          <cell r="D2776" t="str">
            <v>ROB ROY 2105</v>
          </cell>
          <cell r="E2776" t="str">
            <v>CB</v>
          </cell>
          <cell r="F2776" t="b">
            <v>0</v>
          </cell>
          <cell r="G2776">
            <v>2115.1185675882598</v>
          </cell>
          <cell r="H2776">
            <v>1181.1240946733601</v>
          </cell>
          <cell r="I2776">
            <v>17</v>
          </cell>
          <cell r="J2776">
            <v>7.5666845345147198E-5</v>
          </cell>
          <cell r="K2776">
            <v>2317</v>
          </cell>
          <cell r="L2776">
            <v>2.8607542506035601</v>
          </cell>
          <cell r="M2776">
            <v>2817</v>
          </cell>
          <cell r="N2776">
            <v>3.4682990716641501E-4</v>
          </cell>
          <cell r="O2776">
            <v>2781</v>
          </cell>
          <cell r="P2776">
            <v>0.04</v>
          </cell>
          <cell r="Q2776">
            <v>2077</v>
          </cell>
        </row>
        <row r="2777">
          <cell r="B2777" t="str">
            <v>ROSSMOOR 110168920</v>
          </cell>
          <cell r="C2777">
            <v>14161101</v>
          </cell>
          <cell r="D2777" t="str">
            <v>ROSSMOOR 1101</v>
          </cell>
          <cell r="E2777">
            <v>68920</v>
          </cell>
          <cell r="F2777" t="b">
            <v>0</v>
          </cell>
          <cell r="G2777">
            <v>11754.438162856701</v>
          </cell>
          <cell r="H2777">
            <v>10341.5361418795</v>
          </cell>
          <cell r="I2777">
            <v>91</v>
          </cell>
          <cell r="J2777">
            <v>9.0412506044510902E-5</v>
          </cell>
          <cell r="K2777">
            <v>1900</v>
          </cell>
          <cell r="L2777">
            <v>5.0243924901836001</v>
          </cell>
          <cell r="M2777">
            <v>2751</v>
          </cell>
          <cell r="N2777">
            <v>2.5769519915844202E-4</v>
          </cell>
          <cell r="O2777">
            <v>2812</v>
          </cell>
          <cell r="P2777">
            <v>0.16</v>
          </cell>
          <cell r="Q2777">
            <v>1274</v>
          </cell>
        </row>
        <row r="2778">
          <cell r="B2778" t="str">
            <v>ROSSMOOR 11018132</v>
          </cell>
          <cell r="C2778">
            <v>14161101</v>
          </cell>
          <cell r="D2778" t="str">
            <v>ROSSMOOR 1101</v>
          </cell>
          <cell r="E2778">
            <v>8132</v>
          </cell>
          <cell r="F2778" t="b">
            <v>0</v>
          </cell>
          <cell r="G2778">
            <v>5814.9581618455104</v>
          </cell>
          <cell r="H2778">
            <v>4248.0139655319099</v>
          </cell>
          <cell r="I2778">
            <v>47</v>
          </cell>
          <cell r="J2778">
            <v>9.8938458246808006E-5</v>
          </cell>
          <cell r="K2778">
            <v>1671</v>
          </cell>
          <cell r="L2778">
            <v>2.08828512099167</v>
          </cell>
          <cell r="M2778">
            <v>2837</v>
          </cell>
          <cell r="N2778">
            <v>2.0336518814804399E-4</v>
          </cell>
          <cell r="O2778">
            <v>2836</v>
          </cell>
          <cell r="P2778">
            <v>0.04</v>
          </cell>
          <cell r="Q2778">
            <v>2079</v>
          </cell>
        </row>
        <row r="2779">
          <cell r="B2779" t="str">
            <v>ROSSMOOR 110181770</v>
          </cell>
          <cell r="C2779">
            <v>14161101</v>
          </cell>
          <cell r="D2779" t="str">
            <v>ROSSMOOR 1101</v>
          </cell>
          <cell r="E2779">
            <v>81770</v>
          </cell>
          <cell r="F2779" t="b">
            <v>1</v>
          </cell>
          <cell r="G2779">
            <v>2254.8682302954599</v>
          </cell>
          <cell r="H2779">
            <v>110.42245055572801</v>
          </cell>
          <cell r="I2779">
            <v>21</v>
          </cell>
          <cell r="J2779">
            <v>8.9057629728423701E-5</v>
          </cell>
          <cell r="K2779">
            <v>1945</v>
          </cell>
          <cell r="L2779">
            <v>6.5148189744365606E-2</v>
          </cell>
          <cell r="M2779">
            <v>3588</v>
          </cell>
          <cell r="N2779">
            <v>5.8019433597308003E-6</v>
          </cell>
          <cell r="O2779">
            <v>3220</v>
          </cell>
          <cell r="Q2779">
            <v>3289</v>
          </cell>
        </row>
        <row r="2780">
          <cell r="B2780" t="str">
            <v>ROSSMOOR 1101L503R</v>
          </cell>
          <cell r="C2780">
            <v>14161101</v>
          </cell>
          <cell r="D2780" t="str">
            <v>ROSSMOOR 1101</v>
          </cell>
          <cell r="E2780" t="str">
            <v>L503R</v>
          </cell>
          <cell r="F2780" t="b">
            <v>0</v>
          </cell>
          <cell r="G2780">
            <v>6910.8038098259904</v>
          </cell>
          <cell r="H2780">
            <v>6910.8038098259904</v>
          </cell>
          <cell r="I2780">
            <v>62</v>
          </cell>
          <cell r="J2780">
            <v>1.05887407170807E-4</v>
          </cell>
          <cell r="K2780">
            <v>1498</v>
          </cell>
          <cell r="L2780">
            <v>0.832924329236156</v>
          </cell>
          <cell r="M2780">
            <v>2901</v>
          </cell>
          <cell r="N2780">
            <v>4.87308393888161E-5</v>
          </cell>
          <cell r="O2780">
            <v>2902</v>
          </cell>
          <cell r="P2780">
            <v>0.09</v>
          </cell>
          <cell r="Q2780">
            <v>1547</v>
          </cell>
        </row>
        <row r="2781">
          <cell r="B2781" t="str">
            <v>ROSSMOOR 1102457174</v>
          </cell>
          <cell r="C2781">
            <v>14161102</v>
          </cell>
          <cell r="D2781" t="str">
            <v>ROSSMOOR 1102</v>
          </cell>
          <cell r="E2781">
            <v>457174</v>
          </cell>
          <cell r="F2781" t="b">
            <v>1</v>
          </cell>
          <cell r="G2781">
            <v>1940.650704804</v>
          </cell>
          <cell r="H2781">
            <v>925.54513201560098</v>
          </cell>
          <cell r="I2781">
            <v>14</v>
          </cell>
          <cell r="J2781">
            <v>1.15831981579853E-4</v>
          </cell>
          <cell r="K2781">
            <v>1277</v>
          </cell>
          <cell r="L2781">
            <v>1.7636355088858999</v>
          </cell>
          <cell r="M2781">
            <v>2850</v>
          </cell>
          <cell r="N2781">
            <v>4.8347814617887502E-4</v>
          </cell>
          <cell r="O2781">
            <v>2739</v>
          </cell>
          <cell r="Q2781">
            <v>3313</v>
          </cell>
        </row>
        <row r="2782">
          <cell r="B2782" t="str">
            <v>ROSSMOOR 110479146</v>
          </cell>
          <cell r="C2782">
            <v>14161104</v>
          </cell>
          <cell r="D2782" t="str">
            <v>ROSSMOOR 1104</v>
          </cell>
          <cell r="E2782">
            <v>79146</v>
          </cell>
          <cell r="F2782" t="b">
            <v>1</v>
          </cell>
          <cell r="G2782">
            <v>3115.0804014432301</v>
          </cell>
          <cell r="H2782">
            <v>85.6156696299076</v>
          </cell>
          <cell r="I2782">
            <v>28</v>
          </cell>
          <cell r="J2782">
            <v>8.3511915296117796E-5</v>
          </cell>
          <cell r="K2782">
            <v>2114</v>
          </cell>
          <cell r="L2782">
            <v>6.5194031491901797E-2</v>
          </cell>
          <cell r="M2782">
            <v>3514</v>
          </cell>
          <cell r="N2782">
            <v>5.4510035504332797E-6</v>
          </cell>
          <cell r="O2782">
            <v>3239</v>
          </cell>
          <cell r="P2782">
            <v>0.02</v>
          </cell>
          <cell r="Q2782">
            <v>2490</v>
          </cell>
        </row>
        <row r="2783">
          <cell r="B2783" t="str">
            <v>ROSSMOOR 1104892332</v>
          </cell>
          <cell r="C2783">
            <v>14161104</v>
          </cell>
          <cell r="D2783" t="str">
            <v>ROSSMOOR 1104</v>
          </cell>
          <cell r="E2783">
            <v>892332</v>
          </cell>
          <cell r="F2783" t="b">
            <v>1</v>
          </cell>
          <cell r="G2783">
            <v>410.22303084879098</v>
          </cell>
          <cell r="H2783">
            <v>410.22303084879098</v>
          </cell>
          <cell r="I2783">
            <v>4</v>
          </cell>
          <cell r="J2783">
            <v>1.08434393951029E-4</v>
          </cell>
          <cell r="K2783">
            <v>1438</v>
          </cell>
          <cell r="L2783">
            <v>6.6431758675379496E-2</v>
          </cell>
          <cell r="M2783">
            <v>2994</v>
          </cell>
          <cell r="N2783">
            <v>7.2034874910657901E-6</v>
          </cell>
          <cell r="O2783">
            <v>3155</v>
          </cell>
          <cell r="Q2783">
            <v>3332</v>
          </cell>
        </row>
        <row r="2784">
          <cell r="B2784" t="str">
            <v>ROSSMOOR 1104CB</v>
          </cell>
          <cell r="C2784">
            <v>14161104</v>
          </cell>
          <cell r="D2784" t="str">
            <v>ROSSMOOR 1104</v>
          </cell>
          <cell r="E2784" t="str">
            <v>CB</v>
          </cell>
          <cell r="F2784" t="b">
            <v>1</v>
          </cell>
          <cell r="G2784">
            <v>17820.871304739099</v>
          </cell>
          <cell r="H2784">
            <v>0</v>
          </cell>
          <cell r="I2784">
            <v>150</v>
          </cell>
          <cell r="J2784">
            <v>1.0626202876285501E-4</v>
          </cell>
          <cell r="K2784">
            <v>1491</v>
          </cell>
          <cell r="L2784">
            <v>6.5148189744365495E-2</v>
          </cell>
          <cell r="M2784">
            <v>3591</v>
          </cell>
          <cell r="N2784">
            <v>6.9227788124637402E-6</v>
          </cell>
          <cell r="O2784">
            <v>3168</v>
          </cell>
          <cell r="Q2784">
            <v>2669</v>
          </cell>
        </row>
        <row r="2785">
          <cell r="B2785" t="str">
            <v>ROSSMOOR 110639424</v>
          </cell>
          <cell r="C2785">
            <v>14161106</v>
          </cell>
          <cell r="D2785" t="str">
            <v>ROSSMOOR 1106</v>
          </cell>
          <cell r="E2785">
            <v>39424</v>
          </cell>
          <cell r="F2785" t="b">
            <v>0</v>
          </cell>
          <cell r="G2785">
            <v>3992.92251291087</v>
          </cell>
          <cell r="H2785">
            <v>1481.6597528473701</v>
          </cell>
          <cell r="I2785">
            <v>36</v>
          </cell>
          <cell r="J2785">
            <v>9.8000436029157194E-5</v>
          </cell>
          <cell r="K2785">
            <v>1690</v>
          </cell>
          <cell r="L2785">
            <v>17.491493375564598</v>
          </cell>
          <cell r="M2785">
            <v>2491</v>
          </cell>
          <cell r="N2785">
            <v>1.67537051157194E-3</v>
          </cell>
          <cell r="O2785">
            <v>2525</v>
          </cell>
          <cell r="Q2785">
            <v>3138</v>
          </cell>
        </row>
        <row r="2786">
          <cell r="B2786" t="str">
            <v>ROSSMOOR 110676468</v>
          </cell>
          <cell r="C2786">
            <v>14161106</v>
          </cell>
          <cell r="D2786" t="str">
            <v>ROSSMOOR 1106</v>
          </cell>
          <cell r="E2786">
            <v>76468</v>
          </cell>
          <cell r="F2786" t="b">
            <v>0</v>
          </cell>
          <cell r="G2786">
            <v>4744.0084540163298</v>
          </cell>
          <cell r="H2786">
            <v>1281.0775636776</v>
          </cell>
          <cell r="I2786">
            <v>35</v>
          </cell>
          <cell r="J2786">
            <v>9.8202254282244003E-5</v>
          </cell>
          <cell r="K2786">
            <v>1686</v>
          </cell>
          <cell r="L2786">
            <v>6.39721995256724</v>
          </cell>
          <cell r="M2786">
            <v>2700</v>
          </cell>
          <cell r="N2786">
            <v>7.8904640731463E-4</v>
          </cell>
          <cell r="O2786">
            <v>2674</v>
          </cell>
          <cell r="P2786">
            <v>0.03</v>
          </cell>
          <cell r="Q2786">
            <v>2373</v>
          </cell>
        </row>
        <row r="2787">
          <cell r="B2787" t="str">
            <v>ROSSMOOR 1106CB</v>
          </cell>
          <cell r="C2787">
            <v>14161106</v>
          </cell>
          <cell r="D2787" t="str">
            <v>ROSSMOOR 1106</v>
          </cell>
          <cell r="E2787" t="str">
            <v>CB</v>
          </cell>
          <cell r="F2787" t="b">
            <v>0</v>
          </cell>
          <cell r="G2787">
            <v>7735.77333185312</v>
          </cell>
          <cell r="H2787">
            <v>2937.1415421628999</v>
          </cell>
          <cell r="I2787">
            <v>60</v>
          </cell>
          <cell r="J2787">
            <v>7.5124322146451504E-5</v>
          </cell>
          <cell r="K2787">
            <v>2330</v>
          </cell>
          <cell r="L2787">
            <v>1.64970681359908</v>
          </cell>
          <cell r="M2787">
            <v>2856</v>
          </cell>
          <cell r="N2787">
            <v>5.1594419393231201E-6</v>
          </cell>
          <cell r="O2787">
            <v>3259</v>
          </cell>
          <cell r="P2787">
            <v>0.22</v>
          </cell>
          <cell r="Q2787">
            <v>1133</v>
          </cell>
        </row>
        <row r="2788">
          <cell r="B2788" t="str">
            <v>ROSSMOOR 1106L522R</v>
          </cell>
          <cell r="C2788">
            <v>14161106</v>
          </cell>
          <cell r="D2788" t="str">
            <v>ROSSMOOR 1106</v>
          </cell>
          <cell r="E2788" t="str">
            <v>L522R</v>
          </cell>
          <cell r="F2788" t="b">
            <v>0</v>
          </cell>
          <cell r="G2788">
            <v>6797.2077213206303</v>
          </cell>
          <cell r="H2788">
            <v>3031.8636220513199</v>
          </cell>
          <cell r="I2788">
            <v>56</v>
          </cell>
          <cell r="J2788">
            <v>7.9524693269790499E-5</v>
          </cell>
          <cell r="K2788">
            <v>2221</v>
          </cell>
          <cell r="L2788">
            <v>6.5744132462336402E-2</v>
          </cell>
          <cell r="M2788">
            <v>3296</v>
          </cell>
          <cell r="N2788">
            <v>5.2550192300655199E-6</v>
          </cell>
          <cell r="O2788">
            <v>3254</v>
          </cell>
          <cell r="P2788">
            <v>1.17</v>
          </cell>
          <cell r="Q2788">
            <v>704</v>
          </cell>
        </row>
        <row r="2789">
          <cell r="B2789" t="str">
            <v>ROSSMOOR 1106L541R</v>
          </cell>
          <cell r="C2789">
            <v>14161106</v>
          </cell>
          <cell r="D2789" t="str">
            <v>ROSSMOOR 1106</v>
          </cell>
          <cell r="E2789" t="str">
            <v>L541R</v>
          </cell>
          <cell r="F2789" t="b">
            <v>1</v>
          </cell>
          <cell r="G2789">
            <v>978.58780733193203</v>
          </cell>
          <cell r="H2789">
            <v>0</v>
          </cell>
          <cell r="I2789">
            <v>11</v>
          </cell>
          <cell r="J2789">
            <v>4.5011026213614897E-5</v>
          </cell>
          <cell r="K2789">
            <v>3159</v>
          </cell>
          <cell r="L2789">
            <v>6.5148189744365606E-2</v>
          </cell>
          <cell r="M2789">
            <v>3586</v>
          </cell>
          <cell r="N2789">
            <v>2.9323868763531999E-6</v>
          </cell>
          <cell r="O2789">
            <v>3419</v>
          </cell>
          <cell r="Q2789">
            <v>3233</v>
          </cell>
        </row>
        <row r="2790">
          <cell r="B2790" t="str">
            <v>ROSSMOOR 1107857172</v>
          </cell>
          <cell r="C2790">
            <v>14161107</v>
          </cell>
          <cell r="D2790" t="str">
            <v>ROSSMOOR 1107</v>
          </cell>
          <cell r="E2790">
            <v>857172</v>
          </cell>
          <cell r="F2790" t="b">
            <v>1</v>
          </cell>
          <cell r="G2790">
            <v>1843.2098616891799</v>
          </cell>
          <cell r="H2790">
            <v>152.03856011237099</v>
          </cell>
          <cell r="I2790">
            <v>15</v>
          </cell>
          <cell r="J2790">
            <v>8.7874124022034402E-5</v>
          </cell>
          <cell r="K2790">
            <v>1986</v>
          </cell>
          <cell r="L2790">
            <v>3.22840883806357</v>
          </cell>
          <cell r="M2790">
            <v>2803</v>
          </cell>
          <cell r="N2790">
            <v>2.29919994773485E-4</v>
          </cell>
          <cell r="O2790">
            <v>2822</v>
          </cell>
          <cell r="Q2790">
            <v>3212</v>
          </cell>
        </row>
        <row r="2791">
          <cell r="B2791" t="str">
            <v>ROSSMOOR 110837848</v>
          </cell>
          <cell r="C2791">
            <v>14161108</v>
          </cell>
          <cell r="D2791" t="str">
            <v>ROSSMOOR 1108</v>
          </cell>
          <cell r="E2791">
            <v>37848</v>
          </cell>
          <cell r="F2791" t="b">
            <v>0</v>
          </cell>
          <cell r="G2791">
            <v>9580.5994251812008</v>
          </cell>
          <cell r="H2791">
            <v>9580.5994251812008</v>
          </cell>
          <cell r="I2791">
            <v>60</v>
          </cell>
          <cell r="J2791">
            <v>7.1725174257153393E-5</v>
          </cell>
          <cell r="K2791">
            <v>2430</v>
          </cell>
          <cell r="L2791">
            <v>176.94819301711601</v>
          </cell>
          <cell r="M2791">
            <v>1691</v>
          </cell>
          <cell r="N2791">
            <v>1.0901081852565201E-2</v>
          </cell>
          <cell r="O2791">
            <v>1925</v>
          </cell>
          <cell r="P2791">
            <v>39.39</v>
          </cell>
          <cell r="Q2791">
            <v>189</v>
          </cell>
        </row>
        <row r="2792">
          <cell r="B2792" t="str">
            <v>ROSSMOOR 110845268</v>
          </cell>
          <cell r="C2792">
            <v>14161108</v>
          </cell>
          <cell r="D2792" t="str">
            <v>ROSSMOOR 1108</v>
          </cell>
          <cell r="E2792">
            <v>45268</v>
          </cell>
          <cell r="F2792" t="b">
            <v>0</v>
          </cell>
          <cell r="G2792">
            <v>12405.156265115</v>
          </cell>
          <cell r="H2792">
            <v>4400.5556564752596</v>
          </cell>
          <cell r="I2792">
            <v>112</v>
          </cell>
          <cell r="J2792">
            <v>8.3436668668517602E-5</v>
          </cell>
          <cell r="K2792">
            <v>2119</v>
          </cell>
          <cell r="L2792">
            <v>27.491784229683301</v>
          </cell>
          <cell r="M2792">
            <v>2366</v>
          </cell>
          <cell r="N2792">
            <v>2.4458379405507299E-3</v>
          </cell>
          <cell r="O2792">
            <v>2417</v>
          </cell>
          <cell r="P2792">
            <v>0.06</v>
          </cell>
          <cell r="Q2792">
            <v>1780</v>
          </cell>
        </row>
        <row r="2793">
          <cell r="B2793" t="str">
            <v>ROSSMOOR 1108CB</v>
          </cell>
          <cell r="C2793">
            <v>14161108</v>
          </cell>
          <cell r="D2793" t="str">
            <v>ROSSMOOR 1108</v>
          </cell>
          <cell r="E2793" t="str">
            <v>CB</v>
          </cell>
          <cell r="F2793" t="b">
            <v>0</v>
          </cell>
          <cell r="G2793">
            <v>11748.894893877099</v>
          </cell>
          <cell r="H2793">
            <v>6728.9489451210302</v>
          </cell>
          <cell r="I2793">
            <v>92</v>
          </cell>
          <cell r="J2793">
            <v>9.2885668971495796E-5</v>
          </cell>
          <cell r="K2793">
            <v>1826</v>
          </cell>
          <cell r="L2793">
            <v>6.3592091687451697</v>
          </cell>
          <cell r="M2793">
            <v>2703</v>
          </cell>
          <cell r="N2793">
            <v>7.6238396939314198E-4</v>
          </cell>
          <cell r="O2793">
            <v>2676</v>
          </cell>
          <cell r="P2793">
            <v>0.16</v>
          </cell>
          <cell r="Q2793">
            <v>1251</v>
          </cell>
        </row>
        <row r="2794">
          <cell r="B2794" t="str">
            <v>ROSSMOOR 1109CB</v>
          </cell>
          <cell r="C2794">
            <v>14161109</v>
          </cell>
          <cell r="D2794" t="str">
            <v>ROSSMOOR 1109</v>
          </cell>
          <cell r="E2794" t="str">
            <v>CB</v>
          </cell>
          <cell r="F2794" t="b">
            <v>1</v>
          </cell>
          <cell r="G2794">
            <v>244.70233051063099</v>
          </cell>
          <cell r="H2794">
            <v>7.5709911595361996</v>
          </cell>
          <cell r="I2794">
            <v>6</v>
          </cell>
          <cell r="J2794">
            <v>8.8687682728050201E-5</v>
          </cell>
          <cell r="K2794">
            <v>1962</v>
          </cell>
          <cell r="L2794">
            <v>31.697968555763499</v>
          </cell>
          <cell r="M2794">
            <v>2332</v>
          </cell>
          <cell r="N2794">
            <v>1.32097971081888E-3</v>
          </cell>
          <cell r="O2794">
            <v>2580</v>
          </cell>
          <cell r="Q2794">
            <v>3593</v>
          </cell>
        </row>
        <row r="2795">
          <cell r="B2795" t="str">
            <v>SALMON CREEK 1101194</v>
          </cell>
          <cell r="C2795">
            <v>43161101</v>
          </cell>
          <cell r="D2795" t="str">
            <v>SALMON CREEK 1101</v>
          </cell>
          <cell r="E2795">
            <v>194</v>
          </cell>
          <cell r="F2795" t="b">
            <v>0</v>
          </cell>
          <cell r="G2795">
            <v>13676.5570077304</v>
          </cell>
          <cell r="H2795">
            <v>10907.743852498899</v>
          </cell>
          <cell r="I2795">
            <v>62</v>
          </cell>
          <cell r="J2795">
            <v>5.7736872353505802E-5</v>
          </cell>
          <cell r="K2795">
            <v>2843</v>
          </cell>
          <cell r="L2795">
            <v>536.06604140155696</v>
          </cell>
          <cell r="M2795">
            <v>1162</v>
          </cell>
          <cell r="N2795">
            <v>3.6140467019800601E-2</v>
          </cell>
          <cell r="O2795">
            <v>1352</v>
          </cell>
          <cell r="P2795">
            <v>0.13</v>
          </cell>
          <cell r="Q2795">
            <v>1363</v>
          </cell>
        </row>
        <row r="2796">
          <cell r="B2796" t="str">
            <v>SALMON CREEK 1101196</v>
          </cell>
          <cell r="C2796">
            <v>43161101</v>
          </cell>
          <cell r="D2796" t="str">
            <v>SALMON CREEK 1101</v>
          </cell>
          <cell r="E2796">
            <v>196</v>
          </cell>
          <cell r="F2796" t="b">
            <v>0</v>
          </cell>
          <cell r="G2796">
            <v>11699.1956635037</v>
          </cell>
          <cell r="H2796">
            <v>9030.0657247520194</v>
          </cell>
          <cell r="I2796">
            <v>36</v>
          </cell>
          <cell r="J2796">
            <v>5.8544029646630698E-5</v>
          </cell>
          <cell r="K2796">
            <v>2820</v>
          </cell>
          <cell r="L2796">
            <v>2429.7049060397599</v>
          </cell>
          <cell r="M2796">
            <v>356</v>
          </cell>
          <cell r="N2796">
            <v>0.147548794573297</v>
          </cell>
          <cell r="O2796">
            <v>533</v>
          </cell>
          <cell r="P2796">
            <v>1.88</v>
          </cell>
          <cell r="Q2796">
            <v>635</v>
          </cell>
        </row>
        <row r="2797">
          <cell r="B2797" t="str">
            <v>SALMON CREEK 110137368</v>
          </cell>
          <cell r="C2797">
            <v>43161101</v>
          </cell>
          <cell r="D2797" t="str">
            <v>SALMON CREEK 1101</v>
          </cell>
          <cell r="E2797">
            <v>37368</v>
          </cell>
          <cell r="F2797" t="b">
            <v>0</v>
          </cell>
          <cell r="G2797">
            <v>9786.5771903727291</v>
          </cell>
          <cell r="H2797">
            <v>9786.5771903727291</v>
          </cell>
          <cell r="I2797">
            <v>48</v>
          </cell>
          <cell r="J2797">
            <v>7.0320243311369998E-5</v>
          </cell>
          <cell r="K2797">
            <v>2459</v>
          </cell>
          <cell r="L2797">
            <v>880.13074577553198</v>
          </cell>
          <cell r="M2797">
            <v>892</v>
          </cell>
          <cell r="N2797">
            <v>5.6596191886525302E-2</v>
          </cell>
          <cell r="O2797">
            <v>1101</v>
          </cell>
          <cell r="P2797">
            <v>0.06</v>
          </cell>
          <cell r="Q2797">
            <v>1898</v>
          </cell>
        </row>
        <row r="2798">
          <cell r="B2798" t="str">
            <v>SALMON CREEK 1101461703</v>
          </cell>
          <cell r="C2798">
            <v>43161101</v>
          </cell>
          <cell r="D2798" t="str">
            <v>SALMON CREEK 1101</v>
          </cell>
          <cell r="E2798">
            <v>461703</v>
          </cell>
          <cell r="F2798" t="b">
            <v>0</v>
          </cell>
          <cell r="G2798">
            <v>1414.64997841887</v>
          </cell>
          <cell r="H2798">
            <v>1414.64997841887</v>
          </cell>
          <cell r="I2798">
            <v>8</v>
          </cell>
          <cell r="J2798">
            <v>7.7835341130594302E-5</v>
          </cell>
          <cell r="K2798">
            <v>2265</v>
          </cell>
          <cell r="L2798">
            <v>327.19899659045001</v>
          </cell>
          <cell r="M2798">
            <v>1402</v>
          </cell>
          <cell r="N2798">
            <v>5.6139737341783999E-2</v>
          </cell>
          <cell r="O2798">
            <v>1107</v>
          </cell>
          <cell r="Q2798">
            <v>3274</v>
          </cell>
        </row>
        <row r="2799">
          <cell r="B2799" t="str">
            <v>SALMON CREEK 110188998</v>
          </cell>
          <cell r="C2799">
            <v>43161101</v>
          </cell>
          <cell r="D2799" t="str">
            <v>SALMON CREEK 1101</v>
          </cell>
          <cell r="E2799">
            <v>88998</v>
          </cell>
          <cell r="F2799" t="b">
            <v>0</v>
          </cell>
          <cell r="G2799">
            <v>22218.031385920902</v>
          </cell>
          <cell r="H2799">
            <v>12794.9323936534</v>
          </cell>
          <cell r="I2799">
            <v>116</v>
          </cell>
          <cell r="J2799">
            <v>8.7490493155073301E-5</v>
          </cell>
          <cell r="K2799">
            <v>2000</v>
          </cell>
          <cell r="L2799">
            <v>1675.3538059882001</v>
          </cell>
          <cell r="M2799">
            <v>531</v>
          </cell>
          <cell r="N2799">
            <v>0.153515999604912</v>
          </cell>
          <cell r="O2799">
            <v>498</v>
          </cell>
          <cell r="P2799">
            <v>12.75</v>
          </cell>
          <cell r="Q2799">
            <v>368</v>
          </cell>
        </row>
        <row r="2800">
          <cell r="B2800" t="str">
            <v>SALT SPRINGS 210110416</v>
          </cell>
          <cell r="C2800">
            <v>163692101</v>
          </cell>
          <cell r="D2800" t="str">
            <v>SALT SPRINGS 2101</v>
          </cell>
          <cell r="E2800">
            <v>10416</v>
          </cell>
          <cell r="F2800" t="b">
            <v>0</v>
          </cell>
          <cell r="G2800">
            <v>1110.19760988745</v>
          </cell>
          <cell r="H2800">
            <v>1110.19760988745</v>
          </cell>
          <cell r="I2800">
            <v>7</v>
          </cell>
          <cell r="J2800">
            <v>1.07883167012395E-4</v>
          </cell>
          <cell r="K2800">
            <v>1452</v>
          </cell>
          <cell r="L2800">
            <v>1426.8175285423099</v>
          </cell>
          <cell r="M2800">
            <v>628</v>
          </cell>
          <cell r="N2800">
            <v>0.13249776107673999</v>
          </cell>
          <cell r="O2800">
            <v>596</v>
          </cell>
          <cell r="P2800">
            <v>0.02</v>
          </cell>
          <cell r="Q2800">
            <v>2491</v>
          </cell>
        </row>
        <row r="2801">
          <cell r="B2801" t="str">
            <v>SALT SPRINGS 21011216</v>
          </cell>
          <cell r="C2801">
            <v>163692101</v>
          </cell>
          <cell r="D2801" t="str">
            <v>SALT SPRINGS 2101</v>
          </cell>
          <cell r="E2801">
            <v>1216</v>
          </cell>
          <cell r="F2801" t="b">
            <v>0</v>
          </cell>
          <cell r="G2801">
            <v>8821.9490973187403</v>
          </cell>
          <cell r="H2801">
            <v>8821.9490973187403</v>
          </cell>
          <cell r="I2801">
            <v>32</v>
          </cell>
          <cell r="J2801">
            <v>4.4432463783455302E-5</v>
          </cell>
          <cell r="K2801">
            <v>3178</v>
          </cell>
          <cell r="L2801">
            <v>673.26468219848596</v>
          </cell>
          <cell r="M2801">
            <v>1041</v>
          </cell>
          <cell r="N2801">
            <v>4.7960074772233498E-2</v>
          </cell>
          <cell r="O2801">
            <v>1199</v>
          </cell>
          <cell r="P2801">
            <v>0.02</v>
          </cell>
          <cell r="Q2801">
            <v>2470</v>
          </cell>
        </row>
        <row r="2802">
          <cell r="B2802" t="str">
            <v>SALT SPRINGS 21011232</v>
          </cell>
          <cell r="C2802">
            <v>163692101</v>
          </cell>
          <cell r="D2802" t="str">
            <v>SALT SPRINGS 2101</v>
          </cell>
          <cell r="E2802">
            <v>1232</v>
          </cell>
          <cell r="F2802" t="b">
            <v>0</v>
          </cell>
          <cell r="G2802">
            <v>14610.2629510238</v>
          </cell>
          <cell r="H2802">
            <v>12420.8061412058</v>
          </cell>
          <cell r="I2802">
            <v>64</v>
          </cell>
          <cell r="J2802">
            <v>4.2772253720136497E-5</v>
          </cell>
          <cell r="K2802">
            <v>3212</v>
          </cell>
          <cell r="L2802">
            <v>1.549292729392</v>
          </cell>
          <cell r="M2802">
            <v>2862</v>
          </cell>
          <cell r="N2802">
            <v>9.0863528286408706E-5</v>
          </cell>
          <cell r="O2802">
            <v>2879</v>
          </cell>
          <cell r="P2802">
            <v>0.05</v>
          </cell>
          <cell r="Q2802">
            <v>2007</v>
          </cell>
        </row>
        <row r="2803">
          <cell r="B2803" t="str">
            <v>SALT SPRINGS 21013116</v>
          </cell>
          <cell r="C2803">
            <v>163692101</v>
          </cell>
          <cell r="D2803" t="str">
            <v>SALT SPRINGS 2101</v>
          </cell>
          <cell r="E2803">
            <v>3116</v>
          </cell>
          <cell r="F2803" t="b">
            <v>0</v>
          </cell>
          <cell r="G2803">
            <v>1685.10428417143</v>
          </cell>
          <cell r="H2803">
            <v>1250.9686609559101</v>
          </cell>
          <cell r="I2803">
            <v>10</v>
          </cell>
          <cell r="J2803">
            <v>2.4548885085096102E-5</v>
          </cell>
          <cell r="K2803">
            <v>3500</v>
          </cell>
          <cell r="L2803">
            <v>6.61754614666209E-2</v>
          </cell>
          <cell r="M2803">
            <v>3176</v>
          </cell>
          <cell r="N2803">
            <v>1.6267480068139399E-6</v>
          </cell>
          <cell r="O2803">
            <v>3542</v>
          </cell>
          <cell r="P2803">
            <v>0.01</v>
          </cell>
          <cell r="Q2803">
            <v>2592</v>
          </cell>
        </row>
        <row r="2804">
          <cell r="B2804" t="str">
            <v>SALT SPRINGS 21014913</v>
          </cell>
          <cell r="C2804">
            <v>163692101</v>
          </cell>
          <cell r="D2804" t="str">
            <v>SALT SPRINGS 2101</v>
          </cell>
          <cell r="E2804">
            <v>4913</v>
          </cell>
          <cell r="F2804" t="b">
            <v>0</v>
          </cell>
          <cell r="G2804">
            <v>6065.3094303858097</v>
          </cell>
          <cell r="H2804">
            <v>6065.3094303858097</v>
          </cell>
          <cell r="I2804">
            <v>54</v>
          </cell>
          <cell r="J2804">
            <v>1.9828845324809599E-5</v>
          </cell>
          <cell r="K2804">
            <v>3546</v>
          </cell>
          <cell r="L2804">
            <v>0.94688077992470499</v>
          </cell>
          <cell r="M2804">
            <v>2897</v>
          </cell>
          <cell r="N2804">
            <v>1.4644732320374899E-5</v>
          </cell>
          <cell r="O2804">
            <v>3012</v>
          </cell>
          <cell r="P2804">
            <v>0.02</v>
          </cell>
          <cell r="Q2804">
            <v>2519</v>
          </cell>
        </row>
        <row r="2805">
          <cell r="B2805" t="str">
            <v>SALT SPRINGS 21023116</v>
          </cell>
          <cell r="C2805">
            <v>163692102</v>
          </cell>
          <cell r="D2805" t="str">
            <v>SALT SPRINGS 2102</v>
          </cell>
          <cell r="E2805">
            <v>3116</v>
          </cell>
          <cell r="F2805" t="b">
            <v>1</v>
          </cell>
          <cell r="G2805">
            <v>87.147480517098899</v>
          </cell>
          <cell r="H2805">
            <v>87.147480517098899</v>
          </cell>
          <cell r="I2805">
            <v>2</v>
          </cell>
          <cell r="J2805">
            <v>6.9020868977531696E-5</v>
          </cell>
          <cell r="K2805">
            <v>2507</v>
          </cell>
          <cell r="L2805">
            <v>6.6431229729116206E-2</v>
          </cell>
          <cell r="M2805">
            <v>3085</v>
          </cell>
          <cell r="N2805">
            <v>4.5851412031496402E-6</v>
          </cell>
          <cell r="O2805">
            <v>3289</v>
          </cell>
          <cell r="Q2805">
            <v>3514</v>
          </cell>
        </row>
        <row r="2806">
          <cell r="B2806" t="str">
            <v>SALT SPRINGS 21023142</v>
          </cell>
          <cell r="C2806">
            <v>163692102</v>
          </cell>
          <cell r="D2806" t="str">
            <v>SALT SPRINGS 2102</v>
          </cell>
          <cell r="E2806">
            <v>3142</v>
          </cell>
          <cell r="F2806" t="b">
            <v>0</v>
          </cell>
          <cell r="G2806">
            <v>28901.728294740002</v>
          </cell>
          <cell r="H2806">
            <v>28901.728294740002</v>
          </cell>
          <cell r="I2806">
            <v>256</v>
          </cell>
          <cell r="J2806">
            <v>8.7499087410236598E-5</v>
          </cell>
          <cell r="K2806">
            <v>1999</v>
          </cell>
          <cell r="L2806">
            <v>11.303921259110201</v>
          </cell>
          <cell r="M2806">
            <v>2600</v>
          </cell>
          <cell r="N2806">
            <v>8.61752823082915E-4</v>
          </cell>
          <cell r="O2806">
            <v>2659</v>
          </cell>
          <cell r="P2806">
            <v>128.19999999999999</v>
          </cell>
          <cell r="Q2806">
            <v>8</v>
          </cell>
        </row>
        <row r="2807">
          <cell r="B2807" t="str">
            <v>SALT SPRINGS 210237300</v>
          </cell>
          <cell r="C2807">
            <v>163692102</v>
          </cell>
          <cell r="D2807" t="str">
            <v>SALT SPRINGS 2102</v>
          </cell>
          <cell r="E2807">
            <v>37300</v>
          </cell>
          <cell r="F2807" t="b">
            <v>0</v>
          </cell>
          <cell r="G2807">
            <v>11208.5924453765</v>
          </cell>
          <cell r="H2807">
            <v>11208.5924453765</v>
          </cell>
          <cell r="I2807">
            <v>41</v>
          </cell>
          <cell r="J2807">
            <v>9.1788178633578303E-5</v>
          </cell>
          <cell r="K2807">
            <v>1851</v>
          </cell>
          <cell r="L2807">
            <v>39.494633861183303</v>
          </cell>
          <cell r="M2807">
            <v>2278</v>
          </cell>
          <cell r="N2807">
            <v>3.4151866712787099E-3</v>
          </cell>
          <cell r="O2807">
            <v>2301</v>
          </cell>
          <cell r="P2807">
            <v>37.82</v>
          </cell>
          <cell r="Q2807">
            <v>198</v>
          </cell>
        </row>
        <row r="2808">
          <cell r="B2808" t="str">
            <v>SALT SPRINGS 21024796</v>
          </cell>
          <cell r="C2808">
            <v>163692102</v>
          </cell>
          <cell r="D2808" t="str">
            <v>SALT SPRINGS 2102</v>
          </cell>
          <cell r="E2808">
            <v>4796</v>
          </cell>
          <cell r="F2808" t="b">
            <v>0</v>
          </cell>
          <cell r="G2808">
            <v>11571.4706209054</v>
          </cell>
          <cell r="H2808">
            <v>11571.4706209054</v>
          </cell>
          <cell r="I2808">
            <v>114</v>
          </cell>
          <cell r="J2808">
            <v>8.3271857843021495E-5</v>
          </cell>
          <cell r="K2808">
            <v>2126</v>
          </cell>
          <cell r="L2808">
            <v>15.498137537599</v>
          </cell>
          <cell r="M2808">
            <v>2524</v>
          </cell>
          <cell r="N2808">
            <v>1.4706668764043901E-3</v>
          </cell>
          <cell r="O2808">
            <v>2563</v>
          </cell>
          <cell r="P2808">
            <v>50.63</v>
          </cell>
          <cell r="Q2808">
            <v>117</v>
          </cell>
        </row>
        <row r="2809">
          <cell r="B2809" t="str">
            <v>SALT SPRINGS 21028442</v>
          </cell>
          <cell r="C2809">
            <v>163692102</v>
          </cell>
          <cell r="D2809" t="str">
            <v>SALT SPRINGS 2102</v>
          </cell>
          <cell r="E2809">
            <v>8442</v>
          </cell>
          <cell r="F2809" t="b">
            <v>0</v>
          </cell>
          <cell r="G2809">
            <v>19428.972695272401</v>
          </cell>
          <cell r="H2809">
            <v>19428.972695272401</v>
          </cell>
          <cell r="I2809">
            <v>50</v>
          </cell>
          <cell r="J2809">
            <v>6.3912091263773605E-5</v>
          </cell>
          <cell r="K2809">
            <v>2650</v>
          </cell>
          <cell r="L2809">
            <v>8.1497212655715199</v>
          </cell>
          <cell r="M2809">
            <v>2666</v>
          </cell>
          <cell r="N2809">
            <v>3.8233483449984001E-4</v>
          </cell>
          <cell r="O2809">
            <v>2768</v>
          </cell>
          <cell r="P2809">
            <v>0.11</v>
          </cell>
          <cell r="Q2809">
            <v>1438</v>
          </cell>
        </row>
        <row r="2810">
          <cell r="B2810" t="str">
            <v>SALT SPRINGS 210297924</v>
          </cell>
          <cell r="C2810">
            <v>163692102</v>
          </cell>
          <cell r="D2810" t="str">
            <v>SALT SPRINGS 2102</v>
          </cell>
          <cell r="E2810">
            <v>97924</v>
          </cell>
          <cell r="F2810" t="b">
            <v>0</v>
          </cell>
          <cell r="G2810">
            <v>8287.4088839241504</v>
          </cell>
          <cell r="H2810">
            <v>8287.4088839241504</v>
          </cell>
          <cell r="I2810">
            <v>49</v>
          </cell>
          <cell r="J2810">
            <v>8.42466773936697E-5</v>
          </cell>
          <cell r="K2810">
            <v>2084</v>
          </cell>
          <cell r="L2810">
            <v>16.561384092346099</v>
          </cell>
          <cell r="M2810">
            <v>2507</v>
          </cell>
          <cell r="N2810">
            <v>1.0652615616657301E-3</v>
          </cell>
          <cell r="O2810">
            <v>2620</v>
          </cell>
          <cell r="P2810">
            <v>28.19</v>
          </cell>
          <cell r="Q2810">
            <v>252</v>
          </cell>
        </row>
        <row r="2811">
          <cell r="B2811" t="str">
            <v>SALT SPRINGS 2102L491</v>
          </cell>
          <cell r="C2811">
            <v>163692102</v>
          </cell>
          <cell r="D2811" t="str">
            <v>SALT SPRINGS 2102</v>
          </cell>
          <cell r="E2811" t="str">
            <v>L491</v>
          </cell>
          <cell r="F2811" t="b">
            <v>0</v>
          </cell>
          <cell r="G2811">
            <v>3564.5514145721299</v>
          </cell>
          <cell r="H2811">
            <v>3564.5514145721299</v>
          </cell>
          <cell r="I2811">
            <v>31</v>
          </cell>
          <cell r="J2811">
            <v>1.00645546838002E-4</v>
          </cell>
          <cell r="K2811">
            <v>1632</v>
          </cell>
          <cell r="L2811">
            <v>5.4343335940477502</v>
          </cell>
          <cell r="M2811">
            <v>2732</v>
          </cell>
          <cell r="N2811">
            <v>1.2902751868388699E-3</v>
          </cell>
          <cell r="O2811">
            <v>2584</v>
          </cell>
          <cell r="P2811">
            <v>33.770000000000003</v>
          </cell>
          <cell r="Q2811">
            <v>219</v>
          </cell>
        </row>
        <row r="2812">
          <cell r="B2812" t="str">
            <v>SALT SPRINGS 2102L7283</v>
          </cell>
          <cell r="C2812">
            <v>163692102</v>
          </cell>
          <cell r="D2812" t="str">
            <v>SALT SPRINGS 2102</v>
          </cell>
          <cell r="E2812" t="str">
            <v>L7283</v>
          </cell>
          <cell r="F2812" t="b">
            <v>0</v>
          </cell>
          <cell r="G2812">
            <v>1053.49447840875</v>
          </cell>
          <cell r="H2812">
            <v>1053.49447840875</v>
          </cell>
          <cell r="I2812">
            <v>12</v>
          </cell>
          <cell r="J2812">
            <v>7.5140100004015596E-5</v>
          </cell>
          <cell r="K2812">
            <v>2329</v>
          </cell>
          <cell r="L2812">
            <v>13.933511850076</v>
          </cell>
          <cell r="M2812">
            <v>2551</v>
          </cell>
          <cell r="N2812">
            <v>9.7445596453137702E-4</v>
          </cell>
          <cell r="O2812">
            <v>2639</v>
          </cell>
          <cell r="P2812">
            <v>29.37</v>
          </cell>
          <cell r="Q2812">
            <v>241</v>
          </cell>
        </row>
        <row r="2813">
          <cell r="B2813" t="str">
            <v>SAN ARDO 1101610148</v>
          </cell>
          <cell r="C2813">
            <v>182191101</v>
          </cell>
          <cell r="D2813" t="str">
            <v>SAN ARDO 1101</v>
          </cell>
          <cell r="E2813">
            <v>610148</v>
          </cell>
          <cell r="F2813" t="b">
            <v>0</v>
          </cell>
          <cell r="G2813">
            <v>19896.303683878301</v>
          </cell>
          <cell r="H2813">
            <v>3154.55836364884</v>
          </cell>
          <cell r="I2813">
            <v>58</v>
          </cell>
          <cell r="J2813">
            <v>4.5597987594770798E-5</v>
          </cell>
          <cell r="K2813">
            <v>3151</v>
          </cell>
          <cell r="L2813">
            <v>102.326341542062</v>
          </cell>
          <cell r="M2813">
            <v>1944</v>
          </cell>
          <cell r="N2813">
            <v>5.4811887772575297E-3</v>
          </cell>
          <cell r="O2813">
            <v>2183</v>
          </cell>
          <cell r="Q2813">
            <v>3231</v>
          </cell>
        </row>
        <row r="2814">
          <cell r="B2814" t="str">
            <v>SAN ARDO 1101650772</v>
          </cell>
          <cell r="C2814">
            <v>182191101</v>
          </cell>
          <cell r="D2814" t="str">
            <v>SAN ARDO 1101</v>
          </cell>
          <cell r="E2814">
            <v>650772</v>
          </cell>
          <cell r="F2814" t="b">
            <v>0</v>
          </cell>
          <cell r="G2814">
            <v>4368.3364145277001</v>
          </cell>
          <cell r="H2814">
            <v>1261.37019362716</v>
          </cell>
          <cell r="I2814">
            <v>10</v>
          </cell>
          <cell r="J2814">
            <v>8.4256240976780306E-5</v>
          </cell>
          <cell r="K2814">
            <v>2083</v>
          </cell>
          <cell r="L2814">
            <v>361.866431263089</v>
          </cell>
          <cell r="M2814">
            <v>1350</v>
          </cell>
          <cell r="N2814">
            <v>3.4260184079864503E-2</v>
          </cell>
          <cell r="O2814">
            <v>1383</v>
          </cell>
          <cell r="Q2814">
            <v>3534</v>
          </cell>
        </row>
        <row r="2815">
          <cell r="B2815" t="str">
            <v>SAN ARDO 11017632</v>
          </cell>
          <cell r="C2815">
            <v>182191101</v>
          </cell>
          <cell r="D2815" t="str">
            <v>SAN ARDO 1101</v>
          </cell>
          <cell r="E2815">
            <v>7632</v>
          </cell>
          <cell r="F2815" t="b">
            <v>0</v>
          </cell>
          <cell r="G2815">
            <v>13210.235284397701</v>
          </cell>
          <cell r="H2815">
            <v>3566.10229352958</v>
          </cell>
          <cell r="I2815">
            <v>35</v>
          </cell>
          <cell r="J2815">
            <v>2.89701580241495E-5</v>
          </cell>
          <cell r="K2815">
            <v>3441</v>
          </cell>
          <cell r="L2815">
            <v>263.79530698742099</v>
          </cell>
          <cell r="M2815">
            <v>1512</v>
          </cell>
          <cell r="N2815">
            <v>1.2428255873760501E-2</v>
          </cell>
          <cell r="O2815">
            <v>1868</v>
          </cell>
          <cell r="P2815">
            <v>0.01</v>
          </cell>
          <cell r="Q2815">
            <v>2590</v>
          </cell>
        </row>
        <row r="2816">
          <cell r="B2816" t="str">
            <v>SAN BENITO 2101221165</v>
          </cell>
          <cell r="C2816">
            <v>182742101</v>
          </cell>
          <cell r="D2816" t="str">
            <v>SAN BENITO 2101</v>
          </cell>
          <cell r="E2816">
            <v>221165</v>
          </cell>
          <cell r="F2816" t="b">
            <v>0</v>
          </cell>
          <cell r="G2816">
            <v>7814.4254404856301</v>
          </cell>
          <cell r="H2816">
            <v>7056.9287990860503</v>
          </cell>
          <cell r="I2816">
            <v>39</v>
          </cell>
          <cell r="J2816">
            <v>7.1263628528984703E-5</v>
          </cell>
          <cell r="K2816">
            <v>2439</v>
          </cell>
          <cell r="L2816">
            <v>2286.9555101526398</v>
          </cell>
          <cell r="M2816">
            <v>387</v>
          </cell>
          <cell r="N2816">
            <v>0.17016403022701501</v>
          </cell>
          <cell r="O2816">
            <v>435</v>
          </cell>
          <cell r="Q2816">
            <v>2797</v>
          </cell>
        </row>
        <row r="2817">
          <cell r="B2817" t="str">
            <v>SAN BENITO 2101295566</v>
          </cell>
          <cell r="C2817">
            <v>182742101</v>
          </cell>
          <cell r="D2817" t="str">
            <v>SAN BENITO 2101</v>
          </cell>
          <cell r="E2817">
            <v>295566</v>
          </cell>
          <cell r="F2817" t="b">
            <v>1</v>
          </cell>
          <cell r="G2817">
            <v>3409.6410964413699</v>
          </cell>
          <cell r="H2817">
            <v>751.53398943405796</v>
          </cell>
          <cell r="I2817">
            <v>18</v>
          </cell>
          <cell r="J2817">
            <v>5.2199786801389103E-5</v>
          </cell>
          <cell r="K2817">
            <v>2987</v>
          </cell>
          <cell r="L2817">
            <v>1215.04433481602</v>
          </cell>
          <cell r="M2817">
            <v>723</v>
          </cell>
          <cell r="N2817">
            <v>6.8262630259983595E-2</v>
          </cell>
          <cell r="O2817">
            <v>993</v>
          </cell>
          <cell r="Q2817">
            <v>2864</v>
          </cell>
        </row>
        <row r="2818">
          <cell r="B2818" t="str">
            <v>SAN BENITO 2104785888</v>
          </cell>
          <cell r="C2818">
            <v>182742104</v>
          </cell>
          <cell r="D2818" t="str">
            <v>SAN BENITO 2104</v>
          </cell>
          <cell r="E2818">
            <v>785888</v>
          </cell>
          <cell r="F2818" t="b">
            <v>0</v>
          </cell>
          <cell r="G2818">
            <v>11268.807767026199</v>
          </cell>
          <cell r="H2818">
            <v>7730.7085270638599</v>
          </cell>
          <cell r="I2818">
            <v>49</v>
          </cell>
          <cell r="J2818">
            <v>7.8060152494193306E-5</v>
          </cell>
          <cell r="K2818">
            <v>2258</v>
          </cell>
          <cell r="L2818">
            <v>321.36727079445001</v>
          </cell>
          <cell r="M2818">
            <v>1413</v>
          </cell>
          <cell r="N2818">
            <v>4.7020846822431399E-2</v>
          </cell>
          <cell r="O2818">
            <v>1211</v>
          </cell>
          <cell r="Q2818">
            <v>2753</v>
          </cell>
        </row>
        <row r="2819">
          <cell r="B2819" t="str">
            <v>SAN BENITO 210488772</v>
          </cell>
          <cell r="C2819">
            <v>182742104</v>
          </cell>
          <cell r="D2819" t="str">
            <v>SAN BENITO 2104</v>
          </cell>
          <cell r="E2819">
            <v>88772</v>
          </cell>
          <cell r="F2819" t="b">
            <v>0</v>
          </cell>
          <cell r="G2819">
            <v>69339.292824065094</v>
          </cell>
          <cell r="H2819">
            <v>39135.7755638491</v>
          </cell>
          <cell r="I2819">
            <v>474</v>
          </cell>
          <cell r="J2819">
            <v>6.1067421142497804E-5</v>
          </cell>
          <cell r="K2819">
            <v>2746</v>
          </cell>
          <cell r="L2819">
            <v>187.018797510279</v>
          </cell>
          <cell r="M2819">
            <v>1668</v>
          </cell>
          <cell r="N2819">
            <v>1.43580386035786E-2</v>
          </cell>
          <cell r="O2819">
            <v>1806</v>
          </cell>
          <cell r="P2819">
            <v>0.2</v>
          </cell>
          <cell r="Q2819">
            <v>1160</v>
          </cell>
        </row>
        <row r="2820">
          <cell r="B2820" t="str">
            <v>SAN BERNARD 1101438074</v>
          </cell>
          <cell r="C2820">
            <v>253191101</v>
          </cell>
          <cell r="D2820" t="str">
            <v>SAN BERNARD 1101</v>
          </cell>
          <cell r="E2820">
            <v>438074</v>
          </cell>
          <cell r="F2820" t="b">
            <v>1</v>
          </cell>
          <cell r="G2820">
            <v>2039.2275196667999</v>
          </cell>
          <cell r="H2820">
            <v>516.24784820195998</v>
          </cell>
          <cell r="I2820">
            <v>6</v>
          </cell>
          <cell r="J2820">
            <v>3.2276452505660303E-5</v>
          </cell>
          <cell r="K2820">
            <v>3397</v>
          </cell>
          <cell r="L2820">
            <v>1470.0727282017399</v>
          </cell>
          <cell r="M2820">
            <v>606</v>
          </cell>
          <cell r="N2820">
            <v>2.3645830103695299E-2</v>
          </cell>
          <cell r="O2820">
            <v>1584</v>
          </cell>
          <cell r="Q2820">
            <v>3592</v>
          </cell>
        </row>
        <row r="2821">
          <cell r="B2821" t="str">
            <v>SAN BERNARD 1101641042</v>
          </cell>
          <cell r="C2821">
            <v>253191101</v>
          </cell>
          <cell r="D2821" t="str">
            <v>SAN BERNARD 1101</v>
          </cell>
          <cell r="E2821">
            <v>641042</v>
          </cell>
          <cell r="F2821" t="b">
            <v>0</v>
          </cell>
          <cell r="G2821">
            <v>10558.786051077101</v>
          </cell>
          <cell r="H2821">
            <v>2300.7683872256798</v>
          </cell>
          <cell r="I2821">
            <v>22</v>
          </cell>
          <cell r="J2821">
            <v>2.7605435077150801E-5</v>
          </cell>
          <cell r="K2821">
            <v>3464</v>
          </cell>
          <cell r="L2821">
            <v>1880.7412716746301</v>
          </cell>
          <cell r="M2821">
            <v>480</v>
          </cell>
          <cell r="N2821">
            <v>4.2194203059798499E-2</v>
          </cell>
          <cell r="O2821">
            <v>1273</v>
          </cell>
          <cell r="Q2821">
            <v>3414</v>
          </cell>
        </row>
        <row r="2822">
          <cell r="B2822" t="str">
            <v>SAN CARLOS 1103313472</v>
          </cell>
          <cell r="C2822">
            <v>24181103</v>
          </cell>
          <cell r="D2822" t="str">
            <v>SAN CARLOS 1103</v>
          </cell>
          <cell r="E2822">
            <v>313472</v>
          </cell>
          <cell r="F2822" t="b">
            <v>1</v>
          </cell>
          <cell r="G2822">
            <v>1178.1951233105799</v>
          </cell>
          <cell r="H2822">
            <v>43.160848952726198</v>
          </cell>
          <cell r="I2822">
            <v>9</v>
          </cell>
          <cell r="J2822">
            <v>2.0676441787751699E-5</v>
          </cell>
          <cell r="K2822">
            <v>3537</v>
          </cell>
          <cell r="L2822">
            <v>6.5289758973651399E-2</v>
          </cell>
          <cell r="M2822">
            <v>3465</v>
          </cell>
          <cell r="N2822">
            <v>1.3509046024377299E-6</v>
          </cell>
          <cell r="O2822">
            <v>3560</v>
          </cell>
          <cell r="Q2822">
            <v>3319</v>
          </cell>
        </row>
        <row r="2823">
          <cell r="B2823" t="str">
            <v>SAN CARLOS 1103586832</v>
          </cell>
          <cell r="C2823">
            <v>24181103</v>
          </cell>
          <cell r="D2823" t="str">
            <v>SAN CARLOS 1103</v>
          </cell>
          <cell r="E2823">
            <v>586832</v>
          </cell>
          <cell r="F2823" t="b">
            <v>0</v>
          </cell>
          <cell r="G2823">
            <v>6692.9944666483298</v>
          </cell>
          <cell r="H2823">
            <v>6145.6408213548802</v>
          </cell>
          <cell r="I2823">
            <v>53</v>
          </cell>
          <cell r="J2823">
            <v>7.2377380367367298E-5</v>
          </cell>
          <cell r="K2823">
            <v>2406</v>
          </cell>
          <cell r="L2823">
            <v>6.6310690961918703E-2</v>
          </cell>
          <cell r="M2823">
            <v>3146</v>
          </cell>
          <cell r="N2823">
            <v>4.79950140782397E-6</v>
          </cell>
          <cell r="O2823">
            <v>3276</v>
          </cell>
          <cell r="Q2823">
            <v>2711</v>
          </cell>
        </row>
        <row r="2824">
          <cell r="B2824" t="str">
            <v>SAN CARLOS 1103785521</v>
          </cell>
          <cell r="C2824">
            <v>24181103</v>
          </cell>
          <cell r="D2824" t="str">
            <v>SAN CARLOS 1103</v>
          </cell>
          <cell r="E2824">
            <v>785521</v>
          </cell>
          <cell r="F2824" t="b">
            <v>1</v>
          </cell>
          <cell r="G2824">
            <v>292.99595168231701</v>
          </cell>
          <cell r="H2824">
            <v>109.02126448587801</v>
          </cell>
          <cell r="I2824">
            <v>3</v>
          </cell>
          <cell r="J2824">
            <v>4.3672857221584601E-5</v>
          </cell>
          <cell r="K2824">
            <v>3196</v>
          </cell>
          <cell r="L2824">
            <v>6.5575296680132497E-2</v>
          </cell>
          <cell r="M2824">
            <v>3350</v>
          </cell>
          <cell r="N2824">
            <v>2.86538836348312E-6</v>
          </cell>
          <cell r="O2824">
            <v>3428</v>
          </cell>
          <cell r="Q2824">
            <v>3223</v>
          </cell>
        </row>
        <row r="2825">
          <cell r="B2825" t="str">
            <v>SAN CARLOS 1103888954</v>
          </cell>
          <cell r="C2825">
            <v>24181103</v>
          </cell>
          <cell r="D2825" t="str">
            <v>SAN CARLOS 1103</v>
          </cell>
          <cell r="E2825">
            <v>888954</v>
          </cell>
          <cell r="F2825" t="b">
            <v>1</v>
          </cell>
          <cell r="G2825">
            <v>504.712896398628</v>
          </cell>
          <cell r="H2825">
            <v>0</v>
          </cell>
          <cell r="I2825">
            <v>6</v>
          </cell>
          <cell r="J2825">
            <v>2.17235895737151E-5</v>
          </cell>
          <cell r="K2825">
            <v>3524</v>
          </cell>
          <cell r="L2825">
            <v>6.5146990120410905E-2</v>
          </cell>
          <cell r="M2825">
            <v>3623</v>
          </cell>
          <cell r="N2825">
            <v>1.41522647533868E-6</v>
          </cell>
          <cell r="O2825">
            <v>3554</v>
          </cell>
          <cell r="Q2825">
            <v>3272</v>
          </cell>
        </row>
        <row r="2826">
          <cell r="B2826" t="str">
            <v>SAN CARLOS 11039148</v>
          </cell>
          <cell r="C2826">
            <v>24181103</v>
          </cell>
          <cell r="D2826" t="str">
            <v>SAN CARLOS 1103</v>
          </cell>
          <cell r="E2826">
            <v>9148</v>
          </cell>
          <cell r="F2826" t="b">
            <v>1</v>
          </cell>
          <cell r="G2826">
            <v>6634.7635386328702</v>
          </cell>
          <cell r="H2826">
            <v>0</v>
          </cell>
          <cell r="I2826">
            <v>51</v>
          </cell>
          <cell r="J2826">
            <v>2.6423073475396199E-5</v>
          </cell>
          <cell r="K2826">
            <v>3482</v>
          </cell>
          <cell r="L2826">
            <v>6.5146990120410905E-2</v>
          </cell>
          <cell r="M2826">
            <v>3618</v>
          </cell>
          <cell r="N2826">
            <v>1.72138370665253E-6</v>
          </cell>
          <cell r="O2826">
            <v>3535</v>
          </cell>
          <cell r="P2826">
            <v>7.0000000000000007E-2</v>
          </cell>
          <cell r="Q2826">
            <v>1762</v>
          </cell>
        </row>
        <row r="2827">
          <cell r="B2827" t="str">
            <v>SAN CARLOS 110436864</v>
          </cell>
          <cell r="C2827">
            <v>24181104</v>
          </cell>
          <cell r="D2827" t="str">
            <v>SAN CARLOS 1104</v>
          </cell>
          <cell r="E2827">
            <v>36864</v>
          </cell>
          <cell r="F2827" t="b">
            <v>1</v>
          </cell>
          <cell r="G2827">
            <v>910.394887460674</v>
          </cell>
          <cell r="H2827">
            <v>889.72216556135902</v>
          </cell>
          <cell r="I2827">
            <v>10</v>
          </cell>
          <cell r="J2827">
            <v>6.2904355763748694E-5</v>
          </cell>
          <cell r="K2827">
            <v>2685</v>
          </cell>
          <cell r="L2827">
            <v>6.63034178316593E-2</v>
          </cell>
          <cell r="M2827">
            <v>3147</v>
          </cell>
          <cell r="N2827">
            <v>4.1762509014197504E-6</v>
          </cell>
          <cell r="O2827">
            <v>3322</v>
          </cell>
          <cell r="P2827">
            <v>0.03</v>
          </cell>
          <cell r="Q2827">
            <v>2369</v>
          </cell>
        </row>
        <row r="2828">
          <cell r="B2828" t="str">
            <v>SAN CARLOS 110475210</v>
          </cell>
          <cell r="C2828">
            <v>24181104</v>
          </cell>
          <cell r="D2828" t="str">
            <v>SAN CARLOS 1104</v>
          </cell>
          <cell r="E2828">
            <v>75210</v>
          </cell>
          <cell r="F2828" t="b">
            <v>1</v>
          </cell>
          <cell r="G2828">
            <v>618.92600114351603</v>
          </cell>
          <cell r="H2828">
            <v>618.92600114351603</v>
          </cell>
          <cell r="I2828">
            <v>6</v>
          </cell>
          <cell r="J2828">
            <v>1.1637715457861E-4</v>
          </cell>
          <cell r="K2828">
            <v>1261</v>
          </cell>
          <cell r="L2828">
            <v>6.6431909799575806E-2</v>
          </cell>
          <cell r="M2828">
            <v>2967</v>
          </cell>
          <cell r="N2828">
            <v>7.7311566356975097E-6</v>
          </cell>
          <cell r="O2828">
            <v>3132</v>
          </cell>
          <cell r="P2828">
            <v>0.05</v>
          </cell>
          <cell r="Q2828">
            <v>2048</v>
          </cell>
        </row>
        <row r="2829">
          <cell r="B2829" t="str">
            <v>SAN CARLOS 110479774</v>
          </cell>
          <cell r="C2829">
            <v>24181104</v>
          </cell>
          <cell r="D2829" t="str">
            <v>SAN CARLOS 1104</v>
          </cell>
          <cell r="E2829">
            <v>79774</v>
          </cell>
          <cell r="F2829" t="b">
            <v>0</v>
          </cell>
          <cell r="G2829">
            <v>2604.0952387165898</v>
          </cell>
          <cell r="H2829">
            <v>1435.88206591428</v>
          </cell>
          <cell r="I2829">
            <v>24</v>
          </cell>
          <cell r="J2829">
            <v>4.0918925625040398E-5</v>
          </cell>
          <cell r="K2829">
            <v>3247</v>
          </cell>
          <cell r="L2829">
            <v>6.5682373320062895E-2</v>
          </cell>
          <cell r="M2829">
            <v>3315</v>
          </cell>
          <cell r="N2829">
            <v>2.69804381718944E-6</v>
          </cell>
          <cell r="O2829">
            <v>3440</v>
          </cell>
          <cell r="P2829">
            <v>0.05</v>
          </cell>
          <cell r="Q2829">
            <v>2041</v>
          </cell>
        </row>
        <row r="2830">
          <cell r="B2830" t="str">
            <v>SAN CARLOS 11048846</v>
          </cell>
          <cell r="C2830">
            <v>24181104</v>
          </cell>
          <cell r="D2830" t="str">
            <v>SAN CARLOS 1104</v>
          </cell>
          <cell r="E2830">
            <v>8846</v>
          </cell>
          <cell r="F2830" t="b">
            <v>0</v>
          </cell>
          <cell r="G2830">
            <v>7060.9910851839704</v>
          </cell>
          <cell r="H2830">
            <v>3588.6165109493299</v>
          </cell>
          <cell r="I2830">
            <v>61</v>
          </cell>
          <cell r="J2830">
            <v>3.51852453259825E-5</v>
          </cell>
          <cell r="K2830">
            <v>3347</v>
          </cell>
          <cell r="L2830">
            <v>6.5736789317404606E-2</v>
          </cell>
          <cell r="M2830">
            <v>3298</v>
          </cell>
          <cell r="N2830">
            <v>2.3217980226124402E-6</v>
          </cell>
          <cell r="O2830">
            <v>3478</v>
          </cell>
          <cell r="P2830">
            <v>0.04</v>
          </cell>
          <cell r="Q2830">
            <v>2219</v>
          </cell>
        </row>
        <row r="2831">
          <cell r="B2831" t="str">
            <v>SAN CARLOS 11048942</v>
          </cell>
          <cell r="C2831">
            <v>24181104</v>
          </cell>
          <cell r="D2831" t="str">
            <v>SAN CARLOS 1104</v>
          </cell>
          <cell r="E2831">
            <v>8942</v>
          </cell>
          <cell r="F2831" t="b">
            <v>0</v>
          </cell>
          <cell r="G2831">
            <v>4451.7025118844804</v>
          </cell>
          <cell r="H2831">
            <v>3407.8974376245401</v>
          </cell>
          <cell r="I2831">
            <v>35</v>
          </cell>
          <cell r="J2831">
            <v>6.7999438274015194E-5</v>
          </cell>
          <cell r="K2831">
            <v>2536</v>
          </cell>
          <cell r="L2831">
            <v>6.6101501882076197E-2</v>
          </cell>
          <cell r="M2831">
            <v>3198</v>
          </cell>
          <cell r="N2831">
            <v>4.5083800357828698E-6</v>
          </cell>
          <cell r="O2831">
            <v>3297</v>
          </cell>
          <cell r="P2831">
            <v>7.0000000000000007E-2</v>
          </cell>
          <cell r="Q2831">
            <v>1712</v>
          </cell>
        </row>
        <row r="2832">
          <cell r="B2832" t="str">
            <v>SAN CARLOS 11049048</v>
          </cell>
          <cell r="C2832">
            <v>24181104</v>
          </cell>
          <cell r="D2832" t="str">
            <v>SAN CARLOS 1104</v>
          </cell>
          <cell r="E2832">
            <v>9048</v>
          </cell>
          <cell r="F2832" t="b">
            <v>1</v>
          </cell>
          <cell r="G2832">
            <v>24.590900043100401</v>
          </cell>
          <cell r="H2832">
            <v>24.590900043100401</v>
          </cell>
          <cell r="I2832">
            <v>1</v>
          </cell>
          <cell r="J2832">
            <v>9.1221409093122902E-5</v>
          </cell>
          <cell r="K2832">
            <v>1871</v>
          </cell>
          <cell r="L2832">
            <v>6.6431909799575806E-2</v>
          </cell>
          <cell r="M2832">
            <v>2958</v>
          </cell>
          <cell r="N2832">
            <v>6.0600124206645399E-6</v>
          </cell>
          <cell r="O2832">
            <v>3204</v>
          </cell>
          <cell r="P2832">
            <v>0.06</v>
          </cell>
          <cell r="Q2832">
            <v>1869</v>
          </cell>
        </row>
        <row r="2833">
          <cell r="B2833" t="str">
            <v>SAN CARLOS 11049052</v>
          </cell>
          <cell r="C2833">
            <v>24181104</v>
          </cell>
          <cell r="D2833" t="str">
            <v>SAN CARLOS 1104</v>
          </cell>
          <cell r="E2833">
            <v>9052</v>
          </cell>
          <cell r="F2833" t="b">
            <v>0</v>
          </cell>
          <cell r="G2833">
            <v>8315.3581366211602</v>
          </cell>
          <cell r="H2833">
            <v>7722.32545998349</v>
          </cell>
          <cell r="I2833">
            <v>65</v>
          </cell>
          <cell r="J2833">
            <v>1.11576293476481E-4</v>
          </cell>
          <cell r="K2833">
            <v>1380</v>
          </cell>
          <cell r="L2833">
            <v>6.6333069824255395E-2</v>
          </cell>
          <cell r="M2833">
            <v>3139</v>
          </cell>
          <cell r="N2833">
            <v>7.4082005198422899E-6</v>
          </cell>
          <cell r="O2833">
            <v>3150</v>
          </cell>
          <cell r="P2833">
            <v>0.1</v>
          </cell>
          <cell r="Q2833">
            <v>1459</v>
          </cell>
        </row>
        <row r="2834">
          <cell r="B2834" t="str">
            <v>SAN JOAQUIN #2 110310320</v>
          </cell>
          <cell r="C2834">
            <v>252521103</v>
          </cell>
          <cell r="D2834" t="str">
            <v>SAN JOAQUIN #2 1103</v>
          </cell>
          <cell r="E2834">
            <v>10320</v>
          </cell>
          <cell r="F2834" t="b">
            <v>0</v>
          </cell>
          <cell r="G2834">
            <v>18962.089784003001</v>
          </cell>
          <cell r="H2834">
            <v>18962.089784003001</v>
          </cell>
          <cell r="I2834">
            <v>133</v>
          </cell>
          <cell r="J2834">
            <v>7.3547546295107694E-5</v>
          </cell>
          <cell r="K2834">
            <v>2380</v>
          </cell>
          <cell r="L2834">
            <v>3652.15285716065</v>
          </cell>
          <cell r="M2834">
            <v>186</v>
          </cell>
          <cell r="N2834">
            <v>0.28179082814797901</v>
          </cell>
          <cell r="O2834">
            <v>154</v>
          </cell>
          <cell r="P2834">
            <v>0.06</v>
          </cell>
          <cell r="Q2834">
            <v>1810</v>
          </cell>
        </row>
        <row r="2835">
          <cell r="B2835" t="str">
            <v>SAN JOAQUIN #2 1103157026</v>
          </cell>
          <cell r="C2835">
            <v>252521103</v>
          </cell>
          <cell r="D2835" t="str">
            <v>SAN JOAQUIN #2 1103</v>
          </cell>
          <cell r="E2835">
            <v>157026</v>
          </cell>
          <cell r="F2835" t="b">
            <v>0</v>
          </cell>
          <cell r="G2835">
            <v>5200.0769877068797</v>
          </cell>
          <cell r="H2835">
            <v>5200.0769877068797</v>
          </cell>
          <cell r="I2835">
            <v>44</v>
          </cell>
          <cell r="J2835">
            <v>6.6096308108337101E-5</v>
          </cell>
          <cell r="K2835">
            <v>2586</v>
          </cell>
          <cell r="L2835">
            <v>1923.69328518262</v>
          </cell>
          <cell r="M2835">
            <v>467</v>
          </cell>
          <cell r="N2835">
            <v>0.11682435330996301</v>
          </cell>
          <cell r="O2835">
            <v>664</v>
          </cell>
          <cell r="P2835">
            <v>0.05</v>
          </cell>
          <cell r="Q2835">
            <v>1989</v>
          </cell>
        </row>
        <row r="2836">
          <cell r="B2836" t="str">
            <v>SAN JOAQUIN #2 1103CB</v>
          </cell>
          <cell r="C2836">
            <v>252521103</v>
          </cell>
          <cell r="D2836" t="str">
            <v>SAN JOAQUIN #2 1103</v>
          </cell>
          <cell r="E2836" t="str">
            <v>CB</v>
          </cell>
          <cell r="F2836" t="b">
            <v>0</v>
          </cell>
          <cell r="G2836">
            <v>109280.434890132</v>
          </cell>
          <cell r="H2836">
            <v>109280.434890132</v>
          </cell>
          <cell r="I2836">
            <v>589</v>
          </cell>
          <cell r="J2836">
            <v>7.60855014213563E-5</v>
          </cell>
          <cell r="K2836">
            <v>2305</v>
          </cell>
          <cell r="L2836">
            <v>3828.84657637494</v>
          </cell>
          <cell r="M2836">
            <v>165</v>
          </cell>
          <cell r="N2836">
            <v>0.255968655922723</v>
          </cell>
          <cell r="O2836">
            <v>204</v>
          </cell>
          <cell r="P2836">
            <v>0.64</v>
          </cell>
          <cell r="Q2836">
            <v>828</v>
          </cell>
        </row>
        <row r="2837">
          <cell r="B2837" t="str">
            <v>SAN JOAQUIN #3 1101673480</v>
          </cell>
          <cell r="C2837">
            <v>252531101</v>
          </cell>
          <cell r="D2837" t="str">
            <v>SAN JOAQUIN #3 1101</v>
          </cell>
          <cell r="E2837">
            <v>673480</v>
          </cell>
          <cell r="F2837" t="b">
            <v>0</v>
          </cell>
          <cell r="G2837">
            <v>20487.839207032699</v>
          </cell>
          <cell r="H2837">
            <v>20487.839207032699</v>
          </cell>
          <cell r="I2837">
            <v>88</v>
          </cell>
          <cell r="J2837">
            <v>1.0713211320927999E-4</v>
          </cell>
          <cell r="K2837">
            <v>1470</v>
          </cell>
          <cell r="L2837">
            <v>66.765220433938694</v>
          </cell>
          <cell r="M2837">
            <v>2110</v>
          </cell>
          <cell r="N2837">
            <v>4.6983866036038801E-3</v>
          </cell>
          <cell r="O2837">
            <v>2221</v>
          </cell>
          <cell r="Q2837">
            <v>2733</v>
          </cell>
        </row>
        <row r="2838">
          <cell r="B2838" t="str">
            <v>SAN JOAQUIN #3 1101CB</v>
          </cell>
          <cell r="C2838">
            <v>252531101</v>
          </cell>
          <cell r="D2838" t="str">
            <v>SAN JOAQUIN #3 1101</v>
          </cell>
          <cell r="E2838" t="str">
            <v>CB</v>
          </cell>
          <cell r="F2838" t="b">
            <v>0</v>
          </cell>
          <cell r="G2838">
            <v>19055.286615081699</v>
          </cell>
          <cell r="H2838">
            <v>19055.286615081699</v>
          </cell>
          <cell r="I2838">
            <v>80</v>
          </cell>
          <cell r="J2838">
            <v>8.7940358705389707E-5</v>
          </cell>
          <cell r="K2838">
            <v>1984</v>
          </cell>
          <cell r="L2838">
            <v>356.77735567240597</v>
          </cell>
          <cell r="M2838">
            <v>1359</v>
          </cell>
          <cell r="N2838">
            <v>1.8079370751319601E-2</v>
          </cell>
          <cell r="O2838">
            <v>1704</v>
          </cell>
          <cell r="P2838">
            <v>0.23</v>
          </cell>
          <cell r="Q2838">
            <v>1117</v>
          </cell>
        </row>
        <row r="2839">
          <cell r="B2839" t="str">
            <v>SAN JOAQUIN #3 110210342</v>
          </cell>
          <cell r="C2839">
            <v>252531102</v>
          </cell>
          <cell r="D2839" t="str">
            <v>SAN JOAQUIN #3 1102</v>
          </cell>
          <cell r="E2839">
            <v>10342</v>
          </cell>
          <cell r="F2839" t="b">
            <v>0</v>
          </cell>
          <cell r="G2839">
            <v>2930.8819003119002</v>
          </cell>
          <cell r="H2839">
            <v>2930.8819003119002</v>
          </cell>
          <cell r="I2839">
            <v>23</v>
          </cell>
          <cell r="J2839">
            <v>1.2224973366043999E-4</v>
          </cell>
          <cell r="K2839">
            <v>1143</v>
          </cell>
          <cell r="L2839">
            <v>225.31441087877599</v>
          </cell>
          <cell r="M2839">
            <v>1595</v>
          </cell>
          <cell r="N2839">
            <v>1.94634841819336E-2</v>
          </cell>
          <cell r="O2839">
            <v>1680</v>
          </cell>
          <cell r="P2839">
            <v>0.23</v>
          </cell>
          <cell r="Q2839">
            <v>1111</v>
          </cell>
        </row>
        <row r="2840">
          <cell r="B2840" t="str">
            <v>SAN JOAQUIN #3 1102CB</v>
          </cell>
          <cell r="C2840">
            <v>252531102</v>
          </cell>
          <cell r="D2840" t="str">
            <v>SAN JOAQUIN #3 1102</v>
          </cell>
          <cell r="E2840" t="str">
            <v>CB</v>
          </cell>
          <cell r="F2840" t="b">
            <v>0</v>
          </cell>
          <cell r="G2840">
            <v>15601.4012222207</v>
          </cell>
          <cell r="H2840">
            <v>15601.4012222207</v>
          </cell>
          <cell r="I2840">
            <v>97</v>
          </cell>
          <cell r="J2840">
            <v>1.13233826099174E-4</v>
          </cell>
          <cell r="K2840">
            <v>1340</v>
          </cell>
          <cell r="L2840">
            <v>789.93494065574703</v>
          </cell>
          <cell r="M2840">
            <v>952</v>
          </cell>
          <cell r="N2840">
            <v>7.3847727736367802E-2</v>
          </cell>
          <cell r="O2840">
            <v>946</v>
          </cell>
          <cell r="P2840">
            <v>0.18</v>
          </cell>
          <cell r="Q2840">
            <v>1203</v>
          </cell>
        </row>
        <row r="2841">
          <cell r="B2841" t="str">
            <v>SAN JOAQUIN #3 1103501771</v>
          </cell>
          <cell r="C2841">
            <v>252531103</v>
          </cell>
          <cell r="D2841" t="str">
            <v>SAN JOAQUIN #3 1103</v>
          </cell>
          <cell r="E2841">
            <v>501771</v>
          </cell>
          <cell r="F2841" t="b">
            <v>0</v>
          </cell>
          <cell r="G2841">
            <v>7891.6601401960397</v>
          </cell>
          <cell r="H2841">
            <v>7891.6601401960397</v>
          </cell>
          <cell r="I2841">
            <v>54</v>
          </cell>
          <cell r="J2841">
            <v>4.0591291336859901E-5</v>
          </cell>
          <cell r="K2841">
            <v>3256</v>
          </cell>
          <cell r="L2841">
            <v>137.80490657476801</v>
          </cell>
          <cell r="M2841">
            <v>1819</v>
          </cell>
          <cell r="N2841">
            <v>5.2247645632661401E-3</v>
          </cell>
          <cell r="O2841">
            <v>2196</v>
          </cell>
          <cell r="Q2841">
            <v>3217</v>
          </cell>
        </row>
        <row r="2842">
          <cell r="B2842" t="str">
            <v>SAN JOAQUIN #3 11035100</v>
          </cell>
          <cell r="C2842">
            <v>252531103</v>
          </cell>
          <cell r="D2842" t="str">
            <v>SAN JOAQUIN #3 1103</v>
          </cell>
          <cell r="E2842">
            <v>5100</v>
          </cell>
          <cell r="F2842" t="b">
            <v>0</v>
          </cell>
          <cell r="G2842">
            <v>34326.3843740101</v>
          </cell>
          <cell r="H2842">
            <v>34326.3843740101</v>
          </cell>
          <cell r="I2842">
            <v>204</v>
          </cell>
          <cell r="J2842">
            <v>8.9143551513819202E-5</v>
          </cell>
          <cell r="K2842">
            <v>1942</v>
          </cell>
          <cell r="L2842">
            <v>1331.17633345237</v>
          </cell>
          <cell r="M2842">
            <v>667</v>
          </cell>
          <cell r="N2842">
            <v>8.9217731025452301E-2</v>
          </cell>
          <cell r="O2842">
            <v>829</v>
          </cell>
          <cell r="P2842">
            <v>0.33</v>
          </cell>
          <cell r="Q2842">
            <v>989</v>
          </cell>
        </row>
        <row r="2843">
          <cell r="B2843" t="str">
            <v>SAN JOAQUIN #3 1103CB</v>
          </cell>
          <cell r="C2843">
            <v>252531103</v>
          </cell>
          <cell r="D2843" t="str">
            <v>SAN JOAQUIN #3 1103</v>
          </cell>
          <cell r="E2843" t="str">
            <v>CB</v>
          </cell>
          <cell r="F2843" t="b">
            <v>0</v>
          </cell>
          <cell r="G2843">
            <v>45670.421724974898</v>
          </cell>
          <cell r="H2843">
            <v>45670.421724974898</v>
          </cell>
          <cell r="I2843">
            <v>294</v>
          </cell>
          <cell r="J2843">
            <v>9.5334283816221304E-5</v>
          </cell>
          <cell r="K2843">
            <v>1751</v>
          </cell>
          <cell r="L2843">
            <v>1012.98717824141</v>
          </cell>
          <cell r="M2843">
            <v>821</v>
          </cell>
          <cell r="N2843">
            <v>8.6354017316402201E-2</v>
          </cell>
          <cell r="O2843">
            <v>849</v>
          </cell>
          <cell r="P2843">
            <v>0.47</v>
          </cell>
          <cell r="Q2843">
            <v>909</v>
          </cell>
        </row>
        <row r="2844">
          <cell r="B2844" t="str">
            <v>SAN JUSTO 1101201311</v>
          </cell>
          <cell r="C2844">
            <v>183181101</v>
          </cell>
          <cell r="D2844" t="str">
            <v>SAN JUSTO 1101</v>
          </cell>
          <cell r="E2844">
            <v>201311</v>
          </cell>
          <cell r="F2844" t="b">
            <v>0</v>
          </cell>
          <cell r="G2844">
            <v>17668.963554441299</v>
          </cell>
          <cell r="H2844">
            <v>12645.7550752109</v>
          </cell>
          <cell r="I2844">
            <v>108</v>
          </cell>
          <cell r="J2844">
            <v>6.4311576192334596E-5</v>
          </cell>
          <cell r="K2844">
            <v>2634</v>
          </cell>
          <cell r="L2844">
            <v>1215.4291133305201</v>
          </cell>
          <cell r="M2844">
            <v>722</v>
          </cell>
          <cell r="N2844">
            <v>7.7053419503187101E-2</v>
          </cell>
          <cell r="O2844">
            <v>927</v>
          </cell>
          <cell r="Q2844">
            <v>3015</v>
          </cell>
        </row>
        <row r="2845">
          <cell r="B2845" t="str">
            <v>SAN JUSTO 110136902</v>
          </cell>
          <cell r="C2845">
            <v>183181101</v>
          </cell>
          <cell r="D2845" t="str">
            <v>SAN JUSTO 1101</v>
          </cell>
          <cell r="E2845">
            <v>36902</v>
          </cell>
          <cell r="F2845" t="b">
            <v>0</v>
          </cell>
          <cell r="G2845">
            <v>23754.988493711699</v>
          </cell>
          <cell r="H2845">
            <v>19990.555744881</v>
          </cell>
          <cell r="I2845">
            <v>147</v>
          </cell>
          <cell r="J2845">
            <v>6.3720030782279605E-5</v>
          </cell>
          <cell r="K2845">
            <v>2656</v>
          </cell>
          <cell r="L2845">
            <v>753.81771880205702</v>
          </cell>
          <cell r="M2845">
            <v>971</v>
          </cell>
          <cell r="N2845">
            <v>4.8735035546491501E-2</v>
          </cell>
          <cell r="O2845">
            <v>1189</v>
          </cell>
          <cell r="P2845">
            <v>0.05</v>
          </cell>
          <cell r="Q2845">
            <v>2037</v>
          </cell>
        </row>
        <row r="2846">
          <cell r="B2846" t="str">
            <v>SAN JUSTO 11014002</v>
          </cell>
          <cell r="C2846">
            <v>183181101</v>
          </cell>
          <cell r="D2846" t="str">
            <v>SAN JUSTO 1101</v>
          </cell>
          <cell r="E2846">
            <v>4002</v>
          </cell>
          <cell r="F2846" t="b">
            <v>0</v>
          </cell>
          <cell r="G2846">
            <v>30655.793245938399</v>
          </cell>
          <cell r="H2846">
            <v>29553.7890854406</v>
          </cell>
          <cell r="I2846">
            <v>140</v>
          </cell>
          <cell r="J2846">
            <v>4.2612135487831801E-5</v>
          </cell>
          <cell r="K2846">
            <v>3215</v>
          </cell>
          <cell r="L2846">
            <v>236.234168339946</v>
          </cell>
          <cell r="M2846">
            <v>1577</v>
          </cell>
          <cell r="N2846">
            <v>8.8999448875251193E-3</v>
          </cell>
          <cell r="O2846">
            <v>2007</v>
          </cell>
          <cell r="P2846">
            <v>0.18</v>
          </cell>
          <cell r="Q2846">
            <v>1202</v>
          </cell>
        </row>
        <row r="2847">
          <cell r="B2847" t="str">
            <v>SAN LEANDRO U 1109936988</v>
          </cell>
          <cell r="C2847">
            <v>13111109</v>
          </cell>
          <cell r="D2847" t="str">
            <v>SAN LEANDRO U 1109</v>
          </cell>
          <cell r="E2847">
            <v>936988</v>
          </cell>
          <cell r="F2847" t="b">
            <v>0</v>
          </cell>
          <cell r="G2847">
            <v>10891.055397390999</v>
          </cell>
          <cell r="H2847">
            <v>10891.055397390999</v>
          </cell>
          <cell r="I2847">
            <v>86</v>
          </cell>
          <cell r="J2847">
            <v>3.4698073773671598E-5</v>
          </cell>
          <cell r="K2847">
            <v>3356</v>
          </cell>
          <cell r="L2847">
            <v>6.6431909799575806E-2</v>
          </cell>
          <cell r="M2847">
            <v>2957</v>
          </cell>
          <cell r="N2847">
            <v>2.3050593071515698E-6</v>
          </cell>
          <cell r="O2847">
            <v>3480</v>
          </cell>
          <cell r="Q2847">
            <v>2818</v>
          </cell>
        </row>
        <row r="2848">
          <cell r="B2848" t="str">
            <v>SAN LEANDRO U 1109CR002</v>
          </cell>
          <cell r="C2848">
            <v>13111109</v>
          </cell>
          <cell r="D2848" t="str">
            <v>SAN LEANDRO U 1109</v>
          </cell>
          <cell r="E2848" t="str">
            <v>CR002</v>
          </cell>
          <cell r="F2848" t="b">
            <v>1</v>
          </cell>
          <cell r="G2848">
            <v>1715.85212016115</v>
          </cell>
          <cell r="H2848">
            <v>269.84084816450502</v>
          </cell>
          <cell r="I2848">
            <v>16</v>
          </cell>
          <cell r="J2848">
            <v>7.8299651054943999E-6</v>
          </cell>
          <cell r="K2848">
            <v>3620</v>
          </cell>
          <cell r="L2848">
            <v>6.5307605080306502E-2</v>
          </cell>
          <cell r="M2848">
            <v>3461</v>
          </cell>
          <cell r="N2848">
            <v>5.1357995653677301E-7</v>
          </cell>
          <cell r="O2848">
            <v>3622</v>
          </cell>
          <cell r="P2848">
            <v>0.13</v>
          </cell>
          <cell r="Q2848">
            <v>1341</v>
          </cell>
        </row>
        <row r="2849">
          <cell r="B2849" t="str">
            <v>SAN LEANDRO U 1109CR182</v>
          </cell>
          <cell r="C2849">
            <v>13111109</v>
          </cell>
          <cell r="D2849" t="str">
            <v>SAN LEANDRO U 1109</v>
          </cell>
          <cell r="E2849" t="str">
            <v>CR182</v>
          </cell>
          <cell r="F2849" t="b">
            <v>0</v>
          </cell>
          <cell r="G2849">
            <v>7768.8153716627003</v>
          </cell>
          <cell r="H2849">
            <v>7768.8153716627003</v>
          </cell>
          <cell r="I2849">
            <v>56</v>
          </cell>
          <cell r="J2849">
            <v>5.0879362585679402E-5</v>
          </cell>
          <cell r="K2849">
            <v>3018</v>
          </cell>
          <cell r="L2849">
            <v>6.6431909799575806E-2</v>
          </cell>
          <cell r="M2849">
            <v>2959</v>
          </cell>
          <cell r="N2849">
            <v>3.3800132259517599E-6</v>
          </cell>
          <cell r="O2849">
            <v>3378</v>
          </cell>
          <cell r="P2849">
            <v>0.15</v>
          </cell>
          <cell r="Q2849">
            <v>1294</v>
          </cell>
        </row>
        <row r="2850">
          <cell r="B2850" t="str">
            <v>SAN LEANDRO U 1109CR284</v>
          </cell>
          <cell r="C2850">
            <v>13111109</v>
          </cell>
          <cell r="D2850" t="str">
            <v>SAN LEANDRO U 1109</v>
          </cell>
          <cell r="E2850" t="str">
            <v>CR284</v>
          </cell>
          <cell r="F2850" t="b">
            <v>0</v>
          </cell>
          <cell r="G2850">
            <v>1550.6573843865599</v>
          </cell>
          <cell r="H2850">
            <v>1235.8311051819501</v>
          </cell>
          <cell r="I2850">
            <v>14</v>
          </cell>
          <cell r="J2850">
            <v>7.7666451748622601E-6</v>
          </cell>
          <cell r="K2850">
            <v>3623</v>
          </cell>
          <cell r="L2850">
            <v>6.6064789891242898E-2</v>
          </cell>
          <cell r="M2850">
            <v>3205</v>
          </cell>
          <cell r="N2850">
            <v>5.1364209005014101E-7</v>
          </cell>
          <cell r="O2850">
            <v>3621</v>
          </cell>
          <cell r="P2850">
            <v>0.04</v>
          </cell>
          <cell r="Q2850">
            <v>2148</v>
          </cell>
        </row>
        <row r="2851">
          <cell r="B2851" t="str">
            <v>SAN LEANDRO U 1114458451</v>
          </cell>
          <cell r="C2851">
            <v>13111114</v>
          </cell>
          <cell r="D2851" t="str">
            <v>SAN LEANDRO U 1114</v>
          </cell>
          <cell r="E2851">
            <v>458451</v>
          </cell>
          <cell r="F2851" t="b">
            <v>0</v>
          </cell>
          <cell r="G2851">
            <v>3952.17280617185</v>
          </cell>
          <cell r="H2851">
            <v>1967.4653155659701</v>
          </cell>
          <cell r="I2851">
            <v>29</v>
          </cell>
          <cell r="J2851">
            <v>6.9026247478302904E-6</v>
          </cell>
          <cell r="K2851">
            <v>3629</v>
          </cell>
          <cell r="L2851">
            <v>6.5590065871847E-2</v>
          </cell>
          <cell r="M2851">
            <v>3336</v>
          </cell>
          <cell r="N2851">
            <v>4.52890348080723E-7</v>
          </cell>
          <cell r="O2851">
            <v>3629</v>
          </cell>
          <cell r="Q2851">
            <v>2862</v>
          </cell>
        </row>
        <row r="2852">
          <cell r="B2852" t="str">
            <v>SAN LEANDRO U 1114501762</v>
          </cell>
          <cell r="C2852">
            <v>13111114</v>
          </cell>
          <cell r="D2852" t="str">
            <v>SAN LEANDRO U 1114</v>
          </cell>
          <cell r="E2852">
            <v>501762</v>
          </cell>
          <cell r="F2852" t="b">
            <v>1</v>
          </cell>
          <cell r="G2852">
            <v>2438.6275378885398</v>
          </cell>
          <cell r="H2852">
            <v>775.05080672691099</v>
          </cell>
          <cell r="I2852">
            <v>23</v>
          </cell>
          <cell r="J2852">
            <v>8.4177656350695305E-6</v>
          </cell>
          <cell r="K2852">
            <v>3618</v>
          </cell>
          <cell r="L2852">
            <v>6.5482186558453906E-2</v>
          </cell>
          <cell r="M2852">
            <v>3377</v>
          </cell>
          <cell r="N2852">
            <v>5.50977433206483E-7</v>
          </cell>
          <cell r="O2852">
            <v>3619</v>
          </cell>
          <cell r="Q2852">
            <v>2821</v>
          </cell>
        </row>
        <row r="2853">
          <cell r="B2853" t="str">
            <v>SAN LEANDRO U 1114653758</v>
          </cell>
          <cell r="C2853">
            <v>13111114</v>
          </cell>
          <cell r="D2853" t="str">
            <v>SAN LEANDRO U 1114</v>
          </cell>
          <cell r="E2853">
            <v>653758</v>
          </cell>
          <cell r="F2853" t="b">
            <v>1</v>
          </cell>
          <cell r="G2853">
            <v>582.36730472753095</v>
          </cell>
          <cell r="H2853">
            <v>582.36730472753095</v>
          </cell>
          <cell r="I2853">
            <v>5</v>
          </cell>
          <cell r="J2853">
            <v>5.5782402341719703E-5</v>
          </cell>
          <cell r="K2853">
            <v>2895</v>
          </cell>
          <cell r="L2853">
            <v>104.602354985475</v>
          </cell>
          <cell r="M2853">
            <v>1930</v>
          </cell>
          <cell r="N2853">
            <v>6.0671207332353202E-3</v>
          </cell>
          <cell r="O2853">
            <v>2151</v>
          </cell>
          <cell r="Q2853">
            <v>3538</v>
          </cell>
        </row>
        <row r="2854">
          <cell r="B2854" t="str">
            <v>SAN LEANDRO U 1114MR218</v>
          </cell>
          <cell r="C2854">
            <v>13111114</v>
          </cell>
          <cell r="D2854" t="str">
            <v>SAN LEANDRO U 1114</v>
          </cell>
          <cell r="E2854" t="str">
            <v>MR218</v>
          </cell>
          <cell r="F2854" t="b">
            <v>0</v>
          </cell>
          <cell r="G2854">
            <v>18150.166420384801</v>
          </cell>
          <cell r="H2854">
            <v>10386.813248747199</v>
          </cell>
          <cell r="I2854">
            <v>134</v>
          </cell>
          <cell r="J2854">
            <v>1.6172673474642499E-5</v>
          </cell>
          <cell r="K2854">
            <v>3577</v>
          </cell>
          <cell r="L2854">
            <v>6.5722327290186205E-2</v>
          </cell>
          <cell r="M2854">
            <v>3303</v>
          </cell>
          <cell r="N2854">
            <v>1.0693366971263899E-6</v>
          </cell>
          <cell r="O2854">
            <v>3586</v>
          </cell>
          <cell r="P2854">
            <v>0.06</v>
          </cell>
          <cell r="Q2854">
            <v>1868</v>
          </cell>
        </row>
        <row r="2855">
          <cell r="B2855" t="str">
            <v>SAN LEANDRO U 1114MR544</v>
          </cell>
          <cell r="C2855">
            <v>13111114</v>
          </cell>
          <cell r="D2855" t="str">
            <v>SAN LEANDRO U 1114</v>
          </cell>
          <cell r="E2855" t="str">
            <v>MR544</v>
          </cell>
          <cell r="F2855" t="b">
            <v>1</v>
          </cell>
          <cell r="G2855">
            <v>7120.8066036979299</v>
          </cell>
          <cell r="H2855">
            <v>27.982063271754502</v>
          </cell>
          <cell r="I2855">
            <v>62</v>
          </cell>
          <cell r="J2855">
            <v>9.0188508352184699E-6</v>
          </cell>
          <cell r="K2855">
            <v>3615</v>
          </cell>
          <cell r="L2855">
            <v>1.98114871654299</v>
          </cell>
          <cell r="M2855">
            <v>2844</v>
          </cell>
          <cell r="N2855">
            <v>1.2274404528526701E-4</v>
          </cell>
          <cell r="O2855">
            <v>2863</v>
          </cell>
          <cell r="P2855">
            <v>0.04</v>
          </cell>
          <cell r="Q2855">
            <v>2154</v>
          </cell>
        </row>
        <row r="2856">
          <cell r="B2856" t="str">
            <v>SAN LEANDRO U 1114MR545</v>
          </cell>
          <cell r="C2856">
            <v>13111114</v>
          </cell>
          <cell r="D2856" t="str">
            <v>SAN LEANDRO U 1114</v>
          </cell>
          <cell r="E2856" t="str">
            <v>MR545</v>
          </cell>
          <cell r="F2856" t="b">
            <v>0</v>
          </cell>
          <cell r="G2856">
            <v>7246.1984672414301</v>
          </cell>
          <cell r="H2856">
            <v>3496.0754220621998</v>
          </cell>
          <cell r="I2856">
            <v>66</v>
          </cell>
          <cell r="J2856">
            <v>1.16535625583117E-5</v>
          </cell>
          <cell r="K2856">
            <v>3610</v>
          </cell>
          <cell r="L2856">
            <v>6.5789449959993307E-2</v>
          </cell>
          <cell r="M2856">
            <v>3280</v>
          </cell>
          <cell r="N2856">
            <v>7.6918845379565597E-7</v>
          </cell>
          <cell r="O2856">
            <v>3613</v>
          </cell>
          <cell r="P2856">
            <v>0.06</v>
          </cell>
          <cell r="Q2856">
            <v>1782</v>
          </cell>
        </row>
        <row r="2857">
          <cell r="B2857" t="str">
            <v>SAN LUIS OBISPO 1101483444</v>
          </cell>
          <cell r="C2857">
            <v>182631101</v>
          </cell>
          <cell r="D2857" t="str">
            <v>SAN LUIS OBISPO 1101</v>
          </cell>
          <cell r="E2857">
            <v>483444</v>
          </cell>
          <cell r="F2857" t="b">
            <v>0</v>
          </cell>
          <cell r="G2857">
            <v>8714.6826113530806</v>
          </cell>
          <cell r="H2857">
            <v>3311.09683169544</v>
          </cell>
          <cell r="I2857">
            <v>67</v>
          </cell>
          <cell r="J2857">
            <v>5.4634677833179897E-5</v>
          </cell>
          <cell r="K2857">
            <v>2929</v>
          </cell>
          <cell r="L2857">
            <v>67.495977455333104</v>
          </cell>
          <cell r="M2857">
            <v>2105</v>
          </cell>
          <cell r="N2857">
            <v>6.1552148689414301E-3</v>
          </cell>
          <cell r="O2857">
            <v>2146</v>
          </cell>
          <cell r="Q2857">
            <v>2731</v>
          </cell>
        </row>
        <row r="2858">
          <cell r="B2858" t="str">
            <v>SAN LUIS OBISPO 1101CB</v>
          </cell>
          <cell r="C2858">
            <v>182631101</v>
          </cell>
          <cell r="D2858" t="str">
            <v>SAN LUIS OBISPO 1101</v>
          </cell>
          <cell r="E2858" t="str">
            <v>CB</v>
          </cell>
          <cell r="F2858" t="b">
            <v>0</v>
          </cell>
          <cell r="G2858">
            <v>10872.403182972999</v>
          </cell>
          <cell r="H2858">
            <v>5779.9667359589002</v>
          </cell>
          <cell r="I2858">
            <v>75</v>
          </cell>
          <cell r="J2858">
            <v>4.95670451712342E-5</v>
          </cell>
          <cell r="K2858">
            <v>3048</v>
          </cell>
          <cell r="L2858">
            <v>502.09651451915499</v>
          </cell>
          <cell r="M2858">
            <v>1196</v>
          </cell>
          <cell r="N2858">
            <v>2.87419461554222E-2</v>
          </cell>
          <cell r="O2858">
            <v>1486</v>
          </cell>
          <cell r="P2858">
            <v>0.7</v>
          </cell>
          <cell r="Q2858">
            <v>805</v>
          </cell>
        </row>
        <row r="2859">
          <cell r="B2859" t="str">
            <v>SAN LUIS OBISPO 1101V12</v>
          </cell>
          <cell r="C2859">
            <v>182631101</v>
          </cell>
          <cell r="D2859" t="str">
            <v>SAN LUIS OBISPO 1101</v>
          </cell>
          <cell r="E2859" t="str">
            <v>V12</v>
          </cell>
          <cell r="F2859" t="b">
            <v>0</v>
          </cell>
          <cell r="G2859">
            <v>33868.169422813298</v>
          </cell>
          <cell r="H2859">
            <v>33868.169422813298</v>
          </cell>
          <cell r="I2859">
            <v>127</v>
          </cell>
          <cell r="J2859">
            <v>8.4110257099382493E-5</v>
          </cell>
          <cell r="K2859">
            <v>2090</v>
          </cell>
          <cell r="L2859">
            <v>399.92299638864398</v>
          </cell>
          <cell r="M2859">
            <v>1297</v>
          </cell>
          <cell r="N2859">
            <v>2.7413729307561901E-2</v>
          </cell>
          <cell r="O2859">
            <v>1506</v>
          </cell>
          <cell r="P2859">
            <v>0.24</v>
          </cell>
          <cell r="Q2859">
            <v>1100</v>
          </cell>
        </row>
        <row r="2860">
          <cell r="B2860" t="str">
            <v>SAN LUIS OBISPO 1102348318</v>
          </cell>
          <cell r="C2860">
            <v>182631102</v>
          </cell>
          <cell r="D2860" t="str">
            <v>SAN LUIS OBISPO 1102</v>
          </cell>
          <cell r="E2860">
            <v>348318</v>
          </cell>
          <cell r="F2860" t="b">
            <v>1</v>
          </cell>
          <cell r="G2860">
            <v>597.03916933740902</v>
          </cell>
          <cell r="H2860">
            <v>597.03916933740902</v>
          </cell>
          <cell r="I2860">
            <v>6</v>
          </cell>
          <cell r="J2860">
            <v>4.5209846575744403E-5</v>
          </cell>
          <cell r="K2860">
            <v>3156</v>
          </cell>
          <cell r="L2860">
            <v>2033.00305175781</v>
          </cell>
          <cell r="M2860">
            <v>451</v>
          </cell>
          <cell r="N2860">
            <v>8.7346462969671301E-2</v>
          </cell>
          <cell r="O2860">
            <v>843</v>
          </cell>
          <cell r="Q2860">
            <v>2972</v>
          </cell>
        </row>
        <row r="2861">
          <cell r="B2861" t="str">
            <v>SAN LUIS OBISPO 1102357407</v>
          </cell>
          <cell r="C2861">
            <v>182631102</v>
          </cell>
          <cell r="D2861" t="str">
            <v>SAN LUIS OBISPO 1102</v>
          </cell>
          <cell r="E2861">
            <v>357407</v>
          </cell>
          <cell r="F2861" t="b">
            <v>1</v>
          </cell>
          <cell r="G2861">
            <v>396.36835031885698</v>
          </cell>
          <cell r="H2861">
            <v>382.65060539296599</v>
          </cell>
          <cell r="I2861">
            <v>5</v>
          </cell>
          <cell r="J2861">
            <v>5.61150160137913E-5</v>
          </cell>
          <cell r="K2861">
            <v>2883</v>
          </cell>
          <cell r="L2861">
            <v>139.42521778345099</v>
          </cell>
          <cell r="M2861">
            <v>1811</v>
          </cell>
          <cell r="N2861">
            <v>8.8376586573301694E-3</v>
          </cell>
          <cell r="O2861">
            <v>2012</v>
          </cell>
          <cell r="Q2861">
            <v>3206</v>
          </cell>
        </row>
        <row r="2862">
          <cell r="B2862" t="str">
            <v>SAN LUIS OBISPO 1102597518</v>
          </cell>
          <cell r="C2862">
            <v>182631102</v>
          </cell>
          <cell r="D2862" t="str">
            <v>SAN LUIS OBISPO 1102</v>
          </cell>
          <cell r="E2862">
            <v>597518</v>
          </cell>
          <cell r="F2862" t="b">
            <v>1</v>
          </cell>
          <cell r="G2862">
            <v>2581.1499633312201</v>
          </cell>
          <cell r="H2862">
            <v>65.164728518160899</v>
          </cell>
          <cell r="I2862">
            <v>30</v>
          </cell>
          <cell r="J2862">
            <v>4.6337042931554599E-5</v>
          </cell>
          <cell r="K2862">
            <v>3129</v>
          </cell>
          <cell r="L2862">
            <v>233.21796360264199</v>
          </cell>
          <cell r="M2862">
            <v>1579</v>
          </cell>
          <cell r="N2862">
            <v>1.71746558948958E-2</v>
          </cell>
          <cell r="O2862">
            <v>1734</v>
          </cell>
          <cell r="P2862">
            <v>7.0000000000000007E-2</v>
          </cell>
          <cell r="Q2862">
            <v>1768</v>
          </cell>
        </row>
        <row r="2863">
          <cell r="B2863" t="str">
            <v>SAN LUIS OBISPO 1103153199</v>
          </cell>
          <cell r="C2863">
            <v>182631103</v>
          </cell>
          <cell r="D2863" t="str">
            <v>SAN LUIS OBISPO 1103</v>
          </cell>
          <cell r="E2863">
            <v>153199</v>
          </cell>
          <cell r="F2863" t="b">
            <v>0</v>
          </cell>
          <cell r="G2863">
            <v>8788.2196559100594</v>
          </cell>
          <cell r="H2863">
            <v>4750.5459242716597</v>
          </cell>
          <cell r="I2863">
            <v>53</v>
          </cell>
          <cell r="J2863">
            <v>4.9985634520779503E-5</v>
          </cell>
          <cell r="K2863">
            <v>3037</v>
          </cell>
          <cell r="L2863">
            <v>2588.04956392437</v>
          </cell>
          <cell r="M2863">
            <v>334</v>
          </cell>
          <cell r="N2863">
            <v>0.121395198631343</v>
          </cell>
          <cell r="O2863">
            <v>639</v>
          </cell>
          <cell r="Q2863">
            <v>3364</v>
          </cell>
        </row>
        <row r="2864">
          <cell r="B2864" t="str">
            <v>SAN LUIS OBISPO 1103191498</v>
          </cell>
          <cell r="C2864">
            <v>182631103</v>
          </cell>
          <cell r="D2864" t="str">
            <v>SAN LUIS OBISPO 1103</v>
          </cell>
          <cell r="E2864">
            <v>191498</v>
          </cell>
          <cell r="F2864" t="b">
            <v>1</v>
          </cell>
          <cell r="G2864">
            <v>267.69145281698297</v>
          </cell>
          <cell r="H2864">
            <v>189.85675983911699</v>
          </cell>
          <cell r="I2864">
            <v>2</v>
          </cell>
          <cell r="J2864">
            <v>1.1045860446756701E-5</v>
          </cell>
          <cell r="K2864">
            <v>3611</v>
          </cell>
          <cell r="L2864">
            <v>6.5789449959993307E-2</v>
          </cell>
          <cell r="M2864">
            <v>3281</v>
          </cell>
          <cell r="N2864">
            <v>7.2793524331525105E-7</v>
          </cell>
          <cell r="O2864">
            <v>3614</v>
          </cell>
          <cell r="Q2864">
            <v>3198</v>
          </cell>
        </row>
        <row r="2865">
          <cell r="B2865" t="str">
            <v>SAN LUIS OBISPO 1103365572</v>
          </cell>
          <cell r="C2865">
            <v>182631103</v>
          </cell>
          <cell r="D2865" t="str">
            <v>SAN LUIS OBISPO 1103</v>
          </cell>
          <cell r="E2865">
            <v>365572</v>
          </cell>
          <cell r="F2865" t="b">
            <v>1</v>
          </cell>
          <cell r="G2865">
            <v>696.846463531616</v>
          </cell>
          <cell r="H2865">
            <v>611.85888782381301</v>
          </cell>
          <cell r="I2865">
            <v>2</v>
          </cell>
          <cell r="J2865">
            <v>9.4733117293799296E-5</v>
          </cell>
          <cell r="K2865">
            <v>1772</v>
          </cell>
          <cell r="L2865">
            <v>2195.1828002929601</v>
          </cell>
          <cell r="M2865">
            <v>403</v>
          </cell>
          <cell r="N2865">
            <v>0.18298581740425701</v>
          </cell>
          <cell r="O2865">
            <v>391</v>
          </cell>
          <cell r="Q2865">
            <v>3633</v>
          </cell>
        </row>
        <row r="2866">
          <cell r="B2866" t="str">
            <v>SAN LUIS OBISPO 110342344</v>
          </cell>
          <cell r="C2866">
            <v>182631103</v>
          </cell>
          <cell r="D2866" t="str">
            <v>SAN LUIS OBISPO 1103</v>
          </cell>
          <cell r="E2866">
            <v>42344</v>
          </cell>
          <cell r="F2866" t="b">
            <v>0</v>
          </cell>
          <cell r="G2866">
            <v>17541.982535561699</v>
          </cell>
          <cell r="H2866">
            <v>15185.6709068865</v>
          </cell>
          <cell r="I2866">
            <v>123</v>
          </cell>
          <cell r="J2866">
            <v>6.00496733236692E-5</v>
          </cell>
          <cell r="K2866">
            <v>2772</v>
          </cell>
          <cell r="L2866">
            <v>2518.11166991656</v>
          </cell>
          <cell r="M2866">
            <v>341</v>
          </cell>
          <cell r="N2866">
            <v>0.150765142824173</v>
          </cell>
          <cell r="O2866">
            <v>514</v>
          </cell>
          <cell r="P2866">
            <v>5.29</v>
          </cell>
          <cell r="Q2866">
            <v>491</v>
          </cell>
        </row>
        <row r="2867">
          <cell r="B2867" t="str">
            <v>SAN LUIS OBISPO 1103934355</v>
          </cell>
          <cell r="C2867">
            <v>182631103</v>
          </cell>
          <cell r="D2867" t="str">
            <v>SAN LUIS OBISPO 1103</v>
          </cell>
          <cell r="E2867">
            <v>934355</v>
          </cell>
          <cell r="F2867" t="b">
            <v>1</v>
          </cell>
          <cell r="G2867">
            <v>1942.6665705319699</v>
          </cell>
          <cell r="H2867">
            <v>915.67060909913403</v>
          </cell>
          <cell r="I2867">
            <v>12</v>
          </cell>
          <cell r="J2867">
            <v>8.3455315992371897E-5</v>
          </cell>
          <cell r="K2867">
            <v>2118</v>
          </cell>
          <cell r="L2867">
            <v>1431.4243882757901</v>
          </cell>
          <cell r="M2867">
            <v>623</v>
          </cell>
          <cell r="N2867">
            <v>0.100292917903754</v>
          </cell>
          <cell r="O2867">
            <v>763</v>
          </cell>
          <cell r="Q2867">
            <v>3546</v>
          </cell>
        </row>
        <row r="2868">
          <cell r="B2868" t="str">
            <v>SAN LUIS OBISPO 1103CB</v>
          </cell>
          <cell r="C2868">
            <v>182631103</v>
          </cell>
          <cell r="D2868" t="str">
            <v>SAN LUIS OBISPO 1103</v>
          </cell>
          <cell r="E2868" t="str">
            <v>CB</v>
          </cell>
          <cell r="F2868" t="b">
            <v>1</v>
          </cell>
          <cell r="G2868">
            <v>10934.081097644799</v>
          </cell>
          <cell r="H2868">
            <v>0</v>
          </cell>
          <cell r="I2868">
            <v>68</v>
          </cell>
          <cell r="J2868">
            <v>1.11278548776199E-4</v>
          </cell>
          <cell r="K2868">
            <v>1389</v>
          </cell>
          <cell r="L2868">
            <v>204.948924482416</v>
          </cell>
          <cell r="M2868">
            <v>1629</v>
          </cell>
          <cell r="N2868">
            <v>2.7594245718522901E-2</v>
          </cell>
          <cell r="O2868">
            <v>1503</v>
          </cell>
          <cell r="P2868">
            <v>0.03</v>
          </cell>
          <cell r="Q2868">
            <v>2305</v>
          </cell>
        </row>
        <row r="2869">
          <cell r="B2869" t="str">
            <v>SAN LUIS OBISPO 1103V82</v>
          </cell>
          <cell r="C2869">
            <v>182631103</v>
          </cell>
          <cell r="D2869" t="str">
            <v>SAN LUIS OBISPO 1103</v>
          </cell>
          <cell r="E2869" t="str">
            <v>V82</v>
          </cell>
          <cell r="F2869" t="b">
            <v>0</v>
          </cell>
          <cell r="G2869">
            <v>22558.980061681199</v>
          </cell>
          <cell r="H2869">
            <v>14130.1147487546</v>
          </cell>
          <cell r="I2869">
            <v>174</v>
          </cell>
          <cell r="J2869">
            <v>7.4918483116415705E-5</v>
          </cell>
          <cell r="K2869">
            <v>2332</v>
          </cell>
          <cell r="L2869">
            <v>326.04953077795102</v>
          </cell>
          <cell r="M2869">
            <v>1404</v>
          </cell>
          <cell r="N2869">
            <v>2.75719621303172E-2</v>
          </cell>
          <cell r="O2869">
            <v>1504</v>
          </cell>
          <cell r="P2869">
            <v>0.06</v>
          </cell>
          <cell r="Q2869">
            <v>1792</v>
          </cell>
        </row>
        <row r="2870">
          <cell r="B2870" t="str">
            <v>SAN LUIS OBISPO 1104350030</v>
          </cell>
          <cell r="C2870">
            <v>182631104</v>
          </cell>
          <cell r="D2870" t="str">
            <v>SAN LUIS OBISPO 1104</v>
          </cell>
          <cell r="E2870">
            <v>350030</v>
          </cell>
          <cell r="F2870" t="b">
            <v>0</v>
          </cell>
          <cell r="G2870">
            <v>14009.014972239</v>
          </cell>
          <cell r="H2870">
            <v>9325.2379908985895</v>
          </cell>
          <cell r="I2870">
            <v>107</v>
          </cell>
          <cell r="J2870">
            <v>1.2846631466983E-4</v>
          </cell>
          <cell r="K2870">
            <v>1039</v>
          </cell>
          <cell r="L2870">
            <v>957.56571421639899</v>
          </cell>
          <cell r="M2870">
            <v>855</v>
          </cell>
          <cell r="N2870">
            <v>0.125976751779145</v>
          </cell>
          <cell r="O2870">
            <v>621</v>
          </cell>
          <cell r="Q2870">
            <v>3314</v>
          </cell>
        </row>
        <row r="2871">
          <cell r="B2871" t="str">
            <v>SAN LUIS OBISPO 1104753254</v>
          </cell>
          <cell r="C2871">
            <v>182631104</v>
          </cell>
          <cell r="D2871" t="str">
            <v>SAN LUIS OBISPO 1104</v>
          </cell>
          <cell r="E2871">
            <v>753254</v>
          </cell>
          <cell r="F2871" t="b">
            <v>1</v>
          </cell>
          <cell r="G2871">
            <v>576.08097827831295</v>
          </cell>
          <cell r="H2871">
            <v>561.14856821689398</v>
          </cell>
          <cell r="I2871">
            <v>2</v>
          </cell>
          <cell r="J2871">
            <v>1.31601067550946E-4</v>
          </cell>
          <cell r="K2871">
            <v>988</v>
          </cell>
          <cell r="L2871">
            <v>1237.86330413818</v>
          </cell>
          <cell r="M2871">
            <v>707</v>
          </cell>
          <cell r="N2871">
            <v>4.76568867677696E-2</v>
          </cell>
          <cell r="O2871">
            <v>1202</v>
          </cell>
          <cell r="Q2871">
            <v>3631</v>
          </cell>
        </row>
        <row r="2872">
          <cell r="B2872" t="str">
            <v>SAN LUIS OBISPO 1104777686</v>
          </cell>
          <cell r="C2872">
            <v>182631104</v>
          </cell>
          <cell r="D2872" t="str">
            <v>SAN LUIS OBISPO 1104</v>
          </cell>
          <cell r="E2872">
            <v>777686</v>
          </cell>
          <cell r="F2872" t="b">
            <v>0</v>
          </cell>
          <cell r="G2872">
            <v>3079.7620205405901</v>
          </cell>
          <cell r="H2872">
            <v>2707.2733099567099</v>
          </cell>
          <cell r="I2872">
            <v>17</v>
          </cell>
          <cell r="J2872">
            <v>6.1973796960046402E-5</v>
          </cell>
          <cell r="K2872">
            <v>2721</v>
          </cell>
          <cell r="L2872">
            <v>2050.5491683421701</v>
          </cell>
          <cell r="M2872">
            <v>444</v>
          </cell>
          <cell r="N2872">
            <v>0.117314890173345</v>
          </cell>
          <cell r="O2872">
            <v>662</v>
          </cell>
          <cell r="Q2872">
            <v>3452</v>
          </cell>
        </row>
        <row r="2873">
          <cell r="B2873" t="str">
            <v>SAN LUIS OBISPO 1104982992</v>
          </cell>
          <cell r="C2873">
            <v>182631104</v>
          </cell>
          <cell r="D2873" t="str">
            <v>SAN LUIS OBISPO 1104</v>
          </cell>
          <cell r="E2873">
            <v>982992</v>
          </cell>
          <cell r="F2873" t="b">
            <v>0</v>
          </cell>
          <cell r="G2873">
            <v>14390.208612963401</v>
          </cell>
          <cell r="H2873">
            <v>14390.208612963401</v>
          </cell>
          <cell r="I2873">
            <v>52</v>
          </cell>
          <cell r="J2873">
            <v>4.6114632912612401E-5</v>
          </cell>
          <cell r="K2873">
            <v>3136</v>
          </cell>
          <cell r="L2873">
            <v>911.21885299115104</v>
          </cell>
          <cell r="M2873">
            <v>880</v>
          </cell>
          <cell r="N2873">
            <v>4.3525637179221199E-2</v>
          </cell>
          <cell r="O2873">
            <v>1248</v>
          </cell>
          <cell r="Q2873">
            <v>3292</v>
          </cell>
        </row>
        <row r="2874">
          <cell r="B2874" t="str">
            <v>SAN LUIS OBISPO 1104CB</v>
          </cell>
          <cell r="C2874">
            <v>182631104</v>
          </cell>
          <cell r="D2874" t="str">
            <v>SAN LUIS OBISPO 1104</v>
          </cell>
          <cell r="E2874" t="str">
            <v>CB</v>
          </cell>
          <cell r="F2874" t="b">
            <v>1</v>
          </cell>
          <cell r="G2874">
            <v>10585.951034932399</v>
          </cell>
          <cell r="H2874">
            <v>124.24879688679999</v>
          </cell>
          <cell r="I2874">
            <v>65</v>
          </cell>
          <cell r="J2874">
            <v>1.1176802783552299E-4</v>
          </cell>
          <cell r="K2874">
            <v>1373</v>
          </cell>
          <cell r="L2874">
            <v>315.25755772865699</v>
          </cell>
          <cell r="M2874">
            <v>1425</v>
          </cell>
          <cell r="N2874">
            <v>3.3862545491841298E-2</v>
          </cell>
          <cell r="O2874">
            <v>1388</v>
          </cell>
          <cell r="P2874">
            <v>0.02</v>
          </cell>
          <cell r="Q2874">
            <v>2451</v>
          </cell>
        </row>
        <row r="2875">
          <cell r="B2875" t="str">
            <v>SAN LUIS OBISPO 1104V10</v>
          </cell>
          <cell r="C2875">
            <v>182631104</v>
          </cell>
          <cell r="D2875" t="str">
            <v>SAN LUIS OBISPO 1104</v>
          </cell>
          <cell r="E2875" t="str">
            <v>V10</v>
          </cell>
          <cell r="F2875" t="b">
            <v>0</v>
          </cell>
          <cell r="G2875">
            <v>7811.0705332286097</v>
          </cell>
          <cell r="H2875">
            <v>3504.83067162731</v>
          </cell>
          <cell r="I2875">
            <v>54</v>
          </cell>
          <cell r="J2875">
            <v>1.07760254330194E-4</v>
          </cell>
          <cell r="K2875">
            <v>1457</v>
          </cell>
          <cell r="L2875">
            <v>473.680079408403</v>
          </cell>
          <cell r="M2875">
            <v>1219</v>
          </cell>
          <cell r="N2875">
            <v>8.5102992130711499E-2</v>
          </cell>
          <cell r="O2875">
            <v>863</v>
          </cell>
          <cell r="Q2875">
            <v>2796</v>
          </cell>
        </row>
        <row r="2876">
          <cell r="B2876" t="str">
            <v>SAN LUIS OBISPO 1104V14</v>
          </cell>
          <cell r="C2876">
            <v>182631104</v>
          </cell>
          <cell r="D2876" t="str">
            <v>SAN LUIS OBISPO 1104</v>
          </cell>
          <cell r="E2876" t="str">
            <v>V14</v>
          </cell>
          <cell r="F2876" t="b">
            <v>0</v>
          </cell>
          <cell r="G2876">
            <v>13117.1277411098</v>
          </cell>
          <cell r="H2876">
            <v>13103.4116980774</v>
          </cell>
          <cell r="I2876">
            <v>69</v>
          </cell>
          <cell r="J2876">
            <v>5.31613182315397E-5</v>
          </cell>
          <cell r="K2876">
            <v>2961</v>
          </cell>
          <cell r="L2876">
            <v>462.60180858025899</v>
          </cell>
          <cell r="M2876">
            <v>1233</v>
          </cell>
          <cell r="N2876">
            <v>3.2379750635166099E-2</v>
          </cell>
          <cell r="O2876">
            <v>1418</v>
          </cell>
          <cell r="P2876">
            <v>7.0000000000000007E-2</v>
          </cell>
          <cell r="Q2876">
            <v>1714</v>
          </cell>
        </row>
        <row r="2877">
          <cell r="B2877" t="str">
            <v>SAN LUIS OBISPO 1104V40</v>
          </cell>
          <cell r="C2877">
            <v>182631104</v>
          </cell>
          <cell r="D2877" t="str">
            <v>SAN LUIS OBISPO 1104</v>
          </cell>
          <cell r="E2877" t="str">
            <v>V40</v>
          </cell>
          <cell r="F2877" t="b">
            <v>0</v>
          </cell>
          <cell r="G2877">
            <v>37151.7010289506</v>
          </cell>
          <cell r="H2877">
            <v>23652.228155228098</v>
          </cell>
          <cell r="I2877">
            <v>194</v>
          </cell>
          <cell r="J2877">
            <v>7.9558397023523202E-5</v>
          </cell>
          <cell r="K2877">
            <v>2220</v>
          </cell>
          <cell r="L2877">
            <v>1050.0889889170001</v>
          </cell>
          <cell r="M2877">
            <v>797</v>
          </cell>
          <cell r="N2877">
            <v>7.3388753018952202E-2</v>
          </cell>
          <cell r="O2877">
            <v>952</v>
          </cell>
          <cell r="P2877">
            <v>0.06</v>
          </cell>
          <cell r="Q2877">
            <v>1795</v>
          </cell>
        </row>
        <row r="2878">
          <cell r="B2878" t="str">
            <v>SAN LUIS OBISPO 1104V46</v>
          </cell>
          <cell r="C2878">
            <v>182631104</v>
          </cell>
          <cell r="D2878" t="str">
            <v>SAN LUIS OBISPO 1104</v>
          </cell>
          <cell r="E2878" t="str">
            <v>V46</v>
          </cell>
          <cell r="F2878" t="b">
            <v>0</v>
          </cell>
          <cell r="G2878">
            <v>33477.449844269897</v>
          </cell>
          <cell r="H2878">
            <v>32077.396421663401</v>
          </cell>
          <cell r="I2878">
            <v>206</v>
          </cell>
          <cell r="J2878">
            <v>6.5384522638008198E-5</v>
          </cell>
          <cell r="K2878">
            <v>2604</v>
          </cell>
          <cell r="L2878">
            <v>359.608621901714</v>
          </cell>
          <cell r="M2878">
            <v>1354</v>
          </cell>
          <cell r="N2878">
            <v>2.5183810137748099E-2</v>
          </cell>
          <cell r="O2878">
            <v>1555</v>
          </cell>
          <cell r="P2878">
            <v>0.57999999999999996</v>
          </cell>
          <cell r="Q2878">
            <v>860</v>
          </cell>
        </row>
        <row r="2879">
          <cell r="B2879" t="str">
            <v>SAN LUIS OBISPO 1105512313</v>
          </cell>
          <cell r="C2879">
            <v>182631105</v>
          </cell>
          <cell r="D2879" t="str">
            <v>SAN LUIS OBISPO 1105</v>
          </cell>
          <cell r="E2879">
            <v>512313</v>
          </cell>
          <cell r="F2879" t="b">
            <v>1</v>
          </cell>
          <cell r="G2879">
            <v>1333.0798628570401</v>
          </cell>
          <cell r="H2879">
            <v>785.91247700355598</v>
          </cell>
          <cell r="I2879">
            <v>10</v>
          </cell>
          <cell r="J2879">
            <v>3.7022503965999899E-5</v>
          </cell>
          <cell r="K2879">
            <v>3314</v>
          </cell>
          <cell r="L2879">
            <v>418.91406954824902</v>
          </cell>
          <cell r="M2879">
            <v>1273</v>
          </cell>
          <cell r="N2879">
            <v>2.2062595486209299E-2</v>
          </cell>
          <cell r="O2879">
            <v>1629</v>
          </cell>
          <cell r="Q2879">
            <v>3136</v>
          </cell>
        </row>
        <row r="2880">
          <cell r="B2880" t="str">
            <v>SAN LUIS OBISPO 1105796050</v>
          </cell>
          <cell r="C2880">
            <v>182631105</v>
          </cell>
          <cell r="D2880" t="str">
            <v>SAN LUIS OBISPO 1105</v>
          </cell>
          <cell r="E2880">
            <v>796050</v>
          </cell>
          <cell r="F2880" t="b">
            <v>1</v>
          </cell>
          <cell r="G2880">
            <v>5067.2793660192901</v>
          </cell>
          <cell r="H2880">
            <v>383.748425528577</v>
          </cell>
          <cell r="I2880">
            <v>45</v>
          </cell>
          <cell r="J2880">
            <v>4.1549489489827602E-5</v>
          </cell>
          <cell r="K2880">
            <v>3233</v>
          </cell>
          <cell r="L2880">
            <v>109.40219911452699</v>
          </cell>
          <cell r="M2880">
            <v>1911</v>
          </cell>
          <cell r="N2880">
            <v>1.7291193158952799E-2</v>
          </cell>
          <cell r="O2880">
            <v>1730</v>
          </cell>
          <cell r="Q2880">
            <v>2738</v>
          </cell>
        </row>
        <row r="2881">
          <cell r="B2881" t="str">
            <v>SAN LUIS OBISPO 110596874</v>
          </cell>
          <cell r="C2881">
            <v>182631105</v>
          </cell>
          <cell r="D2881" t="str">
            <v>SAN LUIS OBISPO 1105</v>
          </cell>
          <cell r="E2881">
            <v>96874</v>
          </cell>
          <cell r="F2881" t="b">
            <v>0</v>
          </cell>
          <cell r="G2881">
            <v>1722.01767847684</v>
          </cell>
          <cell r="H2881">
            <v>1345.51570107357</v>
          </cell>
          <cell r="I2881">
            <v>16</v>
          </cell>
          <cell r="J2881">
            <v>5.4971247891444303E-5</v>
          </cell>
          <cell r="K2881">
            <v>2913</v>
          </cell>
          <cell r="L2881">
            <v>6.5950064919888904E-2</v>
          </cell>
          <cell r="M2881">
            <v>3234</v>
          </cell>
          <cell r="N2881">
            <v>3.6408098404548699E-6</v>
          </cell>
          <cell r="O2881">
            <v>3356</v>
          </cell>
          <cell r="Q2881">
            <v>3127</v>
          </cell>
        </row>
        <row r="2882">
          <cell r="B2882" t="str">
            <v>SAN LUIS OBISPO 1105CB</v>
          </cell>
          <cell r="C2882">
            <v>182631105</v>
          </cell>
          <cell r="D2882" t="str">
            <v>SAN LUIS OBISPO 1105</v>
          </cell>
          <cell r="E2882" t="str">
            <v>CB</v>
          </cell>
          <cell r="F2882" t="b">
            <v>1</v>
          </cell>
          <cell r="G2882">
            <v>5657.7233397847303</v>
          </cell>
          <cell r="H2882">
            <v>67.490625577183394</v>
          </cell>
          <cell r="I2882">
            <v>43</v>
          </cell>
          <cell r="J2882">
            <v>3.1410962763055998E-5</v>
          </cell>
          <cell r="K2882">
            <v>3409</v>
          </cell>
          <cell r="L2882">
            <v>11.896143929209799</v>
          </cell>
          <cell r="M2882">
            <v>2591</v>
          </cell>
          <cell r="N2882">
            <v>2.3199764898488599E-4</v>
          </cell>
          <cell r="O2882">
            <v>2820</v>
          </cell>
          <cell r="P2882">
            <v>0.04</v>
          </cell>
          <cell r="Q2882">
            <v>2072</v>
          </cell>
        </row>
        <row r="2883">
          <cell r="B2883" t="str">
            <v>SAN LUIS OBISPO 110788962</v>
          </cell>
          <cell r="C2883">
            <v>182631107</v>
          </cell>
          <cell r="D2883" t="str">
            <v>SAN LUIS OBISPO 1107</v>
          </cell>
          <cell r="E2883">
            <v>88962</v>
          </cell>
          <cell r="F2883" t="b">
            <v>0</v>
          </cell>
          <cell r="G2883">
            <v>6442.5414954190401</v>
          </cell>
          <cell r="H2883">
            <v>3996.9258733558399</v>
          </cell>
          <cell r="I2883">
            <v>45</v>
          </cell>
          <cell r="J2883">
            <v>4.8648644906279501E-5</v>
          </cell>
          <cell r="K2883">
            <v>3070</v>
          </cell>
          <cell r="L2883">
            <v>1156.91322125742</v>
          </cell>
          <cell r="M2883">
            <v>752</v>
          </cell>
          <cell r="N2883">
            <v>8.9174402013502699E-2</v>
          </cell>
          <cell r="O2883">
            <v>830</v>
          </cell>
          <cell r="P2883">
            <v>0.04</v>
          </cell>
          <cell r="Q2883">
            <v>2070</v>
          </cell>
        </row>
        <row r="2884">
          <cell r="B2884" t="str">
            <v>SAN LUIS OBISPO 1107CB</v>
          </cell>
          <cell r="C2884">
            <v>182631107</v>
          </cell>
          <cell r="D2884" t="str">
            <v>SAN LUIS OBISPO 1107</v>
          </cell>
          <cell r="E2884" t="str">
            <v>CB</v>
          </cell>
          <cell r="F2884" t="b">
            <v>0</v>
          </cell>
          <cell r="G2884">
            <v>1947.4719955250901</v>
          </cell>
          <cell r="H2884">
            <v>1251.1033180423101</v>
          </cell>
          <cell r="I2884">
            <v>19</v>
          </cell>
          <cell r="J2884">
            <v>5.3488697104560397E-5</v>
          </cell>
          <cell r="K2884">
            <v>2951</v>
          </cell>
          <cell r="L2884">
            <v>32.606374788441101</v>
          </cell>
          <cell r="M2884">
            <v>2325</v>
          </cell>
          <cell r="N2884">
            <v>1.6436318057325499E-3</v>
          </cell>
          <cell r="O2884">
            <v>2532</v>
          </cell>
          <cell r="P2884">
            <v>0.03</v>
          </cell>
          <cell r="Q2884">
            <v>2359</v>
          </cell>
        </row>
        <row r="2885">
          <cell r="B2885" t="str">
            <v>SAN LUIS OBISPO 1107V02</v>
          </cell>
          <cell r="C2885">
            <v>182631107</v>
          </cell>
          <cell r="D2885" t="str">
            <v>SAN LUIS OBISPO 1107</v>
          </cell>
          <cell r="E2885" t="str">
            <v>V02</v>
          </cell>
          <cell r="F2885" t="b">
            <v>0</v>
          </cell>
          <cell r="G2885">
            <v>29266.156586970501</v>
          </cell>
          <cell r="H2885">
            <v>29266.156586970501</v>
          </cell>
          <cell r="I2885">
            <v>202</v>
          </cell>
          <cell r="J2885">
            <v>6.7471816343564001E-5</v>
          </cell>
          <cell r="K2885">
            <v>2550</v>
          </cell>
          <cell r="L2885">
            <v>602.23740163065497</v>
          </cell>
          <cell r="M2885">
            <v>1099</v>
          </cell>
          <cell r="N2885">
            <v>3.9183895045690302E-2</v>
          </cell>
          <cell r="O2885">
            <v>1317</v>
          </cell>
          <cell r="P2885">
            <v>0.28999999999999998</v>
          </cell>
          <cell r="Q2885">
            <v>1026</v>
          </cell>
        </row>
        <row r="2886">
          <cell r="B2886" t="str">
            <v>SAN LUIS OBISPO 1107V18</v>
          </cell>
          <cell r="C2886">
            <v>182631107</v>
          </cell>
          <cell r="D2886" t="str">
            <v>SAN LUIS OBISPO 1107</v>
          </cell>
          <cell r="E2886" t="str">
            <v>V18</v>
          </cell>
          <cell r="F2886" t="b">
            <v>0</v>
          </cell>
          <cell r="G2886">
            <v>6444.7052238042997</v>
          </cell>
          <cell r="H2886">
            <v>4344.0921813673904</v>
          </cell>
          <cell r="I2886">
            <v>41</v>
          </cell>
          <cell r="J2886">
            <v>3.6107328221591201E-5</v>
          </cell>
          <cell r="K2886">
            <v>3335</v>
          </cell>
          <cell r="L2886">
            <v>204.057926029512</v>
          </cell>
          <cell r="M2886">
            <v>1633</v>
          </cell>
          <cell r="N2886">
            <v>1.4214590728433301E-2</v>
          </cell>
          <cell r="O2886">
            <v>1813</v>
          </cell>
          <cell r="P2886">
            <v>0.08</v>
          </cell>
          <cell r="Q2886">
            <v>1634</v>
          </cell>
        </row>
        <row r="2887">
          <cell r="B2887" t="str">
            <v>SAN LUIS OBISPO 1107V58</v>
          </cell>
          <cell r="C2887">
            <v>182631107</v>
          </cell>
          <cell r="D2887" t="str">
            <v>SAN LUIS OBISPO 1107</v>
          </cell>
          <cell r="E2887" t="str">
            <v>V58</v>
          </cell>
          <cell r="F2887" t="b">
            <v>0</v>
          </cell>
          <cell r="G2887">
            <v>3619.1201023528401</v>
          </cell>
          <cell r="H2887">
            <v>1838.4444919744301</v>
          </cell>
          <cell r="I2887">
            <v>25</v>
          </cell>
          <cell r="J2887">
            <v>3.6836226563536897E-5</v>
          </cell>
          <cell r="K2887">
            <v>3317</v>
          </cell>
          <cell r="L2887">
            <v>42.899726550876998</v>
          </cell>
          <cell r="M2887">
            <v>2262</v>
          </cell>
          <cell r="N2887">
            <v>2.7879397396079102E-3</v>
          </cell>
          <cell r="O2887">
            <v>2373</v>
          </cell>
          <cell r="P2887">
            <v>0.25</v>
          </cell>
          <cell r="Q2887">
            <v>1081</v>
          </cell>
        </row>
        <row r="2888">
          <cell r="B2888" t="str">
            <v>SAN LUIS OBISPO 1107V60</v>
          </cell>
          <cell r="C2888">
            <v>182631107</v>
          </cell>
          <cell r="D2888" t="str">
            <v>SAN LUIS OBISPO 1107</v>
          </cell>
          <cell r="E2888" t="str">
            <v>V60</v>
          </cell>
          <cell r="F2888" t="b">
            <v>0</v>
          </cell>
          <cell r="G2888">
            <v>25811.558263426799</v>
          </cell>
          <cell r="H2888">
            <v>25811.558263426799</v>
          </cell>
          <cell r="I2888">
            <v>142</v>
          </cell>
          <cell r="J2888">
            <v>6.43346211677937E-5</v>
          </cell>
          <cell r="K2888">
            <v>2632</v>
          </cell>
          <cell r="L2888">
            <v>354.02377147311398</v>
          </cell>
          <cell r="M2888">
            <v>1367</v>
          </cell>
          <cell r="N2888">
            <v>1.98999414217245E-2</v>
          </cell>
          <cell r="O2888">
            <v>1672</v>
          </cell>
          <cell r="P2888">
            <v>0.51</v>
          </cell>
          <cell r="Q2888">
            <v>892</v>
          </cell>
        </row>
        <row r="2889">
          <cell r="B2889" t="str">
            <v>SAN LUIS OBISPO 1107V62</v>
          </cell>
          <cell r="C2889">
            <v>182631107</v>
          </cell>
          <cell r="D2889" t="str">
            <v>SAN LUIS OBISPO 1107</v>
          </cell>
          <cell r="E2889" t="str">
            <v>V62</v>
          </cell>
          <cell r="F2889" t="b">
            <v>0</v>
          </cell>
          <cell r="G2889">
            <v>11154.8311372391</v>
          </cell>
          <cell r="H2889">
            <v>11108.5020750115</v>
          </cell>
          <cell r="I2889">
            <v>50</v>
          </cell>
          <cell r="J2889">
            <v>5.5981047770895798E-5</v>
          </cell>
          <cell r="K2889">
            <v>2890</v>
          </cell>
          <cell r="L2889">
            <v>671.77106302663606</v>
          </cell>
          <cell r="M2889">
            <v>1042</v>
          </cell>
          <cell r="N2889">
            <v>3.7408682071879702E-2</v>
          </cell>
          <cell r="O2889">
            <v>1333</v>
          </cell>
          <cell r="P2889">
            <v>0.28999999999999998</v>
          </cell>
          <cell r="Q2889">
            <v>1023</v>
          </cell>
        </row>
        <row r="2890">
          <cell r="B2890" t="str">
            <v>SAN LUIS OBISPO 1108144690</v>
          </cell>
          <cell r="C2890">
            <v>182631108</v>
          </cell>
          <cell r="D2890" t="str">
            <v>SAN LUIS OBISPO 1108</v>
          </cell>
          <cell r="E2890">
            <v>144690</v>
          </cell>
          <cell r="F2890" t="b">
            <v>1</v>
          </cell>
          <cell r="G2890">
            <v>900.00027766368396</v>
          </cell>
          <cell r="H2890">
            <v>418.94201806263902</v>
          </cell>
          <cell r="I2890">
            <v>10</v>
          </cell>
          <cell r="J2890">
            <v>3.5333832693140699E-5</v>
          </cell>
          <cell r="K2890">
            <v>3344</v>
          </cell>
          <cell r="L2890">
            <v>7.5692530721425996E-2</v>
          </cell>
          <cell r="M2890">
            <v>2936</v>
          </cell>
          <cell r="N2890">
            <v>2.9049704967809998E-6</v>
          </cell>
          <cell r="O2890">
            <v>3422</v>
          </cell>
          <cell r="Q2890">
            <v>3264</v>
          </cell>
        </row>
        <row r="2891">
          <cell r="B2891" t="str">
            <v>SAN LUIS OBISPO 1108337126</v>
          </cell>
          <cell r="C2891">
            <v>182631108</v>
          </cell>
          <cell r="D2891" t="str">
            <v>SAN LUIS OBISPO 1108</v>
          </cell>
          <cell r="E2891">
            <v>337126</v>
          </cell>
          <cell r="F2891" t="b">
            <v>0</v>
          </cell>
          <cell r="G2891">
            <v>3227.6651129990501</v>
          </cell>
          <cell r="H2891">
            <v>1128.52104332161</v>
          </cell>
          <cell r="I2891">
            <v>28</v>
          </cell>
          <cell r="J2891">
            <v>3.3026650872411E-5</v>
          </cell>
          <cell r="K2891">
            <v>3386</v>
          </cell>
          <cell r="L2891">
            <v>257.51157690371701</v>
          </cell>
          <cell r="M2891">
            <v>1527</v>
          </cell>
          <cell r="N2891">
            <v>1.39644657164556E-2</v>
          </cell>
          <cell r="O2891">
            <v>1824</v>
          </cell>
          <cell r="Q2891">
            <v>3051</v>
          </cell>
        </row>
        <row r="2892">
          <cell r="B2892" t="str">
            <v>SAN LUIS OBISPO 1108809986</v>
          </cell>
          <cell r="C2892">
            <v>182631108</v>
          </cell>
          <cell r="D2892" t="str">
            <v>SAN LUIS OBISPO 1108</v>
          </cell>
          <cell r="E2892">
            <v>809986</v>
          </cell>
          <cell r="F2892" t="b">
            <v>0</v>
          </cell>
          <cell r="G2892">
            <v>3460.6710239061199</v>
          </cell>
          <cell r="H2892">
            <v>1661.0044282179199</v>
          </cell>
          <cell r="I2892">
            <v>18</v>
          </cell>
          <cell r="J2892">
            <v>4.7550910342882399E-5</v>
          </cell>
          <cell r="K2892">
            <v>3100</v>
          </cell>
          <cell r="L2892">
            <v>119.22999920489001</v>
          </cell>
          <cell r="M2892">
            <v>1872</v>
          </cell>
          <cell r="N2892">
            <v>1.16262847059827E-2</v>
          </cell>
          <cell r="O2892">
            <v>1897</v>
          </cell>
          <cell r="Q2892">
            <v>3484</v>
          </cell>
        </row>
        <row r="2893">
          <cell r="B2893" t="str">
            <v>SAN LUIS OBISPO 1108903036</v>
          </cell>
          <cell r="C2893">
            <v>182631108</v>
          </cell>
          <cell r="D2893" t="str">
            <v>SAN LUIS OBISPO 1108</v>
          </cell>
          <cell r="E2893">
            <v>903036</v>
          </cell>
          <cell r="F2893" t="b">
            <v>1</v>
          </cell>
          <cell r="G2893">
            <v>576.61116359193602</v>
          </cell>
          <cell r="H2893">
            <v>306.64368813857402</v>
          </cell>
          <cell r="I2893">
            <v>5</v>
          </cell>
          <cell r="J2893">
            <v>5.0815947179216801E-5</v>
          </cell>
          <cell r="K2893">
            <v>3019</v>
          </cell>
          <cell r="L2893">
            <v>6.5403974056243902E-2</v>
          </cell>
          <cell r="M2893">
            <v>3415</v>
          </cell>
          <cell r="N2893">
            <v>3.34742354312266E-6</v>
          </cell>
          <cell r="O2893">
            <v>3379</v>
          </cell>
          <cell r="Q2893">
            <v>3419</v>
          </cell>
        </row>
        <row r="2894">
          <cell r="B2894" t="str">
            <v>SAN LUIS OBISPO 1108CB</v>
          </cell>
          <cell r="C2894">
            <v>182631108</v>
          </cell>
          <cell r="D2894" t="str">
            <v>SAN LUIS OBISPO 1108</v>
          </cell>
          <cell r="E2894" t="str">
            <v>CB</v>
          </cell>
          <cell r="F2894" t="b">
            <v>1</v>
          </cell>
          <cell r="G2894">
            <v>7402.9758190562798</v>
          </cell>
          <cell r="H2894">
            <v>10.267614742292</v>
          </cell>
          <cell r="I2894">
            <v>69</v>
          </cell>
          <cell r="J2894">
            <v>2.91981684530406E-5</v>
          </cell>
          <cell r="K2894">
            <v>3436</v>
          </cell>
          <cell r="L2894">
            <v>37.685037595206403</v>
          </cell>
          <cell r="M2894">
            <v>2292</v>
          </cell>
          <cell r="N2894">
            <v>3.1202394305391299E-4</v>
          </cell>
          <cell r="O2894">
            <v>2791</v>
          </cell>
          <cell r="P2894">
            <v>1.1100000000000001</v>
          </cell>
          <cell r="Q2894">
            <v>716</v>
          </cell>
        </row>
        <row r="2895">
          <cell r="B2895" t="str">
            <v>SAN MIGUEL 1104514987</v>
          </cell>
          <cell r="C2895">
            <v>182661104</v>
          </cell>
          <cell r="D2895" t="str">
            <v>SAN MIGUEL 1104</v>
          </cell>
          <cell r="E2895">
            <v>514987</v>
          </cell>
          <cell r="F2895" t="b">
            <v>0</v>
          </cell>
          <cell r="G2895">
            <v>21614.682023458899</v>
          </cell>
          <cell r="H2895">
            <v>13379.792700837999</v>
          </cell>
          <cell r="I2895">
            <v>63</v>
          </cell>
          <cell r="J2895">
            <v>4.6195440033140202E-5</v>
          </cell>
          <cell r="K2895">
            <v>3132</v>
          </cell>
          <cell r="L2895">
            <v>4320.4062561176297</v>
          </cell>
          <cell r="M2895">
            <v>122</v>
          </cell>
          <cell r="N2895">
            <v>0.20048089783162501</v>
          </cell>
          <cell r="O2895">
            <v>325</v>
          </cell>
          <cell r="Q2895">
            <v>3128</v>
          </cell>
        </row>
        <row r="2896">
          <cell r="B2896" t="str">
            <v>SAN MIGUEL 1104895760</v>
          </cell>
          <cell r="C2896">
            <v>182661104</v>
          </cell>
          <cell r="D2896" t="str">
            <v>SAN MIGUEL 1104</v>
          </cell>
          <cell r="E2896">
            <v>895760</v>
          </cell>
          <cell r="F2896" t="b">
            <v>0</v>
          </cell>
          <cell r="G2896">
            <v>19502.517099038399</v>
          </cell>
          <cell r="H2896">
            <v>14756.366275591299</v>
          </cell>
          <cell r="I2896">
            <v>96</v>
          </cell>
          <cell r="J2896">
            <v>9.5565087652478995E-5</v>
          </cell>
          <cell r="K2896">
            <v>1740</v>
          </cell>
          <cell r="L2896">
            <v>3633.01151515737</v>
          </cell>
          <cell r="M2896">
            <v>188</v>
          </cell>
          <cell r="N2896">
            <v>0.32643069659957002</v>
          </cell>
          <cell r="O2896">
            <v>107</v>
          </cell>
          <cell r="Q2896">
            <v>3035</v>
          </cell>
        </row>
        <row r="2897">
          <cell r="B2897" t="str">
            <v>SAN MIGUEL 1104N60</v>
          </cell>
          <cell r="C2897">
            <v>182661104</v>
          </cell>
          <cell r="D2897" t="str">
            <v>SAN MIGUEL 1104</v>
          </cell>
          <cell r="E2897" t="str">
            <v>N60</v>
          </cell>
          <cell r="F2897" t="b">
            <v>0</v>
          </cell>
          <cell r="G2897">
            <v>14171.0100752948</v>
          </cell>
          <cell r="H2897">
            <v>13316.658047684699</v>
          </cell>
          <cell r="I2897">
            <v>66</v>
          </cell>
          <cell r="J2897">
            <v>6.3748768610594198E-5</v>
          </cell>
          <cell r="K2897">
            <v>2655</v>
          </cell>
          <cell r="L2897">
            <v>3875.8170011363</v>
          </cell>
          <cell r="M2897">
            <v>160</v>
          </cell>
          <cell r="N2897">
            <v>0.242361122223788</v>
          </cell>
          <cell r="O2897">
            <v>229</v>
          </cell>
          <cell r="P2897">
            <v>0.04</v>
          </cell>
          <cell r="Q2897">
            <v>2143</v>
          </cell>
        </row>
        <row r="2898">
          <cell r="B2898" t="str">
            <v>SAN MIGUEL 1104R58</v>
          </cell>
          <cell r="C2898">
            <v>182661104</v>
          </cell>
          <cell r="D2898" t="str">
            <v>SAN MIGUEL 1104</v>
          </cell>
          <cell r="E2898" t="str">
            <v>R58</v>
          </cell>
          <cell r="F2898" t="b">
            <v>1</v>
          </cell>
          <cell r="G2898">
            <v>19359.874452390901</v>
          </cell>
          <cell r="H2898">
            <v>870.49725351443794</v>
          </cell>
          <cell r="I2898">
            <v>130</v>
          </cell>
          <cell r="J2898">
            <v>8.6052891342588397E-5</v>
          </cell>
          <cell r="K2898">
            <v>2033</v>
          </cell>
          <cell r="L2898">
            <v>466.19103315592901</v>
          </cell>
          <cell r="M2898">
            <v>1227</v>
          </cell>
          <cell r="N2898">
            <v>3.5810737915938397E-2</v>
          </cell>
          <cell r="O2898">
            <v>1358</v>
          </cell>
          <cell r="P2898">
            <v>0.03</v>
          </cell>
          <cell r="Q2898">
            <v>2357</v>
          </cell>
        </row>
        <row r="2899">
          <cell r="B2899" t="str">
            <v>SAN MIGUEL 1105873457</v>
          </cell>
          <cell r="C2899">
            <v>182661105</v>
          </cell>
          <cell r="D2899" t="str">
            <v>SAN MIGUEL 1105</v>
          </cell>
          <cell r="E2899">
            <v>873457</v>
          </cell>
          <cell r="F2899" t="b">
            <v>0</v>
          </cell>
          <cell r="G2899">
            <v>3228.14613989183</v>
          </cell>
          <cell r="H2899">
            <v>2440.6530911662899</v>
          </cell>
          <cell r="I2899">
            <v>18</v>
          </cell>
          <cell r="J2899">
            <v>6.4601233936948901E-5</v>
          </cell>
          <cell r="K2899">
            <v>2620</v>
          </cell>
          <cell r="L2899">
            <v>3816.6954789558999</v>
          </cell>
          <cell r="M2899">
            <v>166</v>
          </cell>
          <cell r="N2899">
            <v>0.27722774414140999</v>
          </cell>
          <cell r="O2899">
            <v>162</v>
          </cell>
          <cell r="Q2899">
            <v>3525</v>
          </cell>
        </row>
        <row r="2900">
          <cell r="B2900" t="str">
            <v>SAN MIGUEL 1106428314</v>
          </cell>
          <cell r="C2900">
            <v>182661106</v>
          </cell>
          <cell r="D2900" t="str">
            <v>SAN MIGUEL 1106</v>
          </cell>
          <cell r="E2900">
            <v>428314</v>
          </cell>
          <cell r="F2900" t="b">
            <v>0</v>
          </cell>
          <cell r="G2900">
            <v>29650.593937493199</v>
          </cell>
          <cell r="H2900">
            <v>23673.087174841301</v>
          </cell>
          <cell r="I2900">
            <v>73</v>
          </cell>
          <cell r="J2900">
            <v>6.2949213679530595E-5</v>
          </cell>
          <cell r="K2900">
            <v>2680</v>
          </cell>
          <cell r="L2900">
            <v>2640.9061672350699</v>
          </cell>
          <cell r="M2900">
            <v>321</v>
          </cell>
          <cell r="N2900">
            <v>0.15993146988852699</v>
          </cell>
          <cell r="O2900">
            <v>471</v>
          </cell>
          <cell r="Q2900">
            <v>2732</v>
          </cell>
        </row>
        <row r="2901">
          <cell r="B2901" t="str">
            <v>SAN MIGUEL 1106605393</v>
          </cell>
          <cell r="C2901">
            <v>182661106</v>
          </cell>
          <cell r="D2901" t="str">
            <v>SAN MIGUEL 1106</v>
          </cell>
          <cell r="E2901">
            <v>605393</v>
          </cell>
          <cell r="F2901" t="b">
            <v>0</v>
          </cell>
          <cell r="G2901">
            <v>40299.671573016603</v>
          </cell>
          <cell r="H2901">
            <v>33375.886500609602</v>
          </cell>
          <cell r="I2901">
            <v>119</v>
          </cell>
          <cell r="J2901">
            <v>6.0131222488931098E-5</v>
          </cell>
          <cell r="K2901">
            <v>2768</v>
          </cell>
          <cell r="L2901">
            <v>2777.2647788183399</v>
          </cell>
          <cell r="M2901">
            <v>302</v>
          </cell>
          <cell r="N2901">
            <v>0.159976895621116</v>
          </cell>
          <cell r="O2901">
            <v>469</v>
          </cell>
          <cell r="Q2901">
            <v>2710</v>
          </cell>
        </row>
        <row r="2902">
          <cell r="B2902" t="str">
            <v>SAN MIGUEL 1106N34</v>
          </cell>
          <cell r="C2902">
            <v>182661106</v>
          </cell>
          <cell r="D2902" t="str">
            <v>SAN MIGUEL 1106</v>
          </cell>
          <cell r="E2902" t="str">
            <v>N34</v>
          </cell>
          <cell r="F2902" t="b">
            <v>0</v>
          </cell>
          <cell r="G2902">
            <v>22008.970241011099</v>
          </cell>
          <cell r="H2902">
            <v>6041.6355984597103</v>
          </cell>
          <cell r="I2902">
            <v>62</v>
          </cell>
          <cell r="J2902">
            <v>9.4539406976980203E-5</v>
          </cell>
          <cell r="K2902">
            <v>1778</v>
          </cell>
          <cell r="L2902">
            <v>242.68163663208901</v>
          </cell>
          <cell r="M2902">
            <v>1560</v>
          </cell>
          <cell r="N2902">
            <v>2.6750128776887601E-2</v>
          </cell>
          <cell r="O2902">
            <v>1516</v>
          </cell>
          <cell r="P2902">
            <v>0</v>
          </cell>
          <cell r="Q2902">
            <v>2638</v>
          </cell>
        </row>
        <row r="2903">
          <cell r="B2903" t="str">
            <v>SAN RAFAEL 1101189400</v>
          </cell>
          <cell r="C2903">
            <v>42011101</v>
          </cell>
          <cell r="D2903" t="str">
            <v>SAN RAFAEL 1101</v>
          </cell>
          <cell r="E2903">
            <v>189400</v>
          </cell>
          <cell r="F2903" t="b">
            <v>0</v>
          </cell>
          <cell r="G2903">
            <v>5552.3042000416999</v>
          </cell>
          <cell r="H2903">
            <v>4446.7435591420899</v>
          </cell>
          <cell r="I2903">
            <v>45</v>
          </cell>
          <cell r="J2903">
            <v>8.4948823799398503E-5</v>
          </cell>
          <cell r="K2903">
            <v>2063</v>
          </cell>
          <cell r="L2903">
            <v>6.6033098886610797E-2</v>
          </cell>
          <cell r="M2903">
            <v>3212</v>
          </cell>
          <cell r="N2903">
            <v>5.6304688133725403E-6</v>
          </cell>
          <cell r="O2903">
            <v>3234</v>
          </cell>
          <cell r="Q2903">
            <v>2728</v>
          </cell>
        </row>
        <row r="2904">
          <cell r="B2904" t="str">
            <v>SAN RAFAEL 1101310</v>
          </cell>
          <cell r="C2904">
            <v>42011101</v>
          </cell>
          <cell r="D2904" t="str">
            <v>SAN RAFAEL 1101</v>
          </cell>
          <cell r="E2904">
            <v>310</v>
          </cell>
          <cell r="F2904" t="b">
            <v>1</v>
          </cell>
          <cell r="G2904">
            <v>5801.4080877889201</v>
          </cell>
          <cell r="H2904">
            <v>319.7973860354</v>
          </cell>
          <cell r="I2904">
            <v>48</v>
          </cell>
          <cell r="J2904">
            <v>8.1311559218496103E-5</v>
          </cell>
          <cell r="K2904">
            <v>2173</v>
          </cell>
          <cell r="L2904">
            <v>6.5284542140045906E-2</v>
          </cell>
          <cell r="M2904">
            <v>3466</v>
          </cell>
          <cell r="N2904">
            <v>5.3143433436614204E-6</v>
          </cell>
          <cell r="O2904">
            <v>3249</v>
          </cell>
          <cell r="P2904">
            <v>0.63</v>
          </cell>
          <cell r="Q2904">
            <v>836</v>
          </cell>
        </row>
        <row r="2905">
          <cell r="B2905" t="str">
            <v>SAN RAFAEL 1101494</v>
          </cell>
          <cell r="C2905">
            <v>42011101</v>
          </cell>
          <cell r="D2905" t="str">
            <v>SAN RAFAEL 1101</v>
          </cell>
          <cell r="E2905">
            <v>494</v>
          </cell>
          <cell r="F2905" t="b">
            <v>0</v>
          </cell>
          <cell r="G2905">
            <v>14793.4066060846</v>
          </cell>
          <cell r="H2905">
            <v>9034.9184701604408</v>
          </cell>
          <cell r="I2905">
            <v>114</v>
          </cell>
          <cell r="J2905">
            <v>7.7056995246702504E-5</v>
          </cell>
          <cell r="K2905">
            <v>2285</v>
          </cell>
          <cell r="L2905">
            <v>6.5959731154481005E-2</v>
          </cell>
          <cell r="M2905">
            <v>3230</v>
          </cell>
          <cell r="N2905">
            <v>5.1065482420397398E-6</v>
          </cell>
          <cell r="O2905">
            <v>3262</v>
          </cell>
          <cell r="P2905">
            <v>0.23</v>
          </cell>
          <cell r="Q2905">
            <v>1112</v>
          </cell>
        </row>
        <row r="2906">
          <cell r="B2906" t="str">
            <v>SAN RAFAEL 1101546438</v>
          </cell>
          <cell r="C2906">
            <v>42011101</v>
          </cell>
          <cell r="D2906" t="str">
            <v>SAN RAFAEL 1101</v>
          </cell>
          <cell r="E2906">
            <v>546438</v>
          </cell>
          <cell r="F2906" t="b">
            <v>0</v>
          </cell>
          <cell r="G2906">
            <v>1552.74974693282</v>
          </cell>
          <cell r="H2906">
            <v>1541.38479344658</v>
          </cell>
          <cell r="I2906">
            <v>14</v>
          </cell>
          <cell r="J2906">
            <v>2.21392921178318E-4</v>
          </cell>
          <cell r="K2906">
            <v>313</v>
          </cell>
          <cell r="L2906">
            <v>6.6248496280939595E-2</v>
          </cell>
          <cell r="M2906">
            <v>3162</v>
          </cell>
          <cell r="N2906">
            <v>1.4697930517551101E-5</v>
          </cell>
          <cell r="O2906">
            <v>3011</v>
          </cell>
          <cell r="Q2906">
            <v>3363</v>
          </cell>
        </row>
        <row r="2907">
          <cell r="B2907" t="str">
            <v>SAN RAFAEL 110168970</v>
          </cell>
          <cell r="C2907">
            <v>42011101</v>
          </cell>
          <cell r="D2907" t="str">
            <v>SAN RAFAEL 1101</v>
          </cell>
          <cell r="E2907">
            <v>68970</v>
          </cell>
          <cell r="F2907" t="b">
            <v>1</v>
          </cell>
          <cell r="G2907">
            <v>5207.2000595741401</v>
          </cell>
          <cell r="H2907">
            <v>75.625660506004493</v>
          </cell>
          <cell r="I2907">
            <v>44</v>
          </cell>
          <cell r="J2907">
            <v>1.05785250927383E-4</v>
          </cell>
          <cell r="K2907">
            <v>1501</v>
          </cell>
          <cell r="L2907">
            <v>6.5151188800396595E-2</v>
          </cell>
          <cell r="M2907">
            <v>3565</v>
          </cell>
          <cell r="N2907">
            <v>6.8920348554673099E-6</v>
          </cell>
          <cell r="O2907">
            <v>3171</v>
          </cell>
          <cell r="P2907">
            <v>0.08</v>
          </cell>
          <cell r="Q2907">
            <v>1617</v>
          </cell>
        </row>
        <row r="2908">
          <cell r="B2908" t="str">
            <v>SAN RAFAEL 1101CB</v>
          </cell>
          <cell r="C2908">
            <v>42011101</v>
          </cell>
          <cell r="D2908" t="str">
            <v>SAN RAFAEL 1101</v>
          </cell>
          <cell r="E2908" t="str">
            <v>CB</v>
          </cell>
          <cell r="F2908" t="b">
            <v>1</v>
          </cell>
          <cell r="G2908">
            <v>1531.5458789096999</v>
          </cell>
          <cell r="H2908">
            <v>0</v>
          </cell>
          <cell r="I2908">
            <v>17</v>
          </cell>
          <cell r="J2908">
            <v>7.1937524262466406E-5</v>
          </cell>
          <cell r="K2908">
            <v>2422</v>
          </cell>
          <cell r="L2908">
            <v>6.5151188800396595E-2</v>
          </cell>
          <cell r="M2908">
            <v>3566</v>
          </cell>
          <cell r="N2908">
            <v>4.6868152250570598E-6</v>
          </cell>
          <cell r="O2908">
            <v>3281</v>
          </cell>
          <cell r="P2908">
            <v>0.25</v>
          </cell>
          <cell r="Q2908">
            <v>1083</v>
          </cell>
        </row>
        <row r="2909">
          <cell r="B2909" t="str">
            <v>SAN RAFAEL 11042235</v>
          </cell>
          <cell r="C2909">
            <v>42011104</v>
          </cell>
          <cell r="D2909" t="str">
            <v>SAN RAFAEL 1104</v>
          </cell>
          <cell r="E2909">
            <v>2235</v>
          </cell>
          <cell r="F2909" t="b">
            <v>1</v>
          </cell>
          <cell r="G2909">
            <v>1389.33123660303</v>
          </cell>
          <cell r="H2909">
            <v>296.66370817458198</v>
          </cell>
          <cell r="I2909">
            <v>10</v>
          </cell>
          <cell r="J2909">
            <v>8.1629892156342903E-5</v>
          </cell>
          <cell r="K2909">
            <v>2164</v>
          </cell>
          <cell r="L2909">
            <v>6.5407227212523303E-2</v>
          </cell>
          <cell r="M2909">
            <v>3411</v>
          </cell>
          <cell r="N2909">
            <v>5.3476717484158102E-6</v>
          </cell>
          <cell r="O2909">
            <v>3247</v>
          </cell>
          <cell r="P2909">
            <v>0.03</v>
          </cell>
          <cell r="Q2909">
            <v>2392</v>
          </cell>
        </row>
        <row r="2910">
          <cell r="B2910" t="str">
            <v>SAN RAFAEL 11042651</v>
          </cell>
          <cell r="C2910">
            <v>42011104</v>
          </cell>
          <cell r="D2910" t="str">
            <v>SAN RAFAEL 1104</v>
          </cell>
          <cell r="E2910">
            <v>2651</v>
          </cell>
          <cell r="F2910" t="b">
            <v>0</v>
          </cell>
          <cell r="G2910">
            <v>1316.7962520054</v>
          </cell>
          <cell r="H2910">
            <v>1238.5246395501099</v>
          </cell>
          <cell r="I2910">
            <v>10</v>
          </cell>
          <cell r="J2910">
            <v>2.43236972164595E-4</v>
          </cell>
          <cell r="K2910">
            <v>237</v>
          </cell>
          <cell r="L2910">
            <v>6.6303361654966794E-2</v>
          </cell>
          <cell r="M2910">
            <v>3149</v>
          </cell>
          <cell r="N2910">
            <v>1.61431702001839E-5</v>
          </cell>
          <cell r="O2910">
            <v>2995</v>
          </cell>
          <cell r="P2910">
            <v>0.05</v>
          </cell>
          <cell r="Q2910">
            <v>1964</v>
          </cell>
        </row>
        <row r="2911">
          <cell r="B2911" t="str">
            <v>SAN RAFAEL 1104802</v>
          </cell>
          <cell r="C2911">
            <v>42011104</v>
          </cell>
          <cell r="D2911" t="str">
            <v>SAN RAFAEL 1104</v>
          </cell>
          <cell r="E2911">
            <v>802</v>
          </cell>
          <cell r="F2911" t="b">
            <v>0</v>
          </cell>
          <cell r="G2911">
            <v>20585.105023625099</v>
          </cell>
          <cell r="H2911">
            <v>13782.779158555501</v>
          </cell>
          <cell r="I2911">
            <v>162</v>
          </cell>
          <cell r="J2911">
            <v>1.3760986753985901E-4</v>
          </cell>
          <cell r="K2911">
            <v>901</v>
          </cell>
          <cell r="L2911">
            <v>59.596419891514799</v>
          </cell>
          <cell r="M2911">
            <v>2158</v>
          </cell>
          <cell r="N2911">
            <v>8.9568439357976797E-3</v>
          </cell>
          <cell r="O2911">
            <v>2004</v>
          </cell>
          <cell r="P2911">
            <v>0.09</v>
          </cell>
          <cell r="Q2911">
            <v>1542</v>
          </cell>
        </row>
        <row r="2912">
          <cell r="B2912" t="str">
            <v>SAN RAFAEL 1104CB</v>
          </cell>
          <cell r="C2912">
            <v>42011104</v>
          </cell>
          <cell r="D2912" t="str">
            <v>SAN RAFAEL 1104</v>
          </cell>
          <cell r="E2912" t="str">
            <v>CB</v>
          </cell>
          <cell r="F2912" t="b">
            <v>0</v>
          </cell>
          <cell r="G2912">
            <v>16824.533153634398</v>
          </cell>
          <cell r="H2912">
            <v>5560.2482541518602</v>
          </cell>
          <cell r="I2912">
            <v>140</v>
          </cell>
          <cell r="J2912">
            <v>9.7182628074473797E-5</v>
          </cell>
          <cell r="K2912">
            <v>1710</v>
          </cell>
          <cell r="L2912">
            <v>6.5553534876595695E-2</v>
          </cell>
          <cell r="M2912">
            <v>3352</v>
          </cell>
          <cell r="N2912">
            <v>6.3851847530551303E-6</v>
          </cell>
          <cell r="O2912">
            <v>3195</v>
          </cell>
          <cell r="P2912">
            <v>0.06</v>
          </cell>
          <cell r="Q2912">
            <v>1789</v>
          </cell>
        </row>
        <row r="2913">
          <cell r="B2913" t="str">
            <v>SAN RAFAEL 1105344</v>
          </cell>
          <cell r="C2913">
            <v>42011105</v>
          </cell>
          <cell r="D2913" t="str">
            <v>SAN RAFAEL 1105</v>
          </cell>
          <cell r="E2913">
            <v>344</v>
          </cell>
          <cell r="F2913" t="b">
            <v>0</v>
          </cell>
          <cell r="G2913">
            <v>12052.7047061636</v>
          </cell>
          <cell r="H2913">
            <v>1314.75513664447</v>
          </cell>
          <cell r="I2913">
            <v>97</v>
          </cell>
          <cell r="J2913">
            <v>2.83394090298603E-5</v>
          </cell>
          <cell r="K2913">
            <v>3449</v>
          </cell>
          <cell r="L2913">
            <v>6.5283167363348604E-2</v>
          </cell>
          <cell r="M2913">
            <v>3467</v>
          </cell>
          <cell r="N2913">
            <v>1.8552491337023401E-6</v>
          </cell>
          <cell r="O2913">
            <v>3522</v>
          </cell>
          <cell r="P2913">
            <v>0.06</v>
          </cell>
          <cell r="Q2913">
            <v>1814</v>
          </cell>
        </row>
        <row r="2914">
          <cell r="B2914" t="str">
            <v>SAN RAFAEL 1105534</v>
          </cell>
          <cell r="C2914">
            <v>42011105</v>
          </cell>
          <cell r="D2914" t="str">
            <v>SAN RAFAEL 1105</v>
          </cell>
          <cell r="E2914">
            <v>534</v>
          </cell>
          <cell r="F2914" t="b">
            <v>0</v>
          </cell>
          <cell r="G2914">
            <v>2541.7011083061502</v>
          </cell>
          <cell r="H2914">
            <v>1569.6662480705299</v>
          </cell>
          <cell r="I2914">
            <v>22</v>
          </cell>
          <cell r="J2914">
            <v>9.1303233768319999E-5</v>
          </cell>
          <cell r="K2914">
            <v>1866</v>
          </cell>
          <cell r="L2914">
            <v>6.5907665927134595E-2</v>
          </cell>
          <cell r="M2914">
            <v>3243</v>
          </cell>
          <cell r="N2914">
            <v>6.0383904461858102E-6</v>
          </cell>
          <cell r="O2914">
            <v>3207</v>
          </cell>
          <cell r="P2914">
            <v>0.08</v>
          </cell>
          <cell r="Q2914">
            <v>1668</v>
          </cell>
        </row>
        <row r="2915">
          <cell r="B2915" t="str">
            <v>SAN RAFAEL 1105818262</v>
          </cell>
          <cell r="C2915">
            <v>42011105</v>
          </cell>
          <cell r="D2915" t="str">
            <v>SAN RAFAEL 1105</v>
          </cell>
          <cell r="E2915">
            <v>818262</v>
          </cell>
          <cell r="F2915" t="b">
            <v>1</v>
          </cell>
          <cell r="G2915">
            <v>1433.2019686031199</v>
          </cell>
          <cell r="H2915">
            <v>292.913345340891</v>
          </cell>
          <cell r="I2915">
            <v>11</v>
          </cell>
          <cell r="J2915">
            <v>1.01527196834054E-4</v>
          </cell>
          <cell r="K2915">
            <v>1615</v>
          </cell>
          <cell r="L2915">
            <v>6.5500332089660301E-2</v>
          </cell>
          <cell r="M2915">
            <v>3368</v>
          </cell>
          <cell r="N2915">
            <v>6.6573378953665896E-6</v>
          </cell>
          <cell r="O2915">
            <v>3181</v>
          </cell>
          <cell r="Q2915">
            <v>2994</v>
          </cell>
        </row>
        <row r="2916">
          <cell r="B2916" t="str">
            <v>SAN RAFAEL 1105CB</v>
          </cell>
          <cell r="C2916">
            <v>42011105</v>
          </cell>
          <cell r="D2916" t="str">
            <v>SAN RAFAEL 1105</v>
          </cell>
          <cell r="E2916" t="str">
            <v>CB</v>
          </cell>
          <cell r="F2916" t="b">
            <v>1</v>
          </cell>
          <cell r="G2916">
            <v>14121.427163268399</v>
          </cell>
          <cell r="H2916">
            <v>0</v>
          </cell>
          <cell r="I2916">
            <v>124</v>
          </cell>
          <cell r="J2916">
            <v>6.9844002692222805E-5</v>
          </cell>
          <cell r="K2916">
            <v>2479</v>
          </cell>
          <cell r="L2916">
            <v>6.5151130754200703E-2</v>
          </cell>
          <cell r="M2916">
            <v>3576</v>
          </cell>
          <cell r="N2916">
            <v>4.55041586408478E-6</v>
          </cell>
          <cell r="O2916">
            <v>3291</v>
          </cell>
          <cell r="P2916">
            <v>0.02</v>
          </cell>
          <cell r="Q2916">
            <v>2434</v>
          </cell>
        </row>
        <row r="2917">
          <cell r="B2917" t="str">
            <v>SAN RAFAEL 11061230</v>
          </cell>
          <cell r="C2917">
            <v>42011106</v>
          </cell>
          <cell r="D2917" t="str">
            <v>SAN RAFAEL 1106</v>
          </cell>
          <cell r="E2917">
            <v>1230</v>
          </cell>
          <cell r="F2917" t="b">
            <v>0</v>
          </cell>
          <cell r="G2917">
            <v>7038.4431694023096</v>
          </cell>
          <cell r="H2917">
            <v>1747.5573439350901</v>
          </cell>
          <cell r="I2917">
            <v>57</v>
          </cell>
          <cell r="J2917">
            <v>9.4864809254527395E-5</v>
          </cell>
          <cell r="K2917">
            <v>1770</v>
          </cell>
          <cell r="L2917">
            <v>6.5398243408589102E-2</v>
          </cell>
          <cell r="M2917">
            <v>3418</v>
          </cell>
          <cell r="N2917">
            <v>6.2233068510626404E-6</v>
          </cell>
          <cell r="O2917">
            <v>3202</v>
          </cell>
          <cell r="P2917">
            <v>0.02</v>
          </cell>
          <cell r="Q2917">
            <v>2465</v>
          </cell>
        </row>
        <row r="2918">
          <cell r="B2918" t="str">
            <v>SAN RAFAEL 1106307651</v>
          </cell>
          <cell r="C2918">
            <v>42011106</v>
          </cell>
          <cell r="D2918" t="str">
            <v>SAN RAFAEL 1106</v>
          </cell>
          <cell r="E2918">
            <v>307651</v>
          </cell>
          <cell r="F2918" t="b">
            <v>1</v>
          </cell>
          <cell r="G2918">
            <v>416.37667424543798</v>
          </cell>
          <cell r="H2918">
            <v>169.04361411685099</v>
          </cell>
          <cell r="I2918">
            <v>4</v>
          </cell>
          <cell r="J2918">
            <v>7.1015405410434997E-5</v>
          </cell>
          <cell r="K2918">
            <v>2444</v>
          </cell>
          <cell r="L2918">
            <v>6.5151188800396595E-2</v>
          </cell>
          <cell r="M2918">
            <v>3569</v>
          </cell>
          <cell r="N2918">
            <v>4.6267380856319604E-6</v>
          </cell>
          <cell r="O2918">
            <v>3284</v>
          </cell>
          <cell r="Q2918">
            <v>3486</v>
          </cell>
        </row>
        <row r="2919">
          <cell r="B2919" t="str">
            <v>SAN RAFAEL 110648752</v>
          </cell>
          <cell r="C2919">
            <v>42011106</v>
          </cell>
          <cell r="D2919" t="str">
            <v>SAN RAFAEL 1106</v>
          </cell>
          <cell r="E2919">
            <v>48752</v>
          </cell>
          <cell r="F2919" t="b">
            <v>1</v>
          </cell>
          <cell r="G2919">
            <v>3375.7798062749898</v>
          </cell>
          <cell r="H2919">
            <v>23.208512482459199</v>
          </cell>
          <cell r="I2919">
            <v>28</v>
          </cell>
          <cell r="J2919">
            <v>4.6007088275035599E-5</v>
          </cell>
          <cell r="K2919">
            <v>3137</v>
          </cell>
          <cell r="L2919">
            <v>6.5151188800396595E-2</v>
          </cell>
          <cell r="M2919">
            <v>3572</v>
          </cell>
          <cell r="N2919">
            <v>2.9974164943633498E-6</v>
          </cell>
          <cell r="O2919">
            <v>3410</v>
          </cell>
          <cell r="P2919">
            <v>0.02</v>
          </cell>
          <cell r="Q2919">
            <v>2446</v>
          </cell>
        </row>
        <row r="2920">
          <cell r="B2920" t="str">
            <v>SAN RAFAEL 1106588020</v>
          </cell>
          <cell r="C2920">
            <v>42011106</v>
          </cell>
          <cell r="D2920" t="str">
            <v>SAN RAFAEL 1106</v>
          </cell>
          <cell r="E2920">
            <v>588020</v>
          </cell>
          <cell r="F2920" t="b">
            <v>1</v>
          </cell>
          <cell r="G2920">
            <v>2885.7527959876002</v>
          </cell>
          <cell r="H2920">
            <v>385.23850107517501</v>
          </cell>
          <cell r="I2920">
            <v>19</v>
          </cell>
          <cell r="J2920">
            <v>9.1831677692473599E-5</v>
          </cell>
          <cell r="K2920">
            <v>1849</v>
          </cell>
          <cell r="L2920">
            <v>6.5218567329903596E-2</v>
          </cell>
          <cell r="M2920">
            <v>3500</v>
          </cell>
          <cell r="N2920">
            <v>5.9903961311518102E-6</v>
          </cell>
          <cell r="O2920">
            <v>3211</v>
          </cell>
          <cell r="Q2920">
            <v>3050</v>
          </cell>
        </row>
        <row r="2921">
          <cell r="B2921" t="str">
            <v>SAN RAFAEL 1106618957</v>
          </cell>
          <cell r="C2921">
            <v>42011106</v>
          </cell>
          <cell r="D2921" t="str">
            <v>SAN RAFAEL 1106</v>
          </cell>
          <cell r="E2921">
            <v>618957</v>
          </cell>
          <cell r="F2921" t="b">
            <v>1</v>
          </cell>
          <cell r="G2921">
            <v>394.844733690917</v>
          </cell>
          <cell r="H2921">
            <v>301.11900351173199</v>
          </cell>
          <cell r="I2921">
            <v>4</v>
          </cell>
          <cell r="J2921">
            <v>1.08430096588563E-4</v>
          </cell>
          <cell r="K2921">
            <v>1439</v>
          </cell>
          <cell r="L2921">
            <v>6.5151188800396595E-2</v>
          </cell>
          <cell r="M2921">
            <v>3574</v>
          </cell>
          <cell r="N2921">
            <v>7.0643496944867199E-6</v>
          </cell>
          <cell r="O2921">
            <v>3163</v>
          </cell>
          <cell r="Q2921">
            <v>3555</v>
          </cell>
        </row>
        <row r="2922">
          <cell r="B2922" t="str">
            <v>SAN RAFAEL 110668694</v>
          </cell>
          <cell r="C2922">
            <v>42011106</v>
          </cell>
          <cell r="D2922" t="str">
            <v>SAN RAFAEL 1106</v>
          </cell>
          <cell r="E2922">
            <v>68694</v>
          </cell>
          <cell r="F2922" t="b">
            <v>1</v>
          </cell>
          <cell r="G2922">
            <v>3377.3751405015601</v>
          </cell>
          <cell r="H2922">
            <v>0</v>
          </cell>
          <cell r="I2922">
            <v>32</v>
          </cell>
          <cell r="J2922">
            <v>1.03966811248908E-4</v>
          </cell>
          <cell r="K2922">
            <v>1554</v>
          </cell>
          <cell r="L2922">
            <v>6.5151188800396595E-2</v>
          </cell>
          <cell r="M2922">
            <v>3573</v>
          </cell>
          <cell r="N2922">
            <v>6.7735613486528403E-6</v>
          </cell>
          <cell r="O2922">
            <v>3175</v>
          </cell>
          <cell r="Q2922">
            <v>2914</v>
          </cell>
        </row>
        <row r="2923">
          <cell r="B2923" t="str">
            <v>SAN RAFAEL 1106764698</v>
          </cell>
          <cell r="C2923">
            <v>42011106</v>
          </cell>
          <cell r="D2923" t="str">
            <v>SAN RAFAEL 1106</v>
          </cell>
          <cell r="E2923">
            <v>764698</v>
          </cell>
          <cell r="F2923" t="b">
            <v>1</v>
          </cell>
          <cell r="G2923">
            <v>357.037534387481</v>
          </cell>
          <cell r="H2923">
            <v>133.407113898136</v>
          </cell>
          <cell r="I2923">
            <v>5</v>
          </cell>
          <cell r="J2923">
            <v>4.8608309953124201E-5</v>
          </cell>
          <cell r="K2923">
            <v>3073</v>
          </cell>
          <cell r="L2923">
            <v>6.5407227212523303E-2</v>
          </cell>
          <cell r="M2923">
            <v>3412</v>
          </cell>
          <cell r="N2923">
            <v>3.18669990893591E-6</v>
          </cell>
          <cell r="O2923">
            <v>3391</v>
          </cell>
          <cell r="Q2923">
            <v>3156</v>
          </cell>
        </row>
        <row r="2924">
          <cell r="B2924" t="str">
            <v>SAN RAFAEL 1106837</v>
          </cell>
          <cell r="C2924">
            <v>42011106</v>
          </cell>
          <cell r="D2924" t="str">
            <v>SAN RAFAEL 1106</v>
          </cell>
          <cell r="E2924">
            <v>837</v>
          </cell>
          <cell r="F2924" t="b">
            <v>0</v>
          </cell>
          <cell r="G2924">
            <v>2514.1985549293699</v>
          </cell>
          <cell r="H2924">
            <v>1083.65097136905</v>
          </cell>
          <cell r="I2924">
            <v>22</v>
          </cell>
          <cell r="J2924">
            <v>2.45121128583295E-4</v>
          </cell>
          <cell r="K2924">
            <v>232</v>
          </cell>
          <cell r="L2924">
            <v>6.5733094282502694E-2</v>
          </cell>
          <cell r="M2924">
            <v>3299</v>
          </cell>
          <cell r="N2924">
            <v>1.6142533231255201E-5</v>
          </cell>
          <cell r="O2924">
            <v>2996</v>
          </cell>
          <cell r="P2924">
            <v>0.03</v>
          </cell>
          <cell r="Q2924">
            <v>2298</v>
          </cell>
        </row>
        <row r="2925">
          <cell r="B2925" t="str">
            <v>SAN RAFAEL 1106910</v>
          </cell>
          <cell r="C2925">
            <v>42011106</v>
          </cell>
          <cell r="D2925" t="str">
            <v>SAN RAFAEL 1106</v>
          </cell>
          <cell r="E2925">
            <v>910</v>
          </cell>
          <cell r="F2925" t="b">
            <v>0</v>
          </cell>
          <cell r="G2925">
            <v>11465.6942320566</v>
          </cell>
          <cell r="H2925">
            <v>2722.6312126533198</v>
          </cell>
          <cell r="I2925">
            <v>89</v>
          </cell>
          <cell r="J2925">
            <v>1.20237804542904E-4</v>
          </cell>
          <cell r="K2925">
            <v>1182</v>
          </cell>
          <cell r="L2925">
            <v>0.77728388074813703</v>
          </cell>
          <cell r="M2925">
            <v>2903</v>
          </cell>
          <cell r="N2925">
            <v>6.6954567141525105E-5</v>
          </cell>
          <cell r="O2925">
            <v>2893</v>
          </cell>
          <cell r="P2925">
            <v>0.04</v>
          </cell>
          <cell r="Q2925">
            <v>2206</v>
          </cell>
        </row>
        <row r="2926">
          <cell r="B2926" t="str">
            <v>SAN RAFAEL 11071166</v>
          </cell>
          <cell r="C2926">
            <v>42011107</v>
          </cell>
          <cell r="D2926" t="str">
            <v>SAN RAFAEL 1107</v>
          </cell>
          <cell r="E2926">
            <v>1166</v>
          </cell>
          <cell r="F2926" t="b">
            <v>0</v>
          </cell>
          <cell r="G2926">
            <v>24234.156967661998</v>
          </cell>
          <cell r="H2926">
            <v>20163.1011779256</v>
          </cell>
          <cell r="I2926">
            <v>213</v>
          </cell>
          <cell r="J2926">
            <v>2.2306422070474599E-4</v>
          </cell>
          <cell r="K2926">
            <v>307</v>
          </cell>
          <cell r="L2926">
            <v>0.84730285254960302</v>
          </cell>
          <cell r="M2926">
            <v>2900</v>
          </cell>
          <cell r="N2926">
            <v>2.0294446695607801E-4</v>
          </cell>
          <cell r="O2926">
            <v>2837</v>
          </cell>
          <cell r="P2926">
            <v>1.46</v>
          </cell>
          <cell r="Q2926">
            <v>673</v>
          </cell>
        </row>
        <row r="2927">
          <cell r="B2927" t="str">
            <v>SAN RAFAEL 11071276</v>
          </cell>
          <cell r="C2927">
            <v>42011107</v>
          </cell>
          <cell r="D2927" t="str">
            <v>SAN RAFAEL 1107</v>
          </cell>
          <cell r="E2927">
            <v>1276</v>
          </cell>
          <cell r="F2927" t="b">
            <v>0</v>
          </cell>
          <cell r="G2927">
            <v>6144.8964218866604</v>
          </cell>
          <cell r="H2927">
            <v>6012.4281994701496</v>
          </cell>
          <cell r="I2927">
            <v>56</v>
          </cell>
          <cell r="J2927">
            <v>1.8946592503458001E-4</v>
          </cell>
          <cell r="K2927">
            <v>444</v>
          </cell>
          <cell r="L2927">
            <v>3.4618931674237299</v>
          </cell>
          <cell r="M2927">
            <v>2795</v>
          </cell>
          <cell r="N2927">
            <v>5.2521781178244099E-4</v>
          </cell>
          <cell r="O2927">
            <v>2728</v>
          </cell>
          <cell r="P2927">
            <v>0.53</v>
          </cell>
          <cell r="Q2927">
            <v>884</v>
          </cell>
        </row>
        <row r="2928">
          <cell r="B2928" t="str">
            <v>SAN RAFAEL 11071415</v>
          </cell>
          <cell r="C2928">
            <v>42011107</v>
          </cell>
          <cell r="D2928" t="str">
            <v>SAN RAFAEL 1107</v>
          </cell>
          <cell r="E2928">
            <v>1415</v>
          </cell>
          <cell r="F2928" t="b">
            <v>0</v>
          </cell>
          <cell r="G2928">
            <v>1913.2695695925599</v>
          </cell>
          <cell r="H2928">
            <v>1280.0187904849899</v>
          </cell>
          <cell r="I2928">
            <v>14</v>
          </cell>
          <cell r="J2928">
            <v>1.5384493768319101E-4</v>
          </cell>
          <cell r="K2928">
            <v>711</v>
          </cell>
          <cell r="L2928">
            <v>13.6481872048592</v>
          </cell>
          <cell r="M2928">
            <v>2558</v>
          </cell>
          <cell r="N2928">
            <v>2.2706377958130498E-3</v>
          </cell>
          <cell r="O2928">
            <v>2439</v>
          </cell>
          <cell r="P2928">
            <v>2.72</v>
          </cell>
          <cell r="Q2928">
            <v>587</v>
          </cell>
        </row>
        <row r="2929">
          <cell r="B2929" t="str">
            <v>SAN RAFAEL 11073323</v>
          </cell>
          <cell r="C2929">
            <v>42011107</v>
          </cell>
          <cell r="D2929" t="str">
            <v>SAN RAFAEL 1107</v>
          </cell>
          <cell r="E2929">
            <v>3323</v>
          </cell>
          <cell r="F2929" t="b">
            <v>1</v>
          </cell>
          <cell r="G2929">
            <v>214.72860235235501</v>
          </cell>
          <cell r="H2929">
            <v>214.72860235235501</v>
          </cell>
          <cell r="I2929">
            <v>2</v>
          </cell>
          <cell r="J2929">
            <v>7.17351977073121E-5</v>
          </cell>
          <cell r="K2929">
            <v>2429</v>
          </cell>
          <cell r="L2929">
            <v>6.6431380861030107E-2</v>
          </cell>
          <cell r="M2929">
            <v>3042</v>
          </cell>
          <cell r="N2929">
            <v>4.7654682400357502E-6</v>
          </cell>
          <cell r="O2929">
            <v>3277</v>
          </cell>
          <cell r="P2929">
            <v>0.27</v>
          </cell>
          <cell r="Q2929">
            <v>1051</v>
          </cell>
        </row>
        <row r="2930">
          <cell r="B2930" t="str">
            <v>SAN RAFAEL 1107434</v>
          </cell>
          <cell r="C2930">
            <v>42011107</v>
          </cell>
          <cell r="D2930" t="str">
            <v>SAN RAFAEL 1107</v>
          </cell>
          <cell r="E2930">
            <v>434</v>
          </cell>
          <cell r="F2930" t="b">
            <v>1</v>
          </cell>
          <cell r="G2930">
            <v>1839.94070033667</v>
          </cell>
          <cell r="H2930">
            <v>49.221476416709301</v>
          </cell>
          <cell r="I2930">
            <v>16</v>
          </cell>
          <cell r="J2930">
            <v>7.9657376659270004E-5</v>
          </cell>
          <cell r="K2930">
            <v>2216</v>
          </cell>
          <cell r="L2930">
            <v>6.5231200804186207E-2</v>
          </cell>
          <cell r="M2930">
            <v>3489</v>
          </cell>
          <cell r="N2930">
            <v>5.2023869689610001E-6</v>
          </cell>
          <cell r="O2930">
            <v>3257</v>
          </cell>
          <cell r="Q2930">
            <v>2993</v>
          </cell>
        </row>
        <row r="2931">
          <cell r="B2931" t="str">
            <v>SAN RAFAEL 1107CB</v>
          </cell>
          <cell r="C2931">
            <v>42011107</v>
          </cell>
          <cell r="D2931" t="str">
            <v>SAN RAFAEL 1107</v>
          </cell>
          <cell r="E2931" t="str">
            <v>CB</v>
          </cell>
          <cell r="F2931" t="b">
            <v>0</v>
          </cell>
          <cell r="G2931">
            <v>12682.001159674001</v>
          </cell>
          <cell r="H2931">
            <v>7810.3004894983096</v>
          </cell>
          <cell r="I2931">
            <v>107</v>
          </cell>
          <cell r="J2931">
            <v>1.5094207958661E-4</v>
          </cell>
          <cell r="K2931">
            <v>728</v>
          </cell>
          <cell r="L2931">
            <v>6.5845124683730702E-2</v>
          </cell>
          <cell r="M2931">
            <v>3256</v>
          </cell>
          <cell r="N2931">
            <v>9.9897265841675593E-6</v>
          </cell>
          <cell r="O2931">
            <v>3067</v>
          </cell>
          <cell r="P2931">
            <v>0.33</v>
          </cell>
          <cell r="Q2931">
            <v>987</v>
          </cell>
        </row>
        <row r="2932">
          <cell r="B2932" t="str">
            <v>SAN RAFAEL 11081210</v>
          </cell>
          <cell r="C2932">
            <v>42011108</v>
          </cell>
          <cell r="D2932" t="str">
            <v>SAN RAFAEL 1108</v>
          </cell>
          <cell r="E2932">
            <v>1210</v>
          </cell>
          <cell r="F2932" t="b">
            <v>0</v>
          </cell>
          <cell r="G2932">
            <v>8832.2253308580803</v>
          </cell>
          <cell r="H2932">
            <v>5252.6146111647404</v>
          </cell>
          <cell r="I2932">
            <v>73</v>
          </cell>
          <cell r="J2932">
            <v>2.33228463264523E-4</v>
          </cell>
          <cell r="K2932">
            <v>270</v>
          </cell>
          <cell r="L2932">
            <v>1.6941129693808099</v>
          </cell>
          <cell r="M2932">
            <v>2853</v>
          </cell>
          <cell r="N2932">
            <v>3.8163054827242701E-4</v>
          </cell>
          <cell r="O2932">
            <v>2769</v>
          </cell>
          <cell r="P2932">
            <v>0.28999999999999998</v>
          </cell>
          <cell r="Q2932">
            <v>1025</v>
          </cell>
        </row>
        <row r="2933">
          <cell r="B2933" t="str">
            <v>SAN RAFAEL 11081247</v>
          </cell>
          <cell r="C2933">
            <v>42011108</v>
          </cell>
          <cell r="D2933" t="str">
            <v>SAN RAFAEL 1108</v>
          </cell>
          <cell r="E2933">
            <v>1247</v>
          </cell>
          <cell r="F2933" t="b">
            <v>1</v>
          </cell>
          <cell r="G2933">
            <v>443.46934405459001</v>
          </cell>
          <cell r="H2933">
            <v>443.46934405459001</v>
          </cell>
          <cell r="I2933">
            <v>3</v>
          </cell>
          <cell r="J2933">
            <v>2.0643770888758201E-4</v>
          </cell>
          <cell r="K2933">
            <v>376</v>
          </cell>
          <cell r="L2933">
            <v>6.6431380861030107E-2</v>
          </cell>
          <cell r="M2933">
            <v>3039</v>
          </cell>
          <cell r="N2933">
            <v>1.3713942063189401E-5</v>
          </cell>
          <cell r="O2933">
            <v>3021</v>
          </cell>
          <cell r="P2933">
            <v>45.01</v>
          </cell>
          <cell r="Q2933">
            <v>152</v>
          </cell>
        </row>
        <row r="2934">
          <cell r="B2934" t="str">
            <v>SAN RAFAEL 11081250</v>
          </cell>
          <cell r="C2934">
            <v>42011108</v>
          </cell>
          <cell r="D2934" t="str">
            <v>SAN RAFAEL 1108</v>
          </cell>
          <cell r="E2934">
            <v>1250</v>
          </cell>
          <cell r="F2934" t="b">
            <v>0</v>
          </cell>
          <cell r="G2934">
            <v>5741.9405273667098</v>
          </cell>
          <cell r="H2934">
            <v>5741.9405273667098</v>
          </cell>
          <cell r="I2934">
            <v>26</v>
          </cell>
          <cell r="J2934">
            <v>1.54745009030403E-4</v>
          </cell>
          <cell r="K2934">
            <v>698</v>
          </cell>
          <cell r="L2934">
            <v>75.947434656040599</v>
          </cell>
          <cell r="M2934">
            <v>2063</v>
          </cell>
          <cell r="N2934">
            <v>9.4995535821730398E-3</v>
          </cell>
          <cell r="O2934">
            <v>1983</v>
          </cell>
          <cell r="P2934">
            <v>71.72</v>
          </cell>
          <cell r="Q2934">
            <v>66</v>
          </cell>
        </row>
        <row r="2935">
          <cell r="B2935" t="str">
            <v>SAN RAFAEL 11081262</v>
          </cell>
          <cell r="C2935">
            <v>42011108</v>
          </cell>
          <cell r="D2935" t="str">
            <v>SAN RAFAEL 1108</v>
          </cell>
          <cell r="E2935">
            <v>1262</v>
          </cell>
          <cell r="F2935" t="b">
            <v>0</v>
          </cell>
          <cell r="G2935">
            <v>7115.8815135701198</v>
          </cell>
          <cell r="H2935">
            <v>6311.2480471233002</v>
          </cell>
          <cell r="I2935">
            <v>57</v>
          </cell>
          <cell r="J2935">
            <v>1.5860817426041499E-4</v>
          </cell>
          <cell r="K2935">
            <v>656</v>
          </cell>
          <cell r="L2935">
            <v>6.62517047823446E-2</v>
          </cell>
          <cell r="M2935">
            <v>3160</v>
          </cell>
          <cell r="N2935">
            <v>1.0529101759348E-5</v>
          </cell>
          <cell r="O2935">
            <v>3058</v>
          </cell>
          <cell r="P2935">
            <v>0.45</v>
          </cell>
          <cell r="Q2935">
            <v>914</v>
          </cell>
        </row>
        <row r="2936">
          <cell r="B2936" t="str">
            <v>SAN RAFAEL 11081457</v>
          </cell>
          <cell r="C2936">
            <v>42011108</v>
          </cell>
          <cell r="D2936" t="str">
            <v>SAN RAFAEL 1108</v>
          </cell>
          <cell r="E2936">
            <v>1457</v>
          </cell>
          <cell r="F2936" t="b">
            <v>0</v>
          </cell>
          <cell r="G2936">
            <v>1229.38047832957</v>
          </cell>
          <cell r="H2936">
            <v>1229.38047832957</v>
          </cell>
          <cell r="I2936">
            <v>9</v>
          </cell>
          <cell r="J2936">
            <v>1.2274149250717699E-4</v>
          </cell>
          <cell r="K2936">
            <v>1137</v>
          </cell>
          <cell r="L2936">
            <v>6.6431380861030107E-2</v>
          </cell>
          <cell r="M2936">
            <v>3025</v>
          </cell>
          <cell r="N2936">
            <v>8.1538868361955707E-6</v>
          </cell>
          <cell r="O2936">
            <v>3119</v>
          </cell>
          <cell r="P2936">
            <v>0.27</v>
          </cell>
          <cell r="Q2936">
            <v>1047</v>
          </cell>
        </row>
        <row r="2937">
          <cell r="B2937" t="str">
            <v>SAN RAFAEL 1108322</v>
          </cell>
          <cell r="C2937">
            <v>42011108</v>
          </cell>
          <cell r="D2937" t="str">
            <v>SAN RAFAEL 1108</v>
          </cell>
          <cell r="E2937">
            <v>322</v>
          </cell>
          <cell r="F2937" t="b">
            <v>0</v>
          </cell>
          <cell r="G2937">
            <v>11857.563404042299</v>
          </cell>
          <cell r="H2937">
            <v>11550.5948255235</v>
          </cell>
          <cell r="I2937">
            <v>88</v>
          </cell>
          <cell r="J2937">
            <v>1.7059944395276199E-4</v>
          </cell>
          <cell r="K2937">
            <v>560</v>
          </cell>
          <cell r="L2937">
            <v>11.4109877416569</v>
          </cell>
          <cell r="M2937">
            <v>2599</v>
          </cell>
          <cell r="N2937">
            <v>1.5474434484083299E-3</v>
          </cell>
          <cell r="O2937">
            <v>2548</v>
          </cell>
          <cell r="P2937">
            <v>1.05</v>
          </cell>
          <cell r="Q2937">
            <v>721</v>
          </cell>
        </row>
        <row r="2938">
          <cell r="B2938" t="str">
            <v>SAN RAFAEL 110839156</v>
          </cell>
          <cell r="C2938">
            <v>42011108</v>
          </cell>
          <cell r="D2938" t="str">
            <v>SAN RAFAEL 1108</v>
          </cell>
          <cell r="E2938">
            <v>39156</v>
          </cell>
          <cell r="F2938" t="b">
            <v>0</v>
          </cell>
          <cell r="G2938">
            <v>7678.6279020021602</v>
          </cell>
          <cell r="H2938">
            <v>5580.9257748608597</v>
          </cell>
          <cell r="I2938">
            <v>62</v>
          </cell>
          <cell r="J2938">
            <v>3.6657226519309899E-4</v>
          </cell>
          <cell r="K2938">
            <v>79</v>
          </cell>
          <cell r="L2938">
            <v>5.0499097800857298</v>
          </cell>
          <cell r="M2938">
            <v>2749</v>
          </cell>
          <cell r="N2938">
            <v>1.4466570127616501E-3</v>
          </cell>
          <cell r="O2938">
            <v>2567</v>
          </cell>
          <cell r="P2938">
            <v>0.4</v>
          </cell>
          <cell r="Q2938">
            <v>949</v>
          </cell>
        </row>
        <row r="2939">
          <cell r="B2939" t="str">
            <v>SAN RAFAEL 1108516</v>
          </cell>
          <cell r="C2939">
            <v>42011108</v>
          </cell>
          <cell r="D2939" t="str">
            <v>SAN RAFAEL 1108</v>
          </cell>
          <cell r="E2939">
            <v>516</v>
          </cell>
          <cell r="F2939" t="b">
            <v>0</v>
          </cell>
          <cell r="G2939">
            <v>17602.575944067401</v>
          </cell>
          <cell r="H2939">
            <v>17602.575944067401</v>
          </cell>
          <cell r="I2939">
            <v>135</v>
          </cell>
          <cell r="J2939">
            <v>1.9441323910777299E-4</v>
          </cell>
          <cell r="K2939">
            <v>420</v>
          </cell>
          <cell r="L2939">
            <v>70.144266064761894</v>
          </cell>
          <cell r="M2939">
            <v>2094</v>
          </cell>
          <cell r="N2939">
            <v>1.32808304798743E-2</v>
          </cell>
          <cell r="O2939">
            <v>1837</v>
          </cell>
          <cell r="P2939">
            <v>1.39</v>
          </cell>
          <cell r="Q2939">
            <v>679</v>
          </cell>
        </row>
        <row r="2940">
          <cell r="B2940" t="str">
            <v>SAN RAFAEL 110863598</v>
          </cell>
          <cell r="C2940">
            <v>42011108</v>
          </cell>
          <cell r="D2940" t="str">
            <v>SAN RAFAEL 1108</v>
          </cell>
          <cell r="E2940">
            <v>63598</v>
          </cell>
          <cell r="F2940" t="b">
            <v>0</v>
          </cell>
          <cell r="G2940">
            <v>3076.8022566619202</v>
          </cell>
          <cell r="H2940">
            <v>3076.8022566619202</v>
          </cell>
          <cell r="I2940">
            <v>24</v>
          </cell>
          <cell r="J2940">
            <v>1.9350388174643699E-4</v>
          </cell>
          <cell r="K2940">
            <v>427</v>
          </cell>
          <cell r="L2940">
            <v>74.353665747509496</v>
          </cell>
          <cell r="M2940">
            <v>2071</v>
          </cell>
          <cell r="N2940">
            <v>1.1681398058892799E-2</v>
          </cell>
          <cell r="O2940">
            <v>1893</v>
          </cell>
          <cell r="P2940">
            <v>50.16</v>
          </cell>
          <cell r="Q2940">
            <v>120</v>
          </cell>
        </row>
        <row r="2941">
          <cell r="B2941" t="str">
            <v>SAN RAFAEL 1108CB</v>
          </cell>
          <cell r="C2941">
            <v>42011108</v>
          </cell>
          <cell r="D2941" t="str">
            <v>SAN RAFAEL 1108</v>
          </cell>
          <cell r="E2941" t="str">
            <v>CB</v>
          </cell>
          <cell r="F2941" t="b">
            <v>0</v>
          </cell>
          <cell r="G2941">
            <v>13792.1670743553</v>
          </cell>
          <cell r="H2941">
            <v>9469.8096918861593</v>
          </cell>
          <cell r="I2941">
            <v>102</v>
          </cell>
          <cell r="J2941">
            <v>1.7334866818904E-4</v>
          </cell>
          <cell r="K2941">
            <v>539</v>
          </cell>
          <cell r="L2941">
            <v>0.99807338131069201</v>
          </cell>
          <cell r="M2941">
            <v>2891</v>
          </cell>
          <cell r="N2941">
            <v>2.30228046632417E-4</v>
          </cell>
          <cell r="O2941">
            <v>2821</v>
          </cell>
          <cell r="P2941">
            <v>0.21</v>
          </cell>
          <cell r="Q2941">
            <v>1141</v>
          </cell>
        </row>
        <row r="2942">
          <cell r="B2942" t="str">
            <v>SAN RAFAEL 11092213</v>
          </cell>
          <cell r="C2942">
            <v>42011109</v>
          </cell>
          <cell r="D2942" t="str">
            <v>SAN RAFAEL 1109</v>
          </cell>
          <cell r="E2942">
            <v>2213</v>
          </cell>
          <cell r="F2942" t="b">
            <v>1</v>
          </cell>
          <cell r="G2942">
            <v>689.85130606048995</v>
          </cell>
          <cell r="H2942">
            <v>689.85130606048995</v>
          </cell>
          <cell r="I2942">
            <v>6</v>
          </cell>
          <cell r="J2942">
            <v>1.1622226581190801E-4</v>
          </cell>
          <cell r="K2942">
            <v>1265</v>
          </cell>
          <cell r="L2942">
            <v>6.6218015517591197E-2</v>
          </cell>
          <cell r="M2942">
            <v>3167</v>
          </cell>
          <cell r="N2942">
            <v>7.6893422358527405E-6</v>
          </cell>
          <cell r="O2942">
            <v>3134</v>
          </cell>
          <cell r="P2942">
            <v>0.02</v>
          </cell>
          <cell r="Q2942">
            <v>2454</v>
          </cell>
        </row>
        <row r="2943">
          <cell r="B2943" t="str">
            <v>SAN RAFAEL 1109418</v>
          </cell>
          <cell r="C2943">
            <v>42011109</v>
          </cell>
          <cell r="D2943" t="str">
            <v>SAN RAFAEL 1109</v>
          </cell>
          <cell r="E2943">
            <v>418</v>
          </cell>
          <cell r="F2943" t="b">
            <v>0</v>
          </cell>
          <cell r="G2943">
            <v>19645.063739830999</v>
          </cell>
          <cell r="H2943">
            <v>8262.1359586418803</v>
          </cell>
          <cell r="I2943">
            <v>130</v>
          </cell>
          <cell r="J2943">
            <v>5.7926775312925203E-5</v>
          </cell>
          <cell r="K2943">
            <v>2837</v>
          </cell>
          <cell r="L2943">
            <v>5.0021513219848099</v>
          </cell>
          <cell r="M2943">
            <v>2753</v>
          </cell>
          <cell r="N2943">
            <v>3.7742219038675002E-4</v>
          </cell>
          <cell r="O2943">
            <v>2772</v>
          </cell>
          <cell r="P2943">
            <v>0.06</v>
          </cell>
          <cell r="Q2943">
            <v>1897</v>
          </cell>
        </row>
        <row r="2944">
          <cell r="B2944" t="str">
            <v>SAN RAFAEL 1109535284</v>
          </cell>
          <cell r="C2944">
            <v>42011109</v>
          </cell>
          <cell r="D2944" t="str">
            <v>SAN RAFAEL 1109</v>
          </cell>
          <cell r="E2944">
            <v>535284</v>
          </cell>
          <cell r="F2944" t="b">
            <v>1</v>
          </cell>
          <cell r="G2944">
            <v>913.151062612955</v>
          </cell>
          <cell r="H2944">
            <v>10.8614962377853</v>
          </cell>
          <cell r="I2944">
            <v>9</v>
          </cell>
          <cell r="J2944">
            <v>1.2012437663442E-4</v>
          </cell>
          <cell r="K2944">
            <v>1185</v>
          </cell>
          <cell r="L2944">
            <v>6.5435675924981798E-2</v>
          </cell>
          <cell r="M2944">
            <v>3401</v>
          </cell>
          <cell r="N2944">
            <v>7.8607952047623603E-6</v>
          </cell>
          <cell r="O2944">
            <v>3129</v>
          </cell>
          <cell r="Q2944">
            <v>2746</v>
          </cell>
        </row>
        <row r="2945">
          <cell r="B2945" t="str">
            <v>SAN RAFAEL 1109692576</v>
          </cell>
          <cell r="C2945">
            <v>42011109</v>
          </cell>
          <cell r="D2945" t="str">
            <v>SAN RAFAEL 1109</v>
          </cell>
          <cell r="E2945">
            <v>692576</v>
          </cell>
          <cell r="F2945" t="b">
            <v>0</v>
          </cell>
          <cell r="G2945">
            <v>5517.9962456972198</v>
          </cell>
          <cell r="H2945">
            <v>3874.94914129369</v>
          </cell>
          <cell r="I2945">
            <v>51</v>
          </cell>
          <cell r="J2945">
            <v>1.3030103054916201E-4</v>
          </cell>
          <cell r="K2945">
            <v>1007</v>
          </cell>
          <cell r="L2945">
            <v>7.0569216936938401</v>
          </cell>
          <cell r="M2945">
            <v>2686</v>
          </cell>
          <cell r="N2945">
            <v>9.6910025633311801E-4</v>
          </cell>
          <cell r="O2945">
            <v>2642</v>
          </cell>
          <cell r="Q2945">
            <v>2983</v>
          </cell>
        </row>
        <row r="2946">
          <cell r="B2946" t="str">
            <v>SAN RAFAEL 110991742</v>
          </cell>
          <cell r="C2946">
            <v>42011109</v>
          </cell>
          <cell r="D2946" t="str">
            <v>SAN RAFAEL 1109</v>
          </cell>
          <cell r="E2946">
            <v>91742</v>
          </cell>
          <cell r="F2946" t="b">
            <v>0</v>
          </cell>
          <cell r="G2946">
            <v>7594.7858198550603</v>
          </cell>
          <cell r="H2946">
            <v>3844.74452788704</v>
          </cell>
          <cell r="I2946">
            <v>67</v>
          </cell>
          <cell r="J2946">
            <v>1.3708021621520501E-4</v>
          </cell>
          <cell r="K2946">
            <v>906</v>
          </cell>
          <cell r="L2946">
            <v>6.5724409126053401E-2</v>
          </cell>
          <cell r="M2946">
            <v>3302</v>
          </cell>
          <cell r="N2946">
            <v>9.0186372556933004E-6</v>
          </cell>
          <cell r="O2946">
            <v>3092</v>
          </cell>
          <cell r="P2946">
            <v>0.12</v>
          </cell>
          <cell r="Q2946">
            <v>1387</v>
          </cell>
        </row>
        <row r="2947">
          <cell r="B2947" t="str">
            <v>SAN RAMON 2101CB</v>
          </cell>
          <cell r="C2947">
            <v>14232101</v>
          </cell>
          <cell r="D2947" t="str">
            <v>SAN RAMON 2101</v>
          </cell>
          <cell r="E2947" t="str">
            <v>CB</v>
          </cell>
          <cell r="F2947" t="b">
            <v>0</v>
          </cell>
          <cell r="G2947">
            <v>1579.20121941347</v>
          </cell>
          <cell r="H2947">
            <v>1277.34951923023</v>
          </cell>
          <cell r="I2947">
            <v>11</v>
          </cell>
          <cell r="J2947">
            <v>1.17099227447232E-4</v>
          </cell>
          <cell r="K2947">
            <v>1244</v>
          </cell>
          <cell r="L2947">
            <v>1362.5146385973101</v>
          </cell>
          <cell r="M2947">
            <v>655</v>
          </cell>
          <cell r="N2947">
            <v>0.141080905635141</v>
          </cell>
          <cell r="O2947">
            <v>569</v>
          </cell>
          <cell r="P2947">
            <v>0.61</v>
          </cell>
          <cell r="Q2947">
            <v>848</v>
          </cell>
        </row>
        <row r="2948">
          <cell r="B2948" t="str">
            <v>SAN RAMON 2102CB</v>
          </cell>
          <cell r="C2948">
            <v>14232102</v>
          </cell>
          <cell r="D2948" t="str">
            <v>SAN RAMON 2102</v>
          </cell>
          <cell r="E2948" t="str">
            <v>CB</v>
          </cell>
          <cell r="F2948" t="b">
            <v>0</v>
          </cell>
          <cell r="G2948">
            <v>3412.1639345031899</v>
          </cell>
          <cell r="H2948">
            <v>2836.6715596065001</v>
          </cell>
          <cell r="I2948">
            <v>16</v>
          </cell>
          <cell r="J2948">
            <v>1.0434678438286899E-4</v>
          </cell>
          <cell r="K2948">
            <v>1543</v>
          </cell>
          <cell r="L2948">
            <v>961.05715170603401</v>
          </cell>
          <cell r="M2948">
            <v>853</v>
          </cell>
          <cell r="N2948">
            <v>9.83492800309963E-2</v>
          </cell>
          <cell r="O2948">
            <v>773</v>
          </cell>
          <cell r="P2948">
            <v>0.87</v>
          </cell>
          <cell r="Q2948">
            <v>758</v>
          </cell>
        </row>
        <row r="2949">
          <cell r="B2949" t="str">
            <v>SAN RAMON 2103MR279</v>
          </cell>
          <cell r="C2949">
            <v>14232103</v>
          </cell>
          <cell r="D2949" t="str">
            <v>SAN RAMON 2103</v>
          </cell>
          <cell r="E2949" t="str">
            <v>MR279</v>
          </cell>
          <cell r="F2949" t="b">
            <v>1</v>
          </cell>
          <cell r="G2949">
            <v>323.774784310862</v>
          </cell>
          <cell r="H2949">
            <v>4.5719870458134997</v>
          </cell>
          <cell r="I2949">
            <v>5</v>
          </cell>
          <cell r="J2949">
            <v>9.2277355482413699E-5</v>
          </cell>
          <cell r="K2949">
            <v>1836</v>
          </cell>
          <cell r="L2949">
            <v>6.5404903530568395E-2</v>
          </cell>
          <cell r="M2949">
            <v>3413</v>
          </cell>
          <cell r="N2949">
            <v>6.0521188224342204E-6</v>
          </cell>
          <cell r="O2949">
            <v>3206</v>
          </cell>
          <cell r="Q2949">
            <v>3402</v>
          </cell>
        </row>
        <row r="2950">
          <cell r="B2950" t="str">
            <v>SAN RAMON 2106CB</v>
          </cell>
          <cell r="C2950">
            <v>14232106</v>
          </cell>
          <cell r="D2950" t="str">
            <v>SAN RAMON 2106</v>
          </cell>
          <cell r="E2950" t="str">
            <v>CB</v>
          </cell>
          <cell r="F2950" t="b">
            <v>1</v>
          </cell>
          <cell r="G2950">
            <v>3504.1174516913502</v>
          </cell>
          <cell r="H2950">
            <v>755.11765294802103</v>
          </cell>
          <cell r="I2950">
            <v>25</v>
          </cell>
          <cell r="J2950">
            <v>5.9263526891299903E-5</v>
          </cell>
          <cell r="K2950">
            <v>2797</v>
          </cell>
          <cell r="L2950">
            <v>9.8828870015485393</v>
          </cell>
          <cell r="M2950">
            <v>2625</v>
          </cell>
          <cell r="N2950">
            <v>1.1489524652606199E-3</v>
          </cell>
          <cell r="O2950">
            <v>2607</v>
          </cell>
          <cell r="Q2950">
            <v>2717</v>
          </cell>
        </row>
        <row r="2951">
          <cell r="B2951" t="str">
            <v>SAN RAMON 2107CB</v>
          </cell>
          <cell r="C2951">
            <v>14232107</v>
          </cell>
          <cell r="D2951" t="str">
            <v>SAN RAMON 2107</v>
          </cell>
          <cell r="E2951" t="str">
            <v>CB</v>
          </cell>
          <cell r="F2951" t="b">
            <v>1</v>
          </cell>
          <cell r="G2951">
            <v>14648.540451833</v>
          </cell>
          <cell r="H2951">
            <v>486.175322507347</v>
          </cell>
          <cell r="I2951">
            <v>107</v>
          </cell>
          <cell r="J2951">
            <v>1.7991541372424799E-5</v>
          </cell>
          <cell r="K2951">
            <v>3560</v>
          </cell>
          <cell r="L2951">
            <v>4.7299300973437601</v>
          </cell>
          <cell r="M2951">
            <v>2764</v>
          </cell>
          <cell r="N2951">
            <v>3.7788277331435402E-4</v>
          </cell>
          <cell r="O2951">
            <v>2771</v>
          </cell>
          <cell r="P2951">
            <v>0.25</v>
          </cell>
          <cell r="Q2951">
            <v>1087</v>
          </cell>
        </row>
        <row r="2952">
          <cell r="B2952" t="str">
            <v>SAN RAMON 2107MR284</v>
          </cell>
          <cell r="C2952">
            <v>14232107</v>
          </cell>
          <cell r="D2952" t="str">
            <v>SAN RAMON 2107</v>
          </cell>
          <cell r="E2952" t="str">
            <v>MR284</v>
          </cell>
          <cell r="F2952" t="b">
            <v>0</v>
          </cell>
          <cell r="G2952">
            <v>24162.973995975801</v>
          </cell>
          <cell r="H2952">
            <v>23633.887452135201</v>
          </cell>
          <cell r="I2952">
            <v>134</v>
          </cell>
          <cell r="J2952">
            <v>7.4599338807828603E-5</v>
          </cell>
          <cell r="K2952">
            <v>2342</v>
          </cell>
          <cell r="L2952">
            <v>581.06639139779702</v>
          </cell>
          <cell r="M2952">
            <v>1123</v>
          </cell>
          <cell r="N2952">
            <v>3.5372724634340103E-2</v>
          </cell>
          <cell r="O2952">
            <v>1365</v>
          </cell>
          <cell r="P2952">
            <v>0.73</v>
          </cell>
          <cell r="Q2952">
            <v>795</v>
          </cell>
        </row>
        <row r="2953">
          <cell r="B2953" t="str">
            <v>SAN RAMON 2107MR441</v>
          </cell>
          <cell r="C2953">
            <v>14232107</v>
          </cell>
          <cell r="D2953" t="str">
            <v>SAN RAMON 2107</v>
          </cell>
          <cell r="E2953" t="str">
            <v>MR441</v>
          </cell>
          <cell r="F2953" t="b">
            <v>1</v>
          </cell>
          <cell r="G2953">
            <v>350.49490914852697</v>
          </cell>
          <cell r="H2953">
            <v>40.201579250715298</v>
          </cell>
          <cell r="I2953">
            <v>8</v>
          </cell>
          <cell r="J2953">
            <v>4.8606073960399899E-5</v>
          </cell>
          <cell r="K2953">
            <v>3074</v>
          </cell>
          <cell r="L2953">
            <v>6.5308635860742301E-2</v>
          </cell>
          <cell r="M2953">
            <v>3456</v>
          </cell>
          <cell r="N2953">
            <v>3.1891546986280399E-6</v>
          </cell>
          <cell r="O2953">
            <v>3390</v>
          </cell>
          <cell r="Q2953">
            <v>3190</v>
          </cell>
        </row>
        <row r="2954">
          <cell r="B2954" t="str">
            <v>SAN RAMON 210853732</v>
          </cell>
          <cell r="C2954">
            <v>14232108</v>
          </cell>
          <cell r="D2954" t="str">
            <v>SAN RAMON 2108</v>
          </cell>
          <cell r="E2954">
            <v>53732</v>
          </cell>
          <cell r="F2954" t="b">
            <v>0</v>
          </cell>
          <cell r="G2954">
            <v>12542.799995114199</v>
          </cell>
          <cell r="H2954">
            <v>12542.799995114199</v>
          </cell>
          <cell r="I2954">
            <v>77</v>
          </cell>
          <cell r="J2954">
            <v>9.7010058257124E-5</v>
          </cell>
          <cell r="K2954">
            <v>1714</v>
          </cell>
          <cell r="L2954">
            <v>766.03554557968096</v>
          </cell>
          <cell r="M2954">
            <v>959</v>
          </cell>
          <cell r="N2954">
            <v>6.6861702284270297E-2</v>
          </cell>
          <cell r="O2954">
            <v>1004</v>
          </cell>
          <cell r="P2954">
            <v>17.55</v>
          </cell>
          <cell r="Q2954">
            <v>332</v>
          </cell>
        </row>
        <row r="2955">
          <cell r="B2955" t="str">
            <v>SAN RAMON 2108CB</v>
          </cell>
          <cell r="C2955">
            <v>14232108</v>
          </cell>
          <cell r="D2955" t="str">
            <v>SAN RAMON 2108</v>
          </cell>
          <cell r="E2955" t="str">
            <v>CB</v>
          </cell>
          <cell r="F2955" t="b">
            <v>0</v>
          </cell>
          <cell r="G2955">
            <v>15329.2524379513</v>
          </cell>
          <cell r="H2955">
            <v>14012.716109696699</v>
          </cell>
          <cell r="I2955">
            <v>102</v>
          </cell>
          <cell r="J2955">
            <v>8.2610502780733696E-5</v>
          </cell>
          <cell r="K2955">
            <v>2139</v>
          </cell>
          <cell r="L2955">
            <v>748.79754201687501</v>
          </cell>
          <cell r="M2955">
            <v>976</v>
          </cell>
          <cell r="N2955">
            <v>5.7182627797198002E-2</v>
          </cell>
          <cell r="O2955">
            <v>1092</v>
          </cell>
          <cell r="P2955">
            <v>18.75</v>
          </cell>
          <cell r="Q2955">
            <v>318</v>
          </cell>
        </row>
        <row r="2956">
          <cell r="B2956" t="str">
            <v>SAN RAMON 2117CB</v>
          </cell>
          <cell r="C2956">
            <v>14232117</v>
          </cell>
          <cell r="D2956" t="str">
            <v>SAN RAMON 2117</v>
          </cell>
          <cell r="E2956" t="str">
            <v>CB</v>
          </cell>
          <cell r="F2956" t="b">
            <v>0</v>
          </cell>
          <cell r="G2956">
            <v>2698.3212254673799</v>
          </cell>
          <cell r="H2956">
            <v>1098.8940156096401</v>
          </cell>
          <cell r="I2956">
            <v>23</v>
          </cell>
          <cell r="J2956">
            <v>9.8520902611198794E-5</v>
          </cell>
          <cell r="K2956">
            <v>1678</v>
          </cell>
          <cell r="L2956">
            <v>430.57895234407499</v>
          </cell>
          <cell r="M2956">
            <v>1258</v>
          </cell>
          <cell r="N2956">
            <v>6.7722011180230898E-2</v>
          </cell>
          <cell r="O2956">
            <v>997</v>
          </cell>
          <cell r="P2956">
            <v>0.47</v>
          </cell>
          <cell r="Q2956">
            <v>908</v>
          </cell>
        </row>
        <row r="2957">
          <cell r="B2957" t="str">
            <v>SAN RAMON 2119CB</v>
          </cell>
          <cell r="C2957">
            <v>14232119</v>
          </cell>
          <cell r="D2957" t="str">
            <v>SAN RAMON 2119</v>
          </cell>
          <cell r="E2957" t="str">
            <v>CB</v>
          </cell>
          <cell r="F2957" t="b">
            <v>0</v>
          </cell>
          <cell r="G2957">
            <v>2345.49737702732</v>
          </cell>
          <cell r="H2957">
            <v>1187.93502177961</v>
          </cell>
          <cell r="I2957">
            <v>21</v>
          </cell>
          <cell r="J2957">
            <v>7.6680500670691894E-5</v>
          </cell>
          <cell r="K2957">
            <v>2290</v>
          </cell>
          <cell r="L2957">
            <v>471.58026702543998</v>
          </cell>
          <cell r="M2957">
            <v>1223</v>
          </cell>
          <cell r="N2957">
            <v>5.70974462767877E-2</v>
          </cell>
          <cell r="O2957">
            <v>1094</v>
          </cell>
          <cell r="P2957">
            <v>0.67</v>
          </cell>
          <cell r="Q2957">
            <v>818</v>
          </cell>
        </row>
        <row r="2958">
          <cell r="B2958" t="str">
            <v>SAND CREEK 110345190</v>
          </cell>
          <cell r="C2958">
            <v>254601103</v>
          </cell>
          <cell r="D2958" t="str">
            <v>SAND CREEK 1103</v>
          </cell>
          <cell r="E2958">
            <v>45190</v>
          </cell>
          <cell r="F2958" t="b">
            <v>0</v>
          </cell>
          <cell r="G2958">
            <v>60483.599695341698</v>
          </cell>
          <cell r="H2958">
            <v>60483.599695341698</v>
          </cell>
          <cell r="I2958">
            <v>416</v>
          </cell>
          <cell r="J2958">
            <v>4.4053680835036298E-5</v>
          </cell>
          <cell r="K2958">
            <v>3190</v>
          </cell>
          <cell r="L2958">
            <v>5858.65085930445</v>
          </cell>
          <cell r="M2958">
            <v>37</v>
          </cell>
          <cell r="N2958">
            <v>0.26095008076477899</v>
          </cell>
          <cell r="O2958">
            <v>195</v>
          </cell>
          <cell r="P2958">
            <v>0.15</v>
          </cell>
          <cell r="Q2958">
            <v>1301</v>
          </cell>
        </row>
        <row r="2959">
          <cell r="B2959" t="str">
            <v>SAND CREEK 11037070</v>
          </cell>
          <cell r="C2959">
            <v>254601103</v>
          </cell>
          <cell r="D2959" t="str">
            <v>SAND CREEK 1103</v>
          </cell>
          <cell r="E2959">
            <v>7070</v>
          </cell>
          <cell r="F2959" t="b">
            <v>0</v>
          </cell>
          <cell r="G2959">
            <v>28250.671012919</v>
          </cell>
          <cell r="H2959">
            <v>28250.671012919</v>
          </cell>
          <cell r="I2959">
            <v>103</v>
          </cell>
          <cell r="J2959">
            <v>3.6129480995441501E-5</v>
          </cell>
          <cell r="K2959">
            <v>3333</v>
          </cell>
          <cell r="L2959">
            <v>5058.1879945708397</v>
          </cell>
          <cell r="M2959">
            <v>71</v>
          </cell>
          <cell r="N2959">
            <v>0.17873471371392999</v>
          </cell>
          <cell r="O2959">
            <v>405</v>
          </cell>
          <cell r="P2959">
            <v>0.06</v>
          </cell>
          <cell r="Q2959">
            <v>1902</v>
          </cell>
        </row>
        <row r="2960">
          <cell r="B2960" t="str">
            <v>SAND CREEK 11037110</v>
          </cell>
          <cell r="C2960">
            <v>254601103</v>
          </cell>
          <cell r="D2960" t="str">
            <v>SAND CREEK 1103</v>
          </cell>
          <cell r="E2960">
            <v>7110</v>
          </cell>
          <cell r="F2960" t="b">
            <v>0</v>
          </cell>
          <cell r="G2960">
            <v>29983.261632051301</v>
          </cell>
          <cell r="H2960">
            <v>29983.261632051301</v>
          </cell>
          <cell r="I2960">
            <v>132</v>
          </cell>
          <cell r="J2960">
            <v>4.0371613315735197E-5</v>
          </cell>
          <cell r="K2960">
            <v>3258</v>
          </cell>
          <cell r="L2960">
            <v>3332.8764232246599</v>
          </cell>
          <cell r="M2960">
            <v>221</v>
          </cell>
          <cell r="N2960">
            <v>0.121966436223636</v>
          </cell>
          <cell r="O2960">
            <v>636</v>
          </cell>
          <cell r="P2960">
            <v>0.03</v>
          </cell>
          <cell r="Q2960">
            <v>2230</v>
          </cell>
        </row>
        <row r="2961">
          <cell r="B2961" t="str">
            <v>SAND CREEK 11037140</v>
          </cell>
          <cell r="C2961">
            <v>254601103</v>
          </cell>
          <cell r="D2961" t="str">
            <v>SAND CREEK 1103</v>
          </cell>
          <cell r="E2961">
            <v>7140</v>
          </cell>
          <cell r="F2961" t="b">
            <v>0</v>
          </cell>
          <cell r="G2961">
            <v>42300.552584241203</v>
          </cell>
          <cell r="H2961">
            <v>42300.552584241203</v>
          </cell>
          <cell r="I2961">
            <v>296</v>
          </cell>
          <cell r="J2961">
            <v>2.8236701105875801E-5</v>
          </cell>
          <cell r="K2961">
            <v>3453</v>
          </cell>
          <cell r="L2961">
            <v>6738.8920743074495</v>
          </cell>
          <cell r="M2961">
            <v>14</v>
          </cell>
          <cell r="N2961">
            <v>0.19202485875328801</v>
          </cell>
          <cell r="O2961">
            <v>362</v>
          </cell>
          <cell r="P2961">
            <v>3.46</v>
          </cell>
          <cell r="Q2961">
            <v>546</v>
          </cell>
        </row>
        <row r="2962">
          <cell r="B2962" t="str">
            <v>SAND CREEK 11037420</v>
          </cell>
          <cell r="C2962">
            <v>254601103</v>
          </cell>
          <cell r="D2962" t="str">
            <v>SAND CREEK 1103</v>
          </cell>
          <cell r="E2962">
            <v>7420</v>
          </cell>
          <cell r="F2962" t="b">
            <v>0</v>
          </cell>
          <cell r="G2962">
            <v>37320.864513107997</v>
          </cell>
          <cell r="H2962">
            <v>37320.864513107997</v>
          </cell>
          <cell r="I2962">
            <v>263</v>
          </cell>
          <cell r="J2962">
            <v>2.7459586893792299E-5</v>
          </cell>
          <cell r="K2962">
            <v>3465</v>
          </cell>
          <cell r="L2962">
            <v>5752.6874114991897</v>
          </cell>
          <cell r="M2962">
            <v>39</v>
          </cell>
          <cell r="N2962">
            <v>0.15397474447953099</v>
          </cell>
          <cell r="O2962">
            <v>497</v>
          </cell>
          <cell r="P2962">
            <v>0.11</v>
          </cell>
          <cell r="Q2962">
            <v>1450</v>
          </cell>
        </row>
        <row r="2963">
          <cell r="B2963" t="str">
            <v>SAND CREEK 11037823F</v>
          </cell>
          <cell r="C2963">
            <v>254601103</v>
          </cell>
          <cell r="D2963" t="str">
            <v>SAND CREEK 1103</v>
          </cell>
          <cell r="E2963" t="str">
            <v>7823F</v>
          </cell>
          <cell r="F2963" t="b">
            <v>0</v>
          </cell>
          <cell r="G2963">
            <v>7527.4054119435696</v>
          </cell>
          <cell r="H2963">
            <v>7527.4054119435696</v>
          </cell>
          <cell r="I2963">
            <v>49</v>
          </cell>
          <cell r="J2963">
            <v>2.61165480006471E-5</v>
          </cell>
          <cell r="K2963">
            <v>3486</v>
          </cell>
          <cell r="L2963">
            <v>5142.2921639610904</v>
          </cell>
          <cell r="M2963">
            <v>63</v>
          </cell>
          <cell r="N2963">
            <v>0.12636077534662399</v>
          </cell>
          <cell r="O2963">
            <v>618</v>
          </cell>
          <cell r="P2963">
            <v>0.06</v>
          </cell>
          <cell r="Q2963">
            <v>1848</v>
          </cell>
        </row>
        <row r="2964">
          <cell r="B2964" t="str">
            <v>SAND CREEK 110397354</v>
          </cell>
          <cell r="C2964">
            <v>254601103</v>
          </cell>
          <cell r="D2964" t="str">
            <v>SAND CREEK 1103</v>
          </cell>
          <cell r="E2964">
            <v>97354</v>
          </cell>
          <cell r="F2964" t="b">
            <v>0</v>
          </cell>
          <cell r="G2964">
            <v>16339.8299066664</v>
          </cell>
          <cell r="H2964">
            <v>14168.241964801</v>
          </cell>
          <cell r="I2964">
            <v>59</v>
          </cell>
          <cell r="J2964">
            <v>2.3545545461494199E-5</v>
          </cell>
          <cell r="K2964">
            <v>3509</v>
          </cell>
          <cell r="L2964">
            <v>5418.35088372685</v>
          </cell>
          <cell r="M2964">
            <v>49</v>
          </cell>
          <cell r="N2964">
            <v>0.114878384725851</v>
          </cell>
          <cell r="O2964">
            <v>674</v>
          </cell>
          <cell r="P2964">
            <v>0.06</v>
          </cell>
          <cell r="Q2964">
            <v>1885</v>
          </cell>
        </row>
        <row r="2965">
          <cell r="B2965" t="str">
            <v>SAND CREEK 1103CB</v>
          </cell>
          <cell r="C2965">
            <v>254601103</v>
          </cell>
          <cell r="D2965" t="str">
            <v>SAND CREEK 1103</v>
          </cell>
          <cell r="E2965" t="str">
            <v>CB</v>
          </cell>
          <cell r="F2965" t="b">
            <v>0</v>
          </cell>
          <cell r="G2965">
            <v>20983.202809205599</v>
          </cell>
          <cell r="H2965">
            <v>20983.202809205599</v>
          </cell>
          <cell r="I2965">
            <v>77</v>
          </cell>
          <cell r="J2965">
            <v>2.8008178081730999E-5</v>
          </cell>
          <cell r="K2965">
            <v>3460</v>
          </cell>
          <cell r="L2965">
            <v>6753.7934971212699</v>
          </cell>
          <cell r="M2965">
            <v>12</v>
          </cell>
          <cell r="N2965">
            <v>0.197683151307114</v>
          </cell>
          <cell r="O2965">
            <v>337</v>
          </cell>
          <cell r="P2965">
            <v>7.0000000000000007E-2</v>
          </cell>
          <cell r="Q2965">
            <v>1765</v>
          </cell>
        </row>
        <row r="2966">
          <cell r="B2966" t="str">
            <v>SANTA MARIA 1108M18</v>
          </cell>
          <cell r="C2966">
            <v>182671108</v>
          </cell>
          <cell r="D2966" t="str">
            <v>SANTA MARIA 1108</v>
          </cell>
          <cell r="E2966" t="str">
            <v>M18</v>
          </cell>
          <cell r="F2966" t="b">
            <v>0</v>
          </cell>
          <cell r="G2966">
            <v>28757.9290880792</v>
          </cell>
          <cell r="H2966">
            <v>24562.109817166001</v>
          </cell>
          <cell r="I2966">
            <v>81</v>
          </cell>
          <cell r="J2966">
            <v>5.4885626719297702E-5</v>
          </cell>
          <cell r="K2966">
            <v>2918</v>
          </cell>
          <cell r="L2966">
            <v>1831.3141185741099</v>
          </cell>
          <cell r="M2966">
            <v>496</v>
          </cell>
          <cell r="N2966">
            <v>9.0027057977725602E-2</v>
          </cell>
          <cell r="O2966">
            <v>822</v>
          </cell>
          <cell r="P2966">
            <v>0.56999999999999995</v>
          </cell>
          <cell r="Q2966">
            <v>861</v>
          </cell>
        </row>
        <row r="2967">
          <cell r="B2967" t="str">
            <v>SANTA MARIA 1108M80</v>
          </cell>
          <cell r="C2967">
            <v>182671108</v>
          </cell>
          <cell r="D2967" t="str">
            <v>SANTA MARIA 1108</v>
          </cell>
          <cell r="E2967" t="str">
            <v>M80</v>
          </cell>
          <cell r="F2967" t="b">
            <v>0</v>
          </cell>
          <cell r="G2967">
            <v>93735.501330955696</v>
          </cell>
          <cell r="H2967">
            <v>93735.501330955696</v>
          </cell>
          <cell r="I2967">
            <v>397</v>
          </cell>
          <cell r="J2967">
            <v>4.5707071454083699E-5</v>
          </cell>
          <cell r="K2967">
            <v>3147</v>
          </cell>
          <cell r="L2967">
            <v>1161.6823090293201</v>
          </cell>
          <cell r="M2967">
            <v>749</v>
          </cell>
          <cell r="N2967">
            <v>5.5910858877468397E-2</v>
          </cell>
          <cell r="O2967">
            <v>1109</v>
          </cell>
          <cell r="P2967">
            <v>0.42</v>
          </cell>
          <cell r="Q2967">
            <v>930</v>
          </cell>
        </row>
        <row r="2968">
          <cell r="B2968" t="str">
            <v>SANTA ROSA A 1104173590</v>
          </cell>
          <cell r="C2968">
            <v>42151104</v>
          </cell>
          <cell r="D2968" t="str">
            <v>SANTA ROSA A 1104</v>
          </cell>
          <cell r="E2968">
            <v>173590</v>
          </cell>
          <cell r="F2968" t="b">
            <v>0</v>
          </cell>
          <cell r="G2968">
            <v>6901.1970440581399</v>
          </cell>
          <cell r="H2968">
            <v>6901.1970440581399</v>
          </cell>
          <cell r="I2968">
            <v>46</v>
          </cell>
          <cell r="J2968">
            <v>9.0869562921832995E-5</v>
          </cell>
          <cell r="K2968">
            <v>1887</v>
          </cell>
          <cell r="L2968">
            <v>19.209833783517901</v>
          </cell>
          <cell r="M2968">
            <v>2458</v>
          </cell>
          <cell r="N2968">
            <v>1.51311754774628E-3</v>
          </cell>
          <cell r="O2968">
            <v>2554</v>
          </cell>
          <cell r="Q2968">
            <v>2921</v>
          </cell>
        </row>
        <row r="2969">
          <cell r="B2969" t="str">
            <v>SANTA ROSA A 1104210</v>
          </cell>
          <cell r="C2969">
            <v>42151104</v>
          </cell>
          <cell r="D2969" t="str">
            <v>SANTA ROSA A 1104</v>
          </cell>
          <cell r="E2969">
            <v>210</v>
          </cell>
          <cell r="F2969" t="b">
            <v>0</v>
          </cell>
          <cell r="G2969">
            <v>12611.914201899601</v>
          </cell>
          <cell r="H2969">
            <v>10477.871639766699</v>
          </cell>
          <cell r="I2969">
            <v>107</v>
          </cell>
          <cell r="J2969">
            <v>1.54833306402915E-4</v>
          </cell>
          <cell r="K2969">
            <v>696</v>
          </cell>
          <cell r="L2969">
            <v>6.6181105051927702E-2</v>
          </cell>
          <cell r="M2969">
            <v>3174</v>
          </cell>
          <cell r="N2969">
            <v>1.02550688183939E-5</v>
          </cell>
          <cell r="O2969">
            <v>3062</v>
          </cell>
          <cell r="P2969">
            <v>0.61</v>
          </cell>
          <cell r="Q2969">
            <v>845</v>
          </cell>
        </row>
        <row r="2970">
          <cell r="B2970" t="str">
            <v>SANTA ROSA A 1104220</v>
          </cell>
          <cell r="C2970">
            <v>42151104</v>
          </cell>
          <cell r="D2970" t="str">
            <v>SANTA ROSA A 1104</v>
          </cell>
          <cell r="E2970">
            <v>220</v>
          </cell>
          <cell r="F2970" t="b">
            <v>0</v>
          </cell>
          <cell r="G2970">
            <v>15438.0154265499</v>
          </cell>
          <cell r="H2970">
            <v>15438.0154265499</v>
          </cell>
          <cell r="I2970">
            <v>105</v>
          </cell>
          <cell r="J2970">
            <v>1.14410281336555E-4</v>
          </cell>
          <cell r="K2970">
            <v>1309</v>
          </cell>
          <cell r="L2970">
            <v>311.34317932323103</v>
          </cell>
          <cell r="M2970">
            <v>1429</v>
          </cell>
          <cell r="N2970">
            <v>3.8284278732880997E-2</v>
          </cell>
          <cell r="O2970">
            <v>1327</v>
          </cell>
          <cell r="P2970">
            <v>9.4600000000000009</v>
          </cell>
          <cell r="Q2970">
            <v>408</v>
          </cell>
        </row>
        <row r="2971">
          <cell r="B2971" t="str">
            <v>SANTA ROSA A 110432180</v>
          </cell>
          <cell r="C2971">
            <v>42151104</v>
          </cell>
          <cell r="D2971" t="str">
            <v>SANTA ROSA A 1104</v>
          </cell>
          <cell r="E2971">
            <v>32180</v>
          </cell>
          <cell r="F2971" t="b">
            <v>0</v>
          </cell>
          <cell r="G2971">
            <v>4085.7250041947</v>
          </cell>
          <cell r="H2971">
            <v>3970.21308309815</v>
          </cell>
          <cell r="I2971">
            <v>36</v>
          </cell>
          <cell r="J2971">
            <v>1.3280458224471599E-4</v>
          </cell>
          <cell r="K2971">
            <v>963</v>
          </cell>
          <cell r="L2971">
            <v>9.9964386882153295</v>
          </cell>
          <cell r="M2971">
            <v>2624</v>
          </cell>
          <cell r="N2971">
            <v>2.27632556614118E-3</v>
          </cell>
          <cell r="O2971">
            <v>2437</v>
          </cell>
          <cell r="P2971">
            <v>0.25</v>
          </cell>
          <cell r="Q2971">
            <v>1076</v>
          </cell>
        </row>
        <row r="2972">
          <cell r="B2972" t="str">
            <v>SANTA ROSA A 110439786</v>
          </cell>
          <cell r="C2972">
            <v>42151104</v>
          </cell>
          <cell r="D2972" t="str">
            <v>SANTA ROSA A 1104</v>
          </cell>
          <cell r="E2972">
            <v>39786</v>
          </cell>
          <cell r="F2972" t="b">
            <v>1</v>
          </cell>
          <cell r="G2972">
            <v>5442.54668035949</v>
          </cell>
          <cell r="H2972">
            <v>454.73680442182501</v>
          </cell>
          <cell r="I2972">
            <v>44</v>
          </cell>
          <cell r="J2972">
            <v>5.3496877118832702E-5</v>
          </cell>
          <cell r="K2972">
            <v>2950</v>
          </cell>
          <cell r="L2972">
            <v>6.5244566004626997E-2</v>
          </cell>
          <cell r="M2972">
            <v>3482</v>
          </cell>
          <cell r="N2972">
            <v>3.4960473271309499E-6</v>
          </cell>
          <cell r="O2972">
            <v>3367</v>
          </cell>
          <cell r="P2972">
            <v>0.21</v>
          </cell>
          <cell r="Q2972">
            <v>1145</v>
          </cell>
        </row>
        <row r="2973">
          <cell r="B2973" t="str">
            <v>SANTA ROSA A 1104642</v>
          </cell>
          <cell r="C2973">
            <v>42151104</v>
          </cell>
          <cell r="D2973" t="str">
            <v>SANTA ROSA A 1104</v>
          </cell>
          <cell r="E2973">
            <v>642</v>
          </cell>
          <cell r="F2973" t="b">
            <v>0</v>
          </cell>
          <cell r="G2973">
            <v>14995.9698055645</v>
          </cell>
          <cell r="H2973">
            <v>14995.9698055645</v>
          </cell>
          <cell r="I2973">
            <v>127</v>
          </cell>
          <cell r="J2973">
            <v>1.20827547343508E-4</v>
          </cell>
          <cell r="K2973">
            <v>1167</v>
          </cell>
          <cell r="L2973">
            <v>94.137620172789397</v>
          </cell>
          <cell r="M2973">
            <v>1984</v>
          </cell>
          <cell r="N2973">
            <v>9.2364114135500899E-3</v>
          </cell>
          <cell r="O2973">
            <v>1992</v>
          </cell>
          <cell r="P2973">
            <v>16.12</v>
          </cell>
          <cell r="Q2973">
            <v>341</v>
          </cell>
        </row>
        <row r="2974">
          <cell r="B2974" t="str">
            <v>SANTA ROSA A 110464565</v>
          </cell>
          <cell r="C2974">
            <v>42151104</v>
          </cell>
          <cell r="D2974" t="str">
            <v>SANTA ROSA A 1104</v>
          </cell>
          <cell r="E2974">
            <v>64565</v>
          </cell>
          <cell r="F2974" t="b">
            <v>0</v>
          </cell>
          <cell r="G2974">
            <v>1284.2848290637701</v>
          </cell>
          <cell r="H2974">
            <v>1284.2848290637701</v>
          </cell>
          <cell r="I2974">
            <v>13</v>
          </cell>
          <cell r="J2974">
            <v>1.60674430215014E-4</v>
          </cell>
          <cell r="K2974">
            <v>634</v>
          </cell>
          <cell r="L2974">
            <v>14.711681305891</v>
          </cell>
          <cell r="M2974">
            <v>2534</v>
          </cell>
          <cell r="N2974">
            <v>1.17501180321426E-3</v>
          </cell>
          <cell r="O2974">
            <v>2602</v>
          </cell>
          <cell r="P2974">
            <v>0.3</v>
          </cell>
          <cell r="Q2974">
            <v>1013</v>
          </cell>
        </row>
        <row r="2975">
          <cell r="B2975" t="str">
            <v>SANTA ROSA A 1104716</v>
          </cell>
          <cell r="C2975">
            <v>42151104</v>
          </cell>
          <cell r="D2975" t="str">
            <v>SANTA ROSA A 1104</v>
          </cell>
          <cell r="E2975">
            <v>716</v>
          </cell>
          <cell r="F2975" t="b">
            <v>0</v>
          </cell>
          <cell r="G2975">
            <v>14319.943782696801</v>
          </cell>
          <cell r="H2975">
            <v>14319.943782696801</v>
          </cell>
          <cell r="I2975">
            <v>109</v>
          </cell>
          <cell r="J2975">
            <v>1.0523068674021901E-4</v>
          </cell>
          <cell r="K2975">
            <v>1513</v>
          </cell>
          <cell r="L2975">
            <v>113.979933720124</v>
          </cell>
          <cell r="M2975">
            <v>1900</v>
          </cell>
          <cell r="N2975">
            <v>1.1649584308511001E-2</v>
          </cell>
          <cell r="O2975">
            <v>1895</v>
          </cell>
          <cell r="P2975">
            <v>14.14</v>
          </cell>
          <cell r="Q2975">
            <v>357</v>
          </cell>
        </row>
        <row r="2976">
          <cell r="B2976" t="str">
            <v>SANTA ROSA A 1104834094</v>
          </cell>
          <cell r="C2976">
            <v>42151104</v>
          </cell>
          <cell r="D2976" t="str">
            <v>SANTA ROSA A 1104</v>
          </cell>
          <cell r="E2976">
            <v>834094</v>
          </cell>
          <cell r="F2976" t="b">
            <v>1</v>
          </cell>
          <cell r="G2976">
            <v>201.23449530299999</v>
          </cell>
          <cell r="H2976">
            <v>155.48287139842901</v>
          </cell>
          <cell r="I2976">
            <v>3</v>
          </cell>
          <cell r="J2976">
            <v>8.2000036248549194E-5</v>
          </cell>
          <cell r="K2976">
            <v>2155</v>
          </cell>
          <cell r="L2976">
            <v>6.5582041028131297E-2</v>
          </cell>
          <cell r="M2976">
            <v>3337</v>
          </cell>
          <cell r="N2976">
            <v>5.3912802381274497E-6</v>
          </cell>
          <cell r="O2976">
            <v>3245</v>
          </cell>
          <cell r="Q2976">
            <v>3572</v>
          </cell>
        </row>
        <row r="2977">
          <cell r="B2977" t="str">
            <v>SANTA ROSA A 1104991788</v>
          </cell>
          <cell r="C2977">
            <v>42151104</v>
          </cell>
          <cell r="D2977" t="str">
            <v>SANTA ROSA A 1104</v>
          </cell>
          <cell r="E2977">
            <v>991788</v>
          </cell>
          <cell r="F2977" t="b">
            <v>0</v>
          </cell>
          <cell r="G2977">
            <v>5495.9742067457</v>
          </cell>
          <cell r="H2977">
            <v>1222.06340515637</v>
          </cell>
          <cell r="I2977">
            <v>43</v>
          </cell>
          <cell r="J2977">
            <v>5.2880463785143897E-5</v>
          </cell>
          <cell r="K2977">
            <v>2971</v>
          </cell>
          <cell r="L2977">
            <v>6.5394579819061799E-2</v>
          </cell>
          <cell r="M2977">
            <v>3419</v>
          </cell>
          <cell r="N2977">
            <v>3.4631417541394E-6</v>
          </cell>
          <cell r="O2977">
            <v>3369</v>
          </cell>
          <cell r="Q2977">
            <v>2890</v>
          </cell>
        </row>
        <row r="2978">
          <cell r="B2978" t="str">
            <v>SANTA ROSA A 1104CB</v>
          </cell>
          <cell r="C2978">
            <v>42151104</v>
          </cell>
          <cell r="D2978" t="str">
            <v>SANTA ROSA A 1104</v>
          </cell>
          <cell r="E2978" t="str">
            <v>CB</v>
          </cell>
          <cell r="F2978" t="b">
            <v>1</v>
          </cell>
          <cell r="G2978">
            <v>9581.6812127460398</v>
          </cell>
          <cell r="H2978">
            <v>369.00166595941198</v>
          </cell>
          <cell r="I2978">
            <v>76</v>
          </cell>
          <cell r="J2978">
            <v>4.0032497293539402E-5</v>
          </cell>
          <cell r="K2978">
            <v>3268</v>
          </cell>
          <cell r="L2978">
            <v>6.5241497256700198E-2</v>
          </cell>
          <cell r="M2978">
            <v>3484</v>
          </cell>
          <cell r="N2978">
            <v>2.61699359695154E-6</v>
          </cell>
          <cell r="O2978">
            <v>3453</v>
          </cell>
          <cell r="P2978">
            <v>0.16</v>
          </cell>
          <cell r="Q2978">
            <v>1252</v>
          </cell>
        </row>
        <row r="2979">
          <cell r="B2979" t="str">
            <v>SANTA ROSA A 1107CB</v>
          </cell>
          <cell r="C2979">
            <v>42151107</v>
          </cell>
          <cell r="D2979" t="str">
            <v>SANTA ROSA A 1107</v>
          </cell>
          <cell r="E2979" t="str">
            <v>CB</v>
          </cell>
          <cell r="F2979" t="b">
            <v>0</v>
          </cell>
          <cell r="G2979">
            <v>9896.0277767047992</v>
          </cell>
          <cell r="H2979">
            <v>4879.3812515456002</v>
          </cell>
          <cell r="I2979">
            <v>92</v>
          </cell>
          <cell r="J2979">
            <v>6.0198914440291801E-5</v>
          </cell>
          <cell r="K2979">
            <v>2766</v>
          </cell>
          <cell r="L2979">
            <v>6.5711023122064394E-2</v>
          </cell>
          <cell r="M2979">
            <v>3305</v>
          </cell>
          <cell r="N2979">
            <v>3.9708106683928796E-6</v>
          </cell>
          <cell r="O2979">
            <v>3336</v>
          </cell>
          <cell r="P2979">
            <v>0.35</v>
          </cell>
          <cell r="Q2979">
            <v>974</v>
          </cell>
        </row>
        <row r="2980">
          <cell r="B2980" t="str">
            <v>SANTA ROSA A 1108409621</v>
          </cell>
          <cell r="C2980">
            <v>42151108</v>
          </cell>
          <cell r="D2980" t="str">
            <v>SANTA ROSA A 1108</v>
          </cell>
          <cell r="E2980">
            <v>409621</v>
          </cell>
          <cell r="F2980" t="b">
            <v>1</v>
          </cell>
          <cell r="G2980">
            <v>945.46116433911402</v>
          </cell>
          <cell r="H2980">
            <v>219.13138386859799</v>
          </cell>
          <cell r="I2980">
            <v>4</v>
          </cell>
          <cell r="J2980">
            <v>8.5029135031315097E-5</v>
          </cell>
          <cell r="K2980">
            <v>2059</v>
          </cell>
          <cell r="L2980">
            <v>85.519620644495106</v>
          </cell>
          <cell r="M2980">
            <v>2026</v>
          </cell>
          <cell r="N2980">
            <v>5.9942861672134997E-3</v>
          </cell>
          <cell r="O2980">
            <v>2155</v>
          </cell>
          <cell r="Q2980">
            <v>3567</v>
          </cell>
        </row>
        <row r="2981">
          <cell r="B2981" t="str">
            <v>SANTA ROSA A 1111114</v>
          </cell>
          <cell r="C2981">
            <v>42151111</v>
          </cell>
          <cell r="D2981" t="str">
            <v>SANTA ROSA A 1111</v>
          </cell>
          <cell r="E2981">
            <v>114</v>
          </cell>
          <cell r="F2981" t="b">
            <v>1</v>
          </cell>
          <cell r="G2981">
            <v>4957.8886973265699</v>
          </cell>
          <cell r="H2981">
            <v>17.4907901550567</v>
          </cell>
          <cell r="I2981">
            <v>40</v>
          </cell>
          <cell r="J2981">
            <v>8.31728189519995E-5</v>
          </cell>
          <cell r="K2981">
            <v>2128</v>
          </cell>
          <cell r="L2981">
            <v>9.1847270014639992</v>
          </cell>
          <cell r="M2981">
            <v>2640</v>
          </cell>
          <cell r="N2981">
            <v>9.6055029661641102E-4</v>
          </cell>
          <cell r="O2981">
            <v>2645</v>
          </cell>
          <cell r="P2981">
            <v>8.42</v>
          </cell>
          <cell r="Q2981">
            <v>426</v>
          </cell>
        </row>
        <row r="2982">
          <cell r="B2982" t="str">
            <v>SANTA ROSA A 1111147198</v>
          </cell>
          <cell r="C2982">
            <v>42151111</v>
          </cell>
          <cell r="D2982" t="str">
            <v>SANTA ROSA A 1111</v>
          </cell>
          <cell r="E2982">
            <v>147198</v>
          </cell>
          <cell r="F2982" t="b">
            <v>0</v>
          </cell>
          <cell r="G2982">
            <v>3096.6230969616199</v>
          </cell>
          <cell r="H2982">
            <v>2173.94390065383</v>
          </cell>
          <cell r="I2982">
            <v>24</v>
          </cell>
          <cell r="J2982">
            <v>1.32979912753702E-4</v>
          </cell>
          <cell r="K2982">
            <v>958</v>
          </cell>
          <cell r="L2982">
            <v>27.855569677115401</v>
          </cell>
          <cell r="M2982">
            <v>2363</v>
          </cell>
          <cell r="N2982">
            <v>2.85265785778702E-3</v>
          </cell>
          <cell r="O2982">
            <v>2364</v>
          </cell>
          <cell r="Q2982">
            <v>3161</v>
          </cell>
        </row>
        <row r="2983">
          <cell r="B2983" t="str">
            <v>SANTA ROSA A 1111407286</v>
          </cell>
          <cell r="C2983">
            <v>42151111</v>
          </cell>
          <cell r="D2983" t="str">
            <v>SANTA ROSA A 1111</v>
          </cell>
          <cell r="E2983">
            <v>407286</v>
          </cell>
          <cell r="F2983" t="b">
            <v>1</v>
          </cell>
          <cell r="G2983">
            <v>98.019560982427507</v>
          </cell>
          <cell r="H2983">
            <v>98.019560982427507</v>
          </cell>
          <cell r="I2983">
            <v>1</v>
          </cell>
          <cell r="J2983">
            <v>1.10590081021655E-4</v>
          </cell>
          <cell r="K2983">
            <v>1398</v>
          </cell>
          <cell r="L2983">
            <v>6.6430549658656704E-2</v>
          </cell>
          <cell r="M2983">
            <v>3111</v>
          </cell>
          <cell r="N2983">
            <v>7.3465598690639401E-6</v>
          </cell>
          <cell r="O2983">
            <v>3152</v>
          </cell>
          <cell r="Q2983">
            <v>3557</v>
          </cell>
        </row>
        <row r="2984">
          <cell r="B2984" t="str">
            <v>SANTA ROSA A 1111758024</v>
          </cell>
          <cell r="C2984">
            <v>42151111</v>
          </cell>
          <cell r="D2984" t="str">
            <v>SANTA ROSA A 1111</v>
          </cell>
          <cell r="E2984">
            <v>758024</v>
          </cell>
          <cell r="F2984" t="b">
            <v>0</v>
          </cell>
          <cell r="G2984">
            <v>10378.3257271806</v>
          </cell>
          <cell r="H2984">
            <v>7589.89292283754</v>
          </cell>
          <cell r="I2984">
            <v>72</v>
          </cell>
          <cell r="J2984">
            <v>9.0405006504725902E-5</v>
          </cell>
          <cell r="K2984">
            <v>1901</v>
          </cell>
          <cell r="L2984">
            <v>69.666851492893699</v>
          </cell>
          <cell r="M2984">
            <v>2097</v>
          </cell>
          <cell r="N2984">
            <v>7.4839578035072298E-3</v>
          </cell>
          <cell r="O2984">
            <v>2076</v>
          </cell>
          <cell r="Q2984">
            <v>2992</v>
          </cell>
        </row>
        <row r="2985">
          <cell r="B2985" t="str">
            <v>SANTA ROSA A 1111CB</v>
          </cell>
          <cell r="C2985">
            <v>42151111</v>
          </cell>
          <cell r="D2985" t="str">
            <v>SANTA ROSA A 1111</v>
          </cell>
          <cell r="E2985" t="str">
            <v>CB</v>
          </cell>
          <cell r="F2985" t="b">
            <v>1</v>
          </cell>
          <cell r="G2985">
            <v>9060.4472555847296</v>
          </cell>
          <cell r="H2985">
            <v>490.84245257053902</v>
          </cell>
          <cell r="I2985">
            <v>88</v>
          </cell>
          <cell r="J2985">
            <v>4.36273061051819E-5</v>
          </cell>
          <cell r="K2985">
            <v>3197</v>
          </cell>
          <cell r="L2985">
            <v>6.3791313491554398</v>
          </cell>
          <cell r="M2985">
            <v>2701</v>
          </cell>
          <cell r="N2985">
            <v>5.26344969631651E-4</v>
          </cell>
          <cell r="O2985">
            <v>2727</v>
          </cell>
          <cell r="Q2985">
            <v>2703</v>
          </cell>
        </row>
        <row r="2986">
          <cell r="B2986" t="str">
            <v>SANTA YNEZ 1101277014</v>
          </cell>
          <cell r="C2986">
            <v>182721101</v>
          </cell>
          <cell r="D2986" t="str">
            <v>SANTA YNEZ 1101</v>
          </cell>
          <cell r="E2986">
            <v>277014</v>
          </cell>
          <cell r="F2986" t="b">
            <v>0</v>
          </cell>
          <cell r="G2986">
            <v>26491.154134437798</v>
          </cell>
          <cell r="H2986">
            <v>8850.8282840238608</v>
          </cell>
          <cell r="I2986">
            <v>149</v>
          </cell>
          <cell r="J2986">
            <v>7.49140289912788E-5</v>
          </cell>
          <cell r="K2986">
            <v>2333</v>
          </cell>
          <cell r="L2986">
            <v>3435.5989350083901</v>
          </cell>
          <cell r="M2986">
            <v>208</v>
          </cell>
          <cell r="N2986">
            <v>0.28002168444813502</v>
          </cell>
          <cell r="O2986">
            <v>156</v>
          </cell>
          <cell r="Q2986">
            <v>2840</v>
          </cell>
        </row>
        <row r="2987">
          <cell r="B2987" t="str">
            <v>SANTA YNEZ 1101673618</v>
          </cell>
          <cell r="C2987">
            <v>182721101</v>
          </cell>
          <cell r="D2987" t="str">
            <v>SANTA YNEZ 1101</v>
          </cell>
          <cell r="E2987">
            <v>673618</v>
          </cell>
          <cell r="F2987" t="b">
            <v>1</v>
          </cell>
          <cell r="G2987">
            <v>533.16000774081294</v>
          </cell>
          <cell r="H2987">
            <v>171.37875304354699</v>
          </cell>
          <cell r="I2987">
            <v>4</v>
          </cell>
          <cell r="J2987">
            <v>5.0100877160730299E-5</v>
          </cell>
          <cell r="K2987">
            <v>3035</v>
          </cell>
          <cell r="L2987">
            <v>3451.81030273437</v>
          </cell>
          <cell r="M2987">
            <v>207</v>
          </cell>
          <cell r="N2987">
            <v>0.17293872395943799</v>
          </cell>
          <cell r="O2987">
            <v>427</v>
          </cell>
          <cell r="Q2987">
            <v>3547</v>
          </cell>
        </row>
        <row r="2988">
          <cell r="B2988" t="str">
            <v>SANTA YNEZ 1101980192</v>
          </cell>
          <cell r="C2988">
            <v>182721101</v>
          </cell>
          <cell r="D2988" t="str">
            <v>SANTA YNEZ 1101</v>
          </cell>
          <cell r="E2988">
            <v>980192</v>
          </cell>
          <cell r="F2988" t="b">
            <v>0</v>
          </cell>
          <cell r="G2988">
            <v>6178.6452509800802</v>
          </cell>
          <cell r="H2988">
            <v>6178.6452509800802</v>
          </cell>
          <cell r="I2988">
            <v>19</v>
          </cell>
          <cell r="J2988">
            <v>3.4326303935622001E-5</v>
          </cell>
          <cell r="K2988">
            <v>3362</v>
          </cell>
          <cell r="L2988">
            <v>2382.3266422629699</v>
          </cell>
          <cell r="M2988">
            <v>363</v>
          </cell>
          <cell r="N2988">
            <v>7.2592367861655405E-2</v>
          </cell>
          <cell r="O2988">
            <v>961</v>
          </cell>
          <cell r="Q2988">
            <v>3513</v>
          </cell>
        </row>
        <row r="2989">
          <cell r="B2989" t="str">
            <v>SANTA YNEZ 1101Y52</v>
          </cell>
          <cell r="C2989">
            <v>182721101</v>
          </cell>
          <cell r="D2989" t="str">
            <v>SANTA YNEZ 1101</v>
          </cell>
          <cell r="E2989" t="str">
            <v>Y52</v>
          </cell>
          <cell r="F2989" t="b">
            <v>0</v>
          </cell>
          <cell r="G2989">
            <v>33466.441996863301</v>
          </cell>
          <cell r="H2989">
            <v>31529.209082133701</v>
          </cell>
          <cell r="I2989">
            <v>141</v>
          </cell>
          <cell r="J2989">
            <v>6.2219161717231506E-5</v>
          </cell>
          <cell r="K2989">
            <v>2713</v>
          </cell>
          <cell r="L2989">
            <v>2469.9036121765198</v>
          </cell>
          <cell r="M2989">
            <v>349</v>
          </cell>
          <cell r="N2989">
            <v>0.15332193312860301</v>
          </cell>
          <cell r="O2989">
            <v>501</v>
          </cell>
          <cell r="P2989">
            <v>0.22</v>
          </cell>
          <cell r="Q2989">
            <v>1124</v>
          </cell>
        </row>
        <row r="2990">
          <cell r="B2990" t="str">
            <v>SANTA YNEZ 1102320270</v>
          </cell>
          <cell r="C2990">
            <v>182721102</v>
          </cell>
          <cell r="D2990" t="str">
            <v>SANTA YNEZ 1102</v>
          </cell>
          <cell r="E2990">
            <v>320270</v>
          </cell>
          <cell r="F2990" t="b">
            <v>0</v>
          </cell>
          <cell r="G2990">
            <v>27707.779260065501</v>
          </cell>
          <cell r="H2990">
            <v>13648.6048518118</v>
          </cell>
          <cell r="I2990">
            <v>137</v>
          </cell>
          <cell r="J2990">
            <v>5.4418951481067803E-5</v>
          </cell>
          <cell r="K2990">
            <v>2934</v>
          </cell>
          <cell r="L2990">
            <v>1519.00928101875</v>
          </cell>
          <cell r="M2990">
            <v>586</v>
          </cell>
          <cell r="N2990">
            <v>8.5740097323489597E-2</v>
          </cell>
          <cell r="O2990">
            <v>853</v>
          </cell>
          <cell r="P2990">
            <v>0.03</v>
          </cell>
          <cell r="Q2990">
            <v>2384</v>
          </cell>
        </row>
        <row r="2991">
          <cell r="B2991" t="str">
            <v>SANTA YNEZ 1102CB</v>
          </cell>
          <cell r="C2991">
            <v>182721102</v>
          </cell>
          <cell r="D2991" t="str">
            <v>SANTA YNEZ 1102</v>
          </cell>
          <cell r="E2991" t="str">
            <v>CB</v>
          </cell>
          <cell r="F2991" t="b">
            <v>0</v>
          </cell>
          <cell r="G2991">
            <v>14342.984593013</v>
          </cell>
          <cell r="H2991">
            <v>2348.0850123466498</v>
          </cell>
          <cell r="I2991">
            <v>124</v>
          </cell>
          <cell r="J2991">
            <v>5.5469287817246402E-5</v>
          </cell>
          <cell r="K2991">
            <v>2900</v>
          </cell>
          <cell r="L2991">
            <v>1580.4691812685601</v>
          </cell>
          <cell r="M2991">
            <v>569</v>
          </cell>
          <cell r="N2991">
            <v>0.12375498088174799</v>
          </cell>
          <cell r="O2991">
            <v>627</v>
          </cell>
          <cell r="P2991">
            <v>0.03</v>
          </cell>
          <cell r="Q2991">
            <v>2351</v>
          </cell>
        </row>
        <row r="2992">
          <cell r="B2992" t="str">
            <v>SANTA YNEZ 1102Y18</v>
          </cell>
          <cell r="C2992">
            <v>182721102</v>
          </cell>
          <cell r="D2992" t="str">
            <v>SANTA YNEZ 1102</v>
          </cell>
          <cell r="E2992" t="str">
            <v>Y18</v>
          </cell>
          <cell r="F2992" t="b">
            <v>0</v>
          </cell>
          <cell r="G2992">
            <v>12113.6185033528</v>
          </cell>
          <cell r="H2992">
            <v>7856.8971217285998</v>
          </cell>
          <cell r="I2992">
            <v>60</v>
          </cell>
          <cell r="J2992">
            <v>4.1779017226224903E-5</v>
          </cell>
          <cell r="K2992">
            <v>3229</v>
          </cell>
          <cell r="L2992">
            <v>658.07631281316196</v>
          </cell>
          <cell r="M2992">
            <v>1056</v>
          </cell>
          <cell r="N2992">
            <v>2.9554517703041901E-2</v>
          </cell>
          <cell r="O2992">
            <v>1472</v>
          </cell>
          <cell r="P2992">
            <v>0.08</v>
          </cell>
          <cell r="Q2992">
            <v>1647</v>
          </cell>
        </row>
        <row r="2993">
          <cell r="B2993" t="str">
            <v>SANTA YNEZ 1104117616</v>
          </cell>
          <cell r="C2993">
            <v>182721104</v>
          </cell>
          <cell r="D2993" t="str">
            <v>SANTA YNEZ 1104</v>
          </cell>
          <cell r="E2993">
            <v>117616</v>
          </cell>
          <cell r="F2993" t="b">
            <v>1</v>
          </cell>
          <cell r="G2993">
            <v>584.78564634994098</v>
          </cell>
          <cell r="H2993">
            <v>298.34869119168002</v>
          </cell>
          <cell r="I2993">
            <v>5</v>
          </cell>
          <cell r="J2993">
            <v>1.07817030220758E-4</v>
          </cell>
          <cell r="K2993">
            <v>1453</v>
          </cell>
          <cell r="L2993">
            <v>3364.4337386265302</v>
          </cell>
          <cell r="M2993">
            <v>215</v>
          </cell>
          <cell r="N2993">
            <v>0.165637333108556</v>
          </cell>
          <cell r="O2993">
            <v>448</v>
          </cell>
          <cell r="Q2993">
            <v>3494</v>
          </cell>
        </row>
        <row r="2994">
          <cell r="B2994" t="str">
            <v>SANTA YNEZ 1104512912</v>
          </cell>
          <cell r="C2994">
            <v>182721104</v>
          </cell>
          <cell r="D2994" t="str">
            <v>SANTA YNEZ 1104</v>
          </cell>
          <cell r="E2994">
            <v>512912</v>
          </cell>
          <cell r="F2994" t="b">
            <v>0</v>
          </cell>
          <cell r="G2994">
            <v>3140.8885226120001</v>
          </cell>
          <cell r="H2994">
            <v>1435.1217061863499</v>
          </cell>
          <cell r="I2994">
            <v>23</v>
          </cell>
          <cell r="J2994">
            <v>6.2939462788397693E-5</v>
          </cell>
          <cell r="K2994">
            <v>2682</v>
          </cell>
          <cell r="L2994">
            <v>742.07916799414397</v>
          </cell>
          <cell r="M2994">
            <v>982</v>
          </cell>
          <cell r="N2994">
            <v>5.8383184788435502E-2</v>
          </cell>
          <cell r="O2994">
            <v>1076</v>
          </cell>
          <cell r="Q2994">
            <v>2970</v>
          </cell>
        </row>
        <row r="2995">
          <cell r="B2995" t="str">
            <v>SANTA YNEZ 1104564710</v>
          </cell>
          <cell r="C2995">
            <v>182721104</v>
          </cell>
          <cell r="D2995" t="str">
            <v>SANTA YNEZ 1104</v>
          </cell>
          <cell r="E2995">
            <v>564710</v>
          </cell>
          <cell r="F2995" t="b">
            <v>1</v>
          </cell>
          <cell r="G2995">
            <v>541.73710945833295</v>
          </cell>
          <cell r="H2995">
            <v>273.73234576449602</v>
          </cell>
          <cell r="I2995">
            <v>7</v>
          </cell>
          <cell r="J2995">
            <v>4.7514906327705803E-5</v>
          </cell>
          <cell r="K2995">
            <v>3102</v>
          </cell>
          <cell r="L2995">
            <v>4812.0309636316097</v>
          </cell>
          <cell r="M2995">
            <v>93</v>
          </cell>
          <cell r="N2995">
            <v>0.26623969517295598</v>
          </cell>
          <cell r="O2995">
            <v>184</v>
          </cell>
          <cell r="Q2995">
            <v>3533</v>
          </cell>
        </row>
        <row r="2996">
          <cell r="B2996" t="str">
            <v>SANTA YNEZ 1104685160</v>
          </cell>
          <cell r="C2996">
            <v>182721104</v>
          </cell>
          <cell r="D2996" t="str">
            <v>SANTA YNEZ 1104</v>
          </cell>
          <cell r="E2996">
            <v>685160</v>
          </cell>
          <cell r="F2996" t="b">
            <v>1</v>
          </cell>
          <cell r="G2996">
            <v>2780.47148270967</v>
          </cell>
          <cell r="H2996">
            <v>943.75909241890497</v>
          </cell>
          <cell r="I2996">
            <v>17</v>
          </cell>
          <cell r="J2996">
            <v>5.0437169059424498E-5</v>
          </cell>
          <cell r="K2996">
            <v>3028</v>
          </cell>
          <cell r="L2996">
            <v>1467.3789460273299</v>
          </cell>
          <cell r="M2996">
            <v>610</v>
          </cell>
          <cell r="N2996">
            <v>8.2765747921641306E-2</v>
          </cell>
          <cell r="O2996">
            <v>878</v>
          </cell>
          <cell r="Q2996">
            <v>3392</v>
          </cell>
        </row>
        <row r="2997">
          <cell r="B2997" t="str">
            <v>SANTA YNEZ 110477098</v>
          </cell>
          <cell r="C2997">
            <v>182721104</v>
          </cell>
          <cell r="D2997" t="str">
            <v>SANTA YNEZ 1104</v>
          </cell>
          <cell r="E2997">
            <v>77098</v>
          </cell>
          <cell r="F2997" t="b">
            <v>0</v>
          </cell>
          <cell r="G2997">
            <v>20978.2648251184</v>
          </cell>
          <cell r="H2997">
            <v>19250.5667982657</v>
          </cell>
          <cell r="I2997">
            <v>112</v>
          </cell>
          <cell r="J2997">
            <v>5.0472438418567801E-5</v>
          </cell>
          <cell r="K2997">
            <v>3025</v>
          </cell>
          <cell r="L2997">
            <v>4289.2503660631201</v>
          </cell>
          <cell r="M2997">
            <v>127</v>
          </cell>
          <cell r="N2997">
            <v>0.210422302083802</v>
          </cell>
          <cell r="O2997">
            <v>308</v>
          </cell>
          <cell r="P2997">
            <v>2.69</v>
          </cell>
          <cell r="Q2997">
            <v>589</v>
          </cell>
        </row>
        <row r="2998">
          <cell r="B2998" t="str">
            <v>SANTA YNEZ 1104CB</v>
          </cell>
          <cell r="C2998">
            <v>182721104</v>
          </cell>
          <cell r="D2998" t="str">
            <v>SANTA YNEZ 1104</v>
          </cell>
          <cell r="E2998" t="str">
            <v>CB</v>
          </cell>
          <cell r="F2998" t="b">
            <v>1</v>
          </cell>
          <cell r="G2998">
            <v>12832.3568301425</v>
          </cell>
          <cell r="H2998">
            <v>56.518175058443298</v>
          </cell>
          <cell r="I2998">
            <v>105</v>
          </cell>
          <cell r="J2998">
            <v>9.1038153266143705E-5</v>
          </cell>
          <cell r="K2998">
            <v>1880</v>
          </cell>
          <cell r="L2998">
            <v>3530.2398114012799</v>
          </cell>
          <cell r="M2998">
            <v>198</v>
          </cell>
          <cell r="N2998">
            <v>0.30185414144050599</v>
          </cell>
          <cell r="O2998">
            <v>137</v>
          </cell>
          <cell r="P2998">
            <v>0.03</v>
          </cell>
          <cell r="Q2998">
            <v>2249</v>
          </cell>
        </row>
        <row r="2999">
          <cell r="B2999" t="str">
            <v>SANTA YNEZ 1104Y04</v>
          </cell>
          <cell r="C2999">
            <v>182721104</v>
          </cell>
          <cell r="D2999" t="str">
            <v>SANTA YNEZ 1104</v>
          </cell>
          <cell r="E2999" t="str">
            <v>Y04</v>
          </cell>
          <cell r="F2999" t="b">
            <v>0</v>
          </cell>
          <cell r="G2999">
            <v>35997.339581853797</v>
          </cell>
          <cell r="H2999">
            <v>25194.630911574601</v>
          </cell>
          <cell r="I2999">
            <v>238</v>
          </cell>
          <cell r="J2999">
            <v>6.6357919595132805E-5</v>
          </cell>
          <cell r="K2999">
            <v>2580</v>
          </cell>
          <cell r="L2999">
            <v>5141.1422364119398</v>
          </cell>
          <cell r="M2999">
            <v>64</v>
          </cell>
          <cell r="N2999">
            <v>0.32462599166872602</v>
          </cell>
          <cell r="O2999">
            <v>108</v>
          </cell>
          <cell r="P2999">
            <v>2.84</v>
          </cell>
          <cell r="Q2999">
            <v>576</v>
          </cell>
        </row>
        <row r="3000">
          <cell r="B3000" t="str">
            <v>SANTA YNEZ 1104Y66</v>
          </cell>
          <cell r="C3000">
            <v>182721104</v>
          </cell>
          <cell r="D3000" t="str">
            <v>SANTA YNEZ 1104</v>
          </cell>
          <cell r="E3000" t="str">
            <v>Y66</v>
          </cell>
          <cell r="F3000" t="b">
            <v>0</v>
          </cell>
          <cell r="G3000">
            <v>29410.177267925999</v>
          </cell>
          <cell r="H3000">
            <v>27268.385519813601</v>
          </cell>
          <cell r="I3000">
            <v>138</v>
          </cell>
          <cell r="J3000">
            <v>5.9163422374163899E-5</v>
          </cell>
          <cell r="K3000">
            <v>2801</v>
          </cell>
          <cell r="L3000">
            <v>4926.5490653651996</v>
          </cell>
          <cell r="M3000">
            <v>81</v>
          </cell>
          <cell r="N3000">
            <v>0.28279189704644297</v>
          </cell>
          <cell r="O3000">
            <v>153</v>
          </cell>
          <cell r="P3000">
            <v>8.36</v>
          </cell>
          <cell r="Q3000">
            <v>431</v>
          </cell>
        </row>
        <row r="3001">
          <cell r="B3001" t="str">
            <v>SARATOGA 1103595689</v>
          </cell>
          <cell r="C3001">
            <v>83371103</v>
          </cell>
          <cell r="D3001" t="str">
            <v>SARATOGA 1103</v>
          </cell>
          <cell r="E3001">
            <v>595689</v>
          </cell>
          <cell r="F3001" t="b">
            <v>1</v>
          </cell>
          <cell r="G3001">
            <v>356.38253281457901</v>
          </cell>
          <cell r="H3001">
            <v>44.765447363844103</v>
          </cell>
          <cell r="I3001">
            <v>4</v>
          </cell>
          <cell r="J3001">
            <v>4.69783926746458E-5</v>
          </cell>
          <cell r="K3001">
            <v>3113</v>
          </cell>
          <cell r="L3001">
            <v>6.5468220040202099E-2</v>
          </cell>
          <cell r="M3001">
            <v>3387</v>
          </cell>
          <cell r="N3001">
            <v>3.0825859965806698E-6</v>
          </cell>
          <cell r="O3001">
            <v>3405</v>
          </cell>
          <cell r="Q3001">
            <v>3152</v>
          </cell>
        </row>
        <row r="3002">
          <cell r="B3002" t="str">
            <v>SARATOGA 1103709451</v>
          </cell>
          <cell r="C3002">
            <v>83371103</v>
          </cell>
          <cell r="D3002" t="str">
            <v>SARATOGA 1103</v>
          </cell>
          <cell r="E3002">
            <v>709451</v>
          </cell>
          <cell r="F3002" t="b">
            <v>1</v>
          </cell>
          <cell r="G3002">
            <v>302.47383606953298</v>
          </cell>
          <cell r="H3002">
            <v>302.47383606953298</v>
          </cell>
          <cell r="I3002">
            <v>5</v>
          </cell>
          <cell r="J3002">
            <v>6.0665323690045602E-5</v>
          </cell>
          <cell r="K3002">
            <v>2757</v>
          </cell>
          <cell r="L3002">
            <v>6.6431909799575806E-2</v>
          </cell>
          <cell r="M3002">
            <v>2951</v>
          </cell>
          <cell r="N3002">
            <v>4.0301133113391802E-6</v>
          </cell>
          <cell r="O3002">
            <v>3334</v>
          </cell>
          <cell r="Q3002">
            <v>3439</v>
          </cell>
        </row>
        <row r="3003">
          <cell r="B3003" t="str">
            <v>SARATOGA 1103981056</v>
          </cell>
          <cell r="C3003">
            <v>83371103</v>
          </cell>
          <cell r="D3003" t="str">
            <v>SARATOGA 1103</v>
          </cell>
          <cell r="E3003">
            <v>981056</v>
          </cell>
          <cell r="F3003" t="b">
            <v>1</v>
          </cell>
          <cell r="G3003">
            <v>227.75464503998501</v>
          </cell>
          <cell r="H3003">
            <v>132.01699685521001</v>
          </cell>
          <cell r="I3003">
            <v>2</v>
          </cell>
          <cell r="J3003">
            <v>2.78051331406459E-4</v>
          </cell>
          <cell r="K3003">
            <v>163</v>
          </cell>
          <cell r="L3003">
            <v>6.5789449959993307E-2</v>
          </cell>
          <cell r="M3003">
            <v>3285</v>
          </cell>
          <cell r="N3003">
            <v>1.82589494647729E-5</v>
          </cell>
          <cell r="O3003">
            <v>2971</v>
          </cell>
          <cell r="Q3003">
            <v>3476</v>
          </cell>
        </row>
        <row r="3004">
          <cell r="B3004" t="str">
            <v>SARATOGA 1103LC16</v>
          </cell>
          <cell r="C3004">
            <v>83371103</v>
          </cell>
          <cell r="D3004" t="str">
            <v>SARATOGA 1103</v>
          </cell>
          <cell r="E3004" t="str">
            <v>LC16</v>
          </cell>
          <cell r="F3004" t="b">
            <v>0</v>
          </cell>
          <cell r="G3004">
            <v>8170.2081865835498</v>
          </cell>
          <cell r="H3004">
            <v>6889.2883585988402</v>
          </cell>
          <cell r="I3004">
            <v>72</v>
          </cell>
          <cell r="J3004">
            <v>1.01021930866306E-4</v>
          </cell>
          <cell r="K3004">
            <v>1624</v>
          </cell>
          <cell r="L3004">
            <v>6.6217750222873406E-2</v>
          </cell>
          <cell r="M3004">
            <v>3168</v>
          </cell>
          <cell r="N3004">
            <v>6.7061381771143697E-6</v>
          </cell>
          <cell r="O3004">
            <v>3179</v>
          </cell>
          <cell r="P3004">
            <v>0.17</v>
          </cell>
          <cell r="Q3004">
            <v>1248</v>
          </cell>
        </row>
        <row r="3005">
          <cell r="B3005" t="str">
            <v>SARATOGA 1103LC40</v>
          </cell>
          <cell r="C3005">
            <v>83371103</v>
          </cell>
          <cell r="D3005" t="str">
            <v>SARATOGA 1103</v>
          </cell>
          <cell r="E3005" t="str">
            <v>LC40</v>
          </cell>
          <cell r="F3005" t="b">
            <v>1</v>
          </cell>
          <cell r="G3005">
            <v>2260.1218793815201</v>
          </cell>
          <cell r="H3005">
            <v>26.7728107066579</v>
          </cell>
          <cell r="I3005">
            <v>28</v>
          </cell>
          <cell r="J3005">
            <v>5.1876262464897299E-5</v>
          </cell>
          <cell r="K3005">
            <v>2996</v>
          </cell>
          <cell r="L3005">
            <v>6.5192880108952495E-2</v>
          </cell>
          <cell r="M3005">
            <v>3517</v>
          </cell>
          <cell r="N3005">
            <v>3.3827373744463301E-6</v>
          </cell>
          <cell r="O3005">
            <v>3377</v>
          </cell>
          <cell r="P3005">
            <v>0.02</v>
          </cell>
          <cell r="Q3005">
            <v>2440</v>
          </cell>
        </row>
        <row r="3006">
          <cell r="B3006" t="str">
            <v>SARATOGA 1104209146</v>
          </cell>
          <cell r="C3006">
            <v>83371104</v>
          </cell>
          <cell r="D3006" t="str">
            <v>SARATOGA 1104</v>
          </cell>
          <cell r="E3006">
            <v>209146</v>
          </cell>
          <cell r="F3006" t="b">
            <v>0</v>
          </cell>
          <cell r="G3006">
            <v>9672.0390028936308</v>
          </cell>
          <cell r="H3006">
            <v>4936.2553713950902</v>
          </cell>
          <cell r="I3006">
            <v>85</v>
          </cell>
          <cell r="J3006">
            <v>1.3627358628100301E-4</v>
          </cell>
          <cell r="K3006">
            <v>917</v>
          </cell>
          <cell r="L3006">
            <v>6.5797008311047206E-2</v>
          </cell>
          <cell r="M3006">
            <v>3267</v>
          </cell>
          <cell r="N3006">
            <v>8.9691803741263508E-6</v>
          </cell>
          <cell r="O3006">
            <v>3094</v>
          </cell>
          <cell r="Q3006">
            <v>2810</v>
          </cell>
        </row>
        <row r="3007">
          <cell r="B3007" t="str">
            <v>SARATOGA 1105431214</v>
          </cell>
          <cell r="C3007">
            <v>83371105</v>
          </cell>
          <cell r="D3007" t="str">
            <v>SARATOGA 1105</v>
          </cell>
          <cell r="E3007">
            <v>431214</v>
          </cell>
          <cell r="F3007" t="b">
            <v>1</v>
          </cell>
          <cell r="G3007">
            <v>794.67307243812104</v>
          </cell>
          <cell r="H3007">
            <v>500.32720289229599</v>
          </cell>
          <cell r="I3007">
            <v>9</v>
          </cell>
          <cell r="J3007">
            <v>1.26391170245672E-4</v>
          </cell>
          <cell r="K3007">
            <v>1076</v>
          </cell>
          <cell r="L3007">
            <v>6.5860834386613595E-2</v>
          </cell>
          <cell r="M3007">
            <v>3253</v>
          </cell>
          <cell r="N3007">
            <v>8.3080438307994406E-6</v>
          </cell>
          <cell r="O3007">
            <v>3113</v>
          </cell>
          <cell r="Q3007">
            <v>3396</v>
          </cell>
        </row>
        <row r="3008">
          <cell r="B3008" t="str">
            <v>SARATOGA 1105LC14</v>
          </cell>
          <cell r="C3008">
            <v>83371105</v>
          </cell>
          <cell r="D3008" t="str">
            <v>SARATOGA 1105</v>
          </cell>
          <cell r="E3008" t="str">
            <v>LC14</v>
          </cell>
          <cell r="F3008" t="b">
            <v>0</v>
          </cell>
          <cell r="G3008">
            <v>17935.879796961701</v>
          </cell>
          <cell r="H3008">
            <v>15879.183882506701</v>
          </cell>
          <cell r="I3008">
            <v>137</v>
          </cell>
          <cell r="J3008">
            <v>1.2150307878465001E-4</v>
          </cell>
          <cell r="K3008">
            <v>1156</v>
          </cell>
          <cell r="L3008">
            <v>25.922905717251599</v>
          </cell>
          <cell r="M3008">
            <v>2378</v>
          </cell>
          <cell r="N3008">
            <v>2.8156813027101898E-3</v>
          </cell>
          <cell r="O3008">
            <v>2370</v>
          </cell>
          <cell r="P3008">
            <v>0.15</v>
          </cell>
          <cell r="Q3008">
            <v>1303</v>
          </cell>
        </row>
        <row r="3009">
          <cell r="B3009" t="str">
            <v>SARATOGA 1106LC22</v>
          </cell>
          <cell r="C3009">
            <v>83371106</v>
          </cell>
          <cell r="D3009" t="str">
            <v>SARATOGA 1106</v>
          </cell>
          <cell r="E3009" t="str">
            <v>LC22</v>
          </cell>
          <cell r="F3009" t="b">
            <v>0</v>
          </cell>
          <cell r="G3009">
            <v>13269.3389193893</v>
          </cell>
          <cell r="H3009">
            <v>12038.7868895383</v>
          </cell>
          <cell r="I3009">
            <v>114</v>
          </cell>
          <cell r="J3009">
            <v>1.02799203153137E-4</v>
          </cell>
          <cell r="K3009">
            <v>1575</v>
          </cell>
          <cell r="L3009">
            <v>6.6274070887281697E-2</v>
          </cell>
          <cell r="M3009">
            <v>3155</v>
          </cell>
          <cell r="N3009">
            <v>6.8222752414492698E-6</v>
          </cell>
          <cell r="O3009">
            <v>3174</v>
          </cell>
          <cell r="P3009">
            <v>0.08</v>
          </cell>
          <cell r="Q3009">
            <v>1600</v>
          </cell>
        </row>
        <row r="3010">
          <cell r="B3010" t="str">
            <v>SARATOGA 1106LC24</v>
          </cell>
          <cell r="C3010">
            <v>83371106</v>
          </cell>
          <cell r="D3010" t="str">
            <v>SARATOGA 1106</v>
          </cell>
          <cell r="E3010" t="str">
            <v>LC24</v>
          </cell>
          <cell r="F3010" t="b">
            <v>0</v>
          </cell>
          <cell r="G3010">
            <v>18535.417781398399</v>
          </cell>
          <cell r="H3010">
            <v>13258.5886383422</v>
          </cell>
          <cell r="I3010">
            <v>154</v>
          </cell>
          <cell r="J3010">
            <v>1.9315858908275699E-4</v>
          </cell>
          <cell r="K3010">
            <v>429</v>
          </cell>
          <cell r="L3010">
            <v>6.6006303490612095E-2</v>
          </cell>
          <cell r="M3010">
            <v>3215</v>
          </cell>
          <cell r="N3010">
            <v>1.27468535108235E-5</v>
          </cell>
          <cell r="O3010">
            <v>3029</v>
          </cell>
          <cell r="P3010">
            <v>0.08</v>
          </cell>
          <cell r="Q3010">
            <v>1601</v>
          </cell>
        </row>
        <row r="3011">
          <cell r="B3011" t="str">
            <v>SARATOGA 1107167792</v>
          </cell>
          <cell r="C3011">
            <v>83371107</v>
          </cell>
          <cell r="D3011" t="str">
            <v>SARATOGA 1107</v>
          </cell>
          <cell r="E3011">
            <v>167792</v>
          </cell>
          <cell r="F3011" t="b">
            <v>0</v>
          </cell>
          <cell r="G3011">
            <v>7540.5809474494999</v>
          </cell>
          <cell r="H3011">
            <v>7540.5809474494999</v>
          </cell>
          <cell r="I3011">
            <v>48</v>
          </cell>
          <cell r="J3011">
            <v>1.6417268792186701E-4</v>
          </cell>
          <cell r="K3011">
            <v>599</v>
          </cell>
          <cell r="L3011">
            <v>22.353869602281399</v>
          </cell>
          <cell r="M3011">
            <v>2421</v>
          </cell>
          <cell r="N3011">
            <v>2.98421935673391E-3</v>
          </cell>
          <cell r="O3011">
            <v>2354</v>
          </cell>
          <cell r="P3011">
            <v>27.41</v>
          </cell>
          <cell r="Q3011">
            <v>258</v>
          </cell>
        </row>
        <row r="3012">
          <cell r="B3012" t="str">
            <v>SARATOGA 1107413816</v>
          </cell>
          <cell r="C3012">
            <v>83371107</v>
          </cell>
          <cell r="D3012" t="str">
            <v>SARATOGA 1107</v>
          </cell>
          <cell r="E3012">
            <v>413816</v>
          </cell>
          <cell r="F3012" t="b">
            <v>0</v>
          </cell>
          <cell r="G3012">
            <v>17928.384295914799</v>
          </cell>
          <cell r="H3012">
            <v>17928.384295914799</v>
          </cell>
          <cell r="I3012">
            <v>104</v>
          </cell>
          <cell r="J3012">
            <v>1.19480648120691E-4</v>
          </cell>
          <cell r="K3012">
            <v>1197</v>
          </cell>
          <cell r="L3012">
            <v>65.907117657762797</v>
          </cell>
          <cell r="M3012">
            <v>2117</v>
          </cell>
          <cell r="N3012">
            <v>6.1926578929552504E-3</v>
          </cell>
          <cell r="O3012">
            <v>2145</v>
          </cell>
          <cell r="P3012">
            <v>0.87</v>
          </cell>
          <cell r="Q3012">
            <v>760</v>
          </cell>
        </row>
        <row r="3013">
          <cell r="B3013" t="str">
            <v>SARATOGA 11075696</v>
          </cell>
          <cell r="C3013">
            <v>83371107</v>
          </cell>
          <cell r="D3013" t="str">
            <v>SARATOGA 1107</v>
          </cell>
          <cell r="E3013">
            <v>5696</v>
          </cell>
          <cell r="F3013" t="b">
            <v>0</v>
          </cell>
          <cell r="G3013">
            <v>9835.0739084914294</v>
          </cell>
          <cell r="H3013">
            <v>8152.2263251403801</v>
          </cell>
          <cell r="I3013">
            <v>90</v>
          </cell>
          <cell r="J3013">
            <v>2.0042044052388501E-4</v>
          </cell>
          <cell r="K3013">
            <v>396</v>
          </cell>
          <cell r="L3013">
            <v>6.6174893959745795E-2</v>
          </cell>
          <cell r="M3013">
            <v>3179</v>
          </cell>
          <cell r="N3013">
            <v>1.32651621567429E-5</v>
          </cell>
          <cell r="O3013">
            <v>3025</v>
          </cell>
          <cell r="P3013">
            <v>0.11</v>
          </cell>
          <cell r="Q3013">
            <v>1418</v>
          </cell>
        </row>
        <row r="3014">
          <cell r="B3014" t="str">
            <v>SARATOGA 11076867</v>
          </cell>
          <cell r="C3014">
            <v>83371107</v>
          </cell>
          <cell r="D3014" t="str">
            <v>SARATOGA 1107</v>
          </cell>
          <cell r="E3014">
            <v>6867</v>
          </cell>
          <cell r="F3014" t="b">
            <v>1</v>
          </cell>
          <cell r="G3014">
            <v>1328.39475374684</v>
          </cell>
          <cell r="H3014">
            <v>985.94927506830197</v>
          </cell>
          <cell r="I3014">
            <v>11</v>
          </cell>
          <cell r="J3014">
            <v>1.1215697602231299E-4</v>
          </cell>
          <cell r="K3014">
            <v>1362</v>
          </cell>
          <cell r="L3014">
            <v>6.6081477159803503E-2</v>
          </cell>
          <cell r="M3014">
            <v>3202</v>
          </cell>
          <cell r="N3014">
            <v>7.4135972531927802E-6</v>
          </cell>
          <cell r="O3014">
            <v>3149</v>
          </cell>
          <cell r="P3014">
            <v>0.06</v>
          </cell>
          <cell r="Q3014">
            <v>1791</v>
          </cell>
        </row>
        <row r="3015">
          <cell r="B3015" t="str">
            <v>SARATOGA 1107CB</v>
          </cell>
          <cell r="C3015">
            <v>83371107</v>
          </cell>
          <cell r="D3015" t="str">
            <v>SARATOGA 1107</v>
          </cell>
          <cell r="E3015" t="str">
            <v>CB</v>
          </cell>
          <cell r="F3015" t="b">
            <v>1</v>
          </cell>
          <cell r="G3015">
            <v>15770.5802959954</v>
          </cell>
          <cell r="H3015">
            <v>273.84244393382801</v>
          </cell>
          <cell r="I3015">
            <v>135</v>
          </cell>
          <cell r="J3015">
            <v>6.1780452456297304E-5</v>
          </cell>
          <cell r="K3015">
            <v>2726</v>
          </cell>
          <cell r="L3015">
            <v>6.5185061814608397E-2</v>
          </cell>
          <cell r="M3015">
            <v>3529</v>
          </cell>
          <cell r="N3015">
            <v>4.0299101678103E-6</v>
          </cell>
          <cell r="O3015">
            <v>3335</v>
          </cell>
          <cell r="P3015">
            <v>0.02</v>
          </cell>
          <cell r="Q3015">
            <v>2453</v>
          </cell>
        </row>
        <row r="3016">
          <cell r="B3016" t="str">
            <v>SARATOGA 1107LC12</v>
          </cell>
          <cell r="C3016">
            <v>83371107</v>
          </cell>
          <cell r="D3016" t="str">
            <v>SARATOGA 1107</v>
          </cell>
          <cell r="E3016" t="str">
            <v>LC12</v>
          </cell>
          <cell r="F3016" t="b">
            <v>0</v>
          </cell>
          <cell r="G3016">
            <v>12044.648132776099</v>
          </cell>
          <cell r="H3016">
            <v>12044.648132776099</v>
          </cell>
          <cell r="I3016">
            <v>86</v>
          </cell>
          <cell r="J3016">
            <v>1.7659157018960899E-4</v>
          </cell>
          <cell r="K3016">
            <v>521</v>
          </cell>
          <cell r="L3016">
            <v>13.887737591038499</v>
          </cell>
          <cell r="M3016">
            <v>2554</v>
          </cell>
          <cell r="N3016">
            <v>1.00973938949519E-3</v>
          </cell>
          <cell r="O3016">
            <v>2627</v>
          </cell>
          <cell r="P3016">
            <v>0.56000000000000005</v>
          </cell>
          <cell r="Q3016">
            <v>865</v>
          </cell>
        </row>
        <row r="3017">
          <cell r="B3017" t="str">
            <v>SARATOGA 1107LC26</v>
          </cell>
          <cell r="C3017">
            <v>83371107</v>
          </cell>
          <cell r="D3017" t="str">
            <v>SARATOGA 1107</v>
          </cell>
          <cell r="E3017" t="str">
            <v>LC26</v>
          </cell>
          <cell r="F3017" t="b">
            <v>0</v>
          </cell>
          <cell r="G3017">
            <v>9057.4757427878903</v>
          </cell>
          <cell r="H3017">
            <v>9057.4757427878903</v>
          </cell>
          <cell r="I3017">
            <v>74</v>
          </cell>
          <cell r="J3017">
            <v>2.2734490286549399E-4</v>
          </cell>
          <cell r="K3017">
            <v>294</v>
          </cell>
          <cell r="L3017">
            <v>6.64318230044917E-2</v>
          </cell>
          <cell r="M3017">
            <v>2991</v>
          </cell>
          <cell r="N3017">
            <v>1.5102940830328301E-5</v>
          </cell>
          <cell r="O3017">
            <v>3006</v>
          </cell>
          <cell r="P3017">
            <v>0.12</v>
          </cell>
          <cell r="Q3017">
            <v>1372</v>
          </cell>
        </row>
        <row r="3018">
          <cell r="B3018" t="str">
            <v>SARATOGA 1115463510</v>
          </cell>
          <cell r="C3018">
            <v>83371115</v>
          </cell>
          <cell r="D3018" t="str">
            <v>SARATOGA 1115</v>
          </cell>
          <cell r="E3018">
            <v>463510</v>
          </cell>
          <cell r="F3018" t="b">
            <v>0</v>
          </cell>
          <cell r="G3018">
            <v>4881.4666362643202</v>
          </cell>
          <cell r="H3018">
            <v>4697.8741444486204</v>
          </cell>
          <cell r="I3018">
            <v>41</v>
          </cell>
          <cell r="J3018">
            <v>1.7549986109881399E-4</v>
          </cell>
          <cell r="K3018">
            <v>524</v>
          </cell>
          <cell r="L3018">
            <v>6.6369230790835995E-2</v>
          </cell>
          <cell r="M3018">
            <v>3132</v>
          </cell>
          <cell r="N3018">
            <v>1.16477783007745E-5</v>
          </cell>
          <cell r="O3018">
            <v>3038</v>
          </cell>
          <cell r="Q3018">
            <v>3239</v>
          </cell>
        </row>
        <row r="3019">
          <cell r="B3019" t="str">
            <v>SAUSALITO 1101331806</v>
          </cell>
          <cell r="C3019">
            <v>42491101</v>
          </cell>
          <cell r="D3019" t="str">
            <v>SAUSALITO 1101</v>
          </cell>
          <cell r="E3019">
            <v>331806</v>
          </cell>
          <cell r="F3019" t="b">
            <v>1</v>
          </cell>
          <cell r="G3019">
            <v>1086.20673389439</v>
          </cell>
          <cell r="H3019">
            <v>799.05581584567994</v>
          </cell>
          <cell r="I3019">
            <v>5</v>
          </cell>
          <cell r="J3019">
            <v>1.0248884864267799E-4</v>
          </cell>
          <cell r="K3019">
            <v>1590</v>
          </cell>
          <cell r="L3019">
            <v>66.672446958720599</v>
          </cell>
          <cell r="M3019">
            <v>2112</v>
          </cell>
          <cell r="N3019">
            <v>6.9273910545395697E-3</v>
          </cell>
          <cell r="O3019">
            <v>2097</v>
          </cell>
          <cell r="Q3019">
            <v>3162</v>
          </cell>
        </row>
        <row r="3020">
          <cell r="B3020" t="str">
            <v>SAUSALITO 1101688590</v>
          </cell>
          <cell r="C3020">
            <v>42491101</v>
          </cell>
          <cell r="D3020" t="str">
            <v>SAUSALITO 1101</v>
          </cell>
          <cell r="E3020">
            <v>688590</v>
          </cell>
          <cell r="F3020" t="b">
            <v>0</v>
          </cell>
          <cell r="G3020">
            <v>3500.43009420201</v>
          </cell>
          <cell r="H3020">
            <v>1691.5360193701499</v>
          </cell>
          <cell r="I3020">
            <v>32</v>
          </cell>
          <cell r="J3020">
            <v>4.9847199440183998E-5</v>
          </cell>
          <cell r="K3020">
            <v>3041</v>
          </cell>
          <cell r="L3020">
            <v>3.0357965887524099</v>
          </cell>
          <cell r="M3020">
            <v>2811</v>
          </cell>
          <cell r="N3020">
            <v>2.1705988675372801E-4</v>
          </cell>
          <cell r="O3020">
            <v>2827</v>
          </cell>
          <cell r="Q3020">
            <v>2671</v>
          </cell>
        </row>
        <row r="3021">
          <cell r="B3021" t="str">
            <v>SAUSALITO 11021224</v>
          </cell>
          <cell r="C3021">
            <v>42491102</v>
          </cell>
          <cell r="D3021" t="str">
            <v>SAUSALITO 1102</v>
          </cell>
          <cell r="E3021">
            <v>1224</v>
          </cell>
          <cell r="F3021" t="b">
            <v>1</v>
          </cell>
          <cell r="G3021">
            <v>3249.7675642761601</v>
          </cell>
          <cell r="H3021">
            <v>17.276902238122101</v>
          </cell>
          <cell r="I3021">
            <v>29</v>
          </cell>
          <cell r="J3021">
            <v>1.4356878600665299E-5</v>
          </cell>
          <cell r="K3021">
            <v>3591</v>
          </cell>
          <cell r="L3021">
            <v>6.5191297695554498E-2</v>
          </cell>
          <cell r="M3021">
            <v>3519</v>
          </cell>
          <cell r="N3021">
            <v>9.3530742835748498E-7</v>
          </cell>
          <cell r="O3021">
            <v>3596</v>
          </cell>
          <cell r="P3021">
            <v>0.02</v>
          </cell>
          <cell r="Q3021">
            <v>2522</v>
          </cell>
        </row>
        <row r="3022">
          <cell r="B3022" t="str">
            <v>SAUSALITO 11021268</v>
          </cell>
          <cell r="C3022">
            <v>42491102</v>
          </cell>
          <cell r="D3022" t="str">
            <v>SAUSALITO 1102</v>
          </cell>
          <cell r="E3022">
            <v>1268</v>
          </cell>
          <cell r="F3022" t="b">
            <v>0</v>
          </cell>
          <cell r="G3022">
            <v>7937.7862467912</v>
          </cell>
          <cell r="H3022">
            <v>7937.7862467912</v>
          </cell>
          <cell r="I3022">
            <v>46</v>
          </cell>
          <cell r="J3022">
            <v>4.2342612879211698E-5</v>
          </cell>
          <cell r="K3022">
            <v>3219</v>
          </cell>
          <cell r="L3022">
            <v>82.287114734882806</v>
          </cell>
          <cell r="M3022">
            <v>2039</v>
          </cell>
          <cell r="N3022">
            <v>3.6642254855041002E-3</v>
          </cell>
          <cell r="O3022">
            <v>2281</v>
          </cell>
          <cell r="P3022">
            <v>0.09</v>
          </cell>
          <cell r="Q3022">
            <v>1520</v>
          </cell>
        </row>
        <row r="3023">
          <cell r="B3023" t="str">
            <v>SAUSALITO 11021500</v>
          </cell>
          <cell r="C3023">
            <v>42491102</v>
          </cell>
          <cell r="D3023" t="str">
            <v>SAUSALITO 1102</v>
          </cell>
          <cell r="E3023">
            <v>1500</v>
          </cell>
          <cell r="F3023" t="b">
            <v>0</v>
          </cell>
          <cell r="G3023">
            <v>2059.6530467695902</v>
          </cell>
          <cell r="H3023">
            <v>1869.35754334842</v>
          </cell>
          <cell r="I3023">
            <v>8</v>
          </cell>
          <cell r="J3023">
            <v>8.3383463561403901E-5</v>
          </cell>
          <cell r="K3023">
            <v>2121</v>
          </cell>
          <cell r="L3023">
            <v>83.345095350406993</v>
          </cell>
          <cell r="M3023">
            <v>2035</v>
          </cell>
          <cell r="N3023">
            <v>8.34732071736498E-3</v>
          </cell>
          <cell r="O3023">
            <v>2038</v>
          </cell>
          <cell r="P3023">
            <v>0.06</v>
          </cell>
          <cell r="Q3023">
            <v>1818</v>
          </cell>
        </row>
        <row r="3024">
          <cell r="B3024" t="str">
            <v>SAUSALITO 1102410</v>
          </cell>
          <cell r="C3024">
            <v>42491102</v>
          </cell>
          <cell r="D3024" t="str">
            <v>SAUSALITO 1102</v>
          </cell>
          <cell r="E3024">
            <v>410</v>
          </cell>
          <cell r="F3024" t="b">
            <v>0</v>
          </cell>
          <cell r="G3024">
            <v>3634.5970818169999</v>
          </cell>
          <cell r="H3024">
            <v>2502.9293211848699</v>
          </cell>
          <cell r="I3024">
            <v>28</v>
          </cell>
          <cell r="J3024">
            <v>2.4861612936482298E-5</v>
          </cell>
          <cell r="K3024">
            <v>3498</v>
          </cell>
          <cell r="L3024">
            <v>2.3254571562366801</v>
          </cell>
          <cell r="M3024">
            <v>2830</v>
          </cell>
          <cell r="N3024">
            <v>2.4475714211680001E-4</v>
          </cell>
          <cell r="O3024">
            <v>2814</v>
          </cell>
          <cell r="P3024">
            <v>0.06</v>
          </cell>
          <cell r="Q3024">
            <v>1826</v>
          </cell>
        </row>
        <row r="3025">
          <cell r="B3025" t="str">
            <v>SAUSALITO 1102758798</v>
          </cell>
          <cell r="C3025">
            <v>42491102</v>
          </cell>
          <cell r="D3025" t="str">
            <v>SAUSALITO 1102</v>
          </cell>
          <cell r="E3025">
            <v>758798</v>
          </cell>
          <cell r="F3025" t="b">
            <v>1</v>
          </cell>
          <cell r="G3025">
            <v>68.037971745562302</v>
          </cell>
          <cell r="H3025">
            <v>53.265178707402598</v>
          </cell>
          <cell r="I3025">
            <v>2</v>
          </cell>
          <cell r="J3025">
            <v>3.6427810755412698E-5</v>
          </cell>
          <cell r="K3025">
            <v>3325</v>
          </cell>
          <cell r="L3025">
            <v>6.5789449959993307E-2</v>
          </cell>
          <cell r="M3025">
            <v>3289</v>
          </cell>
          <cell r="N3025">
            <v>2.4158942329685202E-6</v>
          </cell>
          <cell r="O3025">
            <v>3473</v>
          </cell>
          <cell r="Q3025">
            <v>3603</v>
          </cell>
        </row>
        <row r="3026">
          <cell r="B3026" t="str">
            <v>SAUSALITO 110284278</v>
          </cell>
          <cell r="C3026">
            <v>42491102</v>
          </cell>
          <cell r="D3026" t="str">
            <v>SAUSALITO 1102</v>
          </cell>
          <cell r="E3026">
            <v>84278</v>
          </cell>
          <cell r="F3026" t="b">
            <v>0</v>
          </cell>
          <cell r="G3026">
            <v>2506.16920202348</v>
          </cell>
          <cell r="H3026">
            <v>2490.16714123062</v>
          </cell>
          <cell r="I3026">
            <v>18</v>
          </cell>
          <cell r="J3026">
            <v>7.3083247823685894E-5</v>
          </cell>
          <cell r="K3026">
            <v>2392</v>
          </cell>
          <cell r="L3026">
            <v>245.610420448084</v>
          </cell>
          <cell r="M3026">
            <v>1553</v>
          </cell>
          <cell r="N3026">
            <v>2.27168652900454E-2</v>
          </cell>
          <cell r="O3026">
            <v>1612</v>
          </cell>
          <cell r="P3026">
            <v>2.62</v>
          </cell>
          <cell r="Q3026">
            <v>594</v>
          </cell>
        </row>
        <row r="3027">
          <cell r="B3027" t="str">
            <v>SAUSALITO 1102964592</v>
          </cell>
          <cell r="C3027">
            <v>42491102</v>
          </cell>
          <cell r="D3027" t="str">
            <v>SAUSALITO 1102</v>
          </cell>
          <cell r="E3027">
            <v>964592</v>
          </cell>
          <cell r="F3027" t="b">
            <v>1</v>
          </cell>
          <cell r="G3027">
            <v>1787.60749603926</v>
          </cell>
          <cell r="H3027">
            <v>941.93867793733</v>
          </cell>
          <cell r="I3027">
            <v>15</v>
          </cell>
          <cell r="J3027">
            <v>2.9091888003070598E-5</v>
          </cell>
          <cell r="K3027">
            <v>3439</v>
          </cell>
          <cell r="L3027">
            <v>9.5689266627033494</v>
          </cell>
          <cell r="M3027">
            <v>2634</v>
          </cell>
          <cell r="N3027">
            <v>1.98242383994503E-4</v>
          </cell>
          <cell r="O3027">
            <v>2839</v>
          </cell>
          <cell r="Q3027">
            <v>3528</v>
          </cell>
        </row>
        <row r="3028">
          <cell r="B3028" t="str">
            <v>SCE REFUGIO 1701CB</v>
          </cell>
          <cell r="C3028">
            <v>188071701</v>
          </cell>
          <cell r="D3028" t="str">
            <v>SCE REFUGIO 1701</v>
          </cell>
          <cell r="E3028" t="str">
            <v>CB</v>
          </cell>
          <cell r="F3028" t="b">
            <v>1</v>
          </cell>
          <cell r="G3028">
            <v>3.6128816794918301</v>
          </cell>
          <cell r="H3028">
            <v>3.6128816794918301</v>
          </cell>
          <cell r="I3028">
            <v>1</v>
          </cell>
          <cell r="J3028">
            <v>3.2860545616131201E-5</v>
          </cell>
          <cell r="K3028">
            <v>3387</v>
          </cell>
          <cell r="L3028">
            <v>4925.3659150037802</v>
          </cell>
          <cell r="M3028">
            <v>82</v>
          </cell>
          <cell r="N3028">
            <v>0.16185021132611899</v>
          </cell>
          <cell r="O3028">
            <v>462</v>
          </cell>
          <cell r="Q3028">
            <v>3620</v>
          </cell>
        </row>
        <row r="3029">
          <cell r="B3029" t="str">
            <v>SCE TEHACHAPI 1101CB</v>
          </cell>
          <cell r="C3029">
            <v>258131101</v>
          </cell>
          <cell r="D3029" t="str">
            <v>SCE TEHACHAPI 1101</v>
          </cell>
          <cell r="E3029" t="str">
            <v>CB</v>
          </cell>
          <cell r="F3029" t="b">
            <v>0</v>
          </cell>
          <cell r="G3029">
            <v>1862.1340376443</v>
          </cell>
          <cell r="H3029">
            <v>1862.1340376443</v>
          </cell>
          <cell r="I3029">
            <v>2</v>
          </cell>
          <cell r="J3029">
            <v>2.65027720161015E-5</v>
          </cell>
          <cell r="K3029">
            <v>3479</v>
          </cell>
          <cell r="L3029">
            <v>5012.0662867298197</v>
          </cell>
          <cell r="M3029">
            <v>75</v>
          </cell>
          <cell r="N3029">
            <v>0.17664833350996501</v>
          </cell>
          <cell r="O3029">
            <v>409</v>
          </cell>
          <cell r="P3029">
            <v>0.11</v>
          </cell>
          <cell r="Q3029">
            <v>1430</v>
          </cell>
        </row>
        <row r="3030">
          <cell r="B3030" t="str">
            <v>SCE VEGAS 1701CB</v>
          </cell>
          <cell r="C3030">
            <v>188881701</v>
          </cell>
          <cell r="D3030" t="str">
            <v>SCE VEGAS 1701</v>
          </cell>
          <cell r="E3030" t="str">
            <v>CB</v>
          </cell>
          <cell r="F3030" t="b">
            <v>1</v>
          </cell>
          <cell r="G3030">
            <v>168.41272917940199</v>
          </cell>
          <cell r="H3030">
            <v>168.41272917940199</v>
          </cell>
          <cell r="I3030">
            <v>1</v>
          </cell>
          <cell r="J3030">
            <v>9.0970963356085095E-5</v>
          </cell>
          <cell r="K3030">
            <v>1882</v>
          </cell>
          <cell r="L3030">
            <v>2332.62646484375</v>
          </cell>
          <cell r="M3030">
            <v>379</v>
          </cell>
          <cell r="N3030">
            <v>0.21220127665673499</v>
          </cell>
          <cell r="O3030">
            <v>305</v>
          </cell>
          <cell r="P3030">
            <v>0.27</v>
          </cell>
          <cell r="Q3030">
            <v>1058</v>
          </cell>
        </row>
        <row r="3031">
          <cell r="B3031" t="str">
            <v>SEACLIFF 040112946</v>
          </cell>
          <cell r="C3031">
            <v>83500401</v>
          </cell>
          <cell r="D3031" t="str">
            <v>SEACLIFF 0401</v>
          </cell>
          <cell r="E3031">
            <v>12946</v>
          </cell>
          <cell r="F3031" t="b">
            <v>0</v>
          </cell>
          <cell r="G3031">
            <v>5267.69780676549</v>
          </cell>
          <cell r="H3031">
            <v>3912.0695729804602</v>
          </cell>
          <cell r="I3031">
            <v>41</v>
          </cell>
          <cell r="J3031">
            <v>7.1581787313157097E-5</v>
          </cell>
          <cell r="K3031">
            <v>2431</v>
          </cell>
          <cell r="L3031">
            <v>5.8606991013739096</v>
          </cell>
          <cell r="M3031">
            <v>2717</v>
          </cell>
          <cell r="N3031">
            <v>5.00278288662092E-4</v>
          </cell>
          <cell r="O3031">
            <v>2735</v>
          </cell>
          <cell r="P3031">
            <v>0.3</v>
          </cell>
          <cell r="Q3031">
            <v>1016</v>
          </cell>
        </row>
        <row r="3032">
          <cell r="B3032" t="str">
            <v>SEACLIFF 0401CB</v>
          </cell>
          <cell r="C3032">
            <v>83500401</v>
          </cell>
          <cell r="D3032" t="str">
            <v>SEACLIFF 0401</v>
          </cell>
          <cell r="E3032" t="str">
            <v>CB</v>
          </cell>
          <cell r="F3032" t="b">
            <v>0</v>
          </cell>
          <cell r="G3032">
            <v>9677.83296568683</v>
          </cell>
          <cell r="H3032">
            <v>9246.0032126709193</v>
          </cell>
          <cell r="I3032">
            <v>73</v>
          </cell>
          <cell r="J3032">
            <v>1.2956536935633501E-4</v>
          </cell>
          <cell r="K3032">
            <v>1017</v>
          </cell>
          <cell r="L3032">
            <v>4.2972674235089103</v>
          </cell>
          <cell r="M3032">
            <v>2773</v>
          </cell>
          <cell r="N3032">
            <v>4.4728283240172401E-4</v>
          </cell>
          <cell r="O3032">
            <v>2752</v>
          </cell>
          <cell r="P3032">
            <v>0.53</v>
          </cell>
          <cell r="Q3032">
            <v>879</v>
          </cell>
        </row>
        <row r="3033">
          <cell r="B3033" t="str">
            <v>SEACLIFF 0402558727</v>
          </cell>
          <cell r="C3033">
            <v>83500402</v>
          </cell>
          <cell r="D3033" t="str">
            <v>SEACLIFF 0402</v>
          </cell>
          <cell r="E3033">
            <v>558727</v>
          </cell>
          <cell r="F3033" t="b">
            <v>1</v>
          </cell>
          <cell r="G3033">
            <v>2270.53349848066</v>
          </cell>
          <cell r="H3033">
            <v>217.14937465915099</v>
          </cell>
          <cell r="I3033">
            <v>22</v>
          </cell>
          <cell r="J3033">
            <v>5.4870946541996003E-5</v>
          </cell>
          <cell r="K3033">
            <v>2919</v>
          </cell>
          <cell r="L3033">
            <v>6.5380611880258996E-2</v>
          </cell>
          <cell r="M3033">
            <v>3426</v>
          </cell>
          <cell r="N3033">
            <v>3.5926001613246298E-6</v>
          </cell>
          <cell r="O3033">
            <v>3361</v>
          </cell>
          <cell r="Q3033">
            <v>2835</v>
          </cell>
        </row>
        <row r="3034">
          <cell r="B3034" t="str">
            <v>SERRAMONTE 110412705</v>
          </cell>
          <cell r="C3034">
            <v>22861104</v>
          </cell>
          <cell r="D3034" t="str">
            <v>SERRAMONTE 1104</v>
          </cell>
          <cell r="E3034">
            <v>12705</v>
          </cell>
          <cell r="F3034" t="b">
            <v>1</v>
          </cell>
          <cell r="G3034">
            <v>9361.8686104655899</v>
          </cell>
          <cell r="H3034">
            <v>0</v>
          </cell>
          <cell r="I3034">
            <v>74</v>
          </cell>
          <cell r="J3034">
            <v>2.2115538208059399E-5</v>
          </cell>
          <cell r="K3034">
            <v>3518</v>
          </cell>
          <cell r="L3034">
            <v>9.0486247582814094</v>
          </cell>
          <cell r="M3034">
            <v>2643</v>
          </cell>
          <cell r="N3034">
            <v>4.2265251462579102E-4</v>
          </cell>
          <cell r="O3034">
            <v>2758</v>
          </cell>
          <cell r="Q3034">
            <v>2827</v>
          </cell>
        </row>
        <row r="3035">
          <cell r="B3035" t="str">
            <v>SHADY GLEN 11012768</v>
          </cell>
          <cell r="C3035">
            <v>152431101</v>
          </cell>
          <cell r="D3035" t="str">
            <v>SHADY GLEN 1101</v>
          </cell>
          <cell r="E3035">
            <v>2768</v>
          </cell>
          <cell r="F3035" t="b">
            <v>0</v>
          </cell>
          <cell r="G3035">
            <v>13051.8561167511</v>
          </cell>
          <cell r="H3035">
            <v>12269.0577019865</v>
          </cell>
          <cell r="I3035">
            <v>88</v>
          </cell>
          <cell r="J3035">
            <v>1.2813979357042101E-4</v>
          </cell>
          <cell r="K3035">
            <v>1045</v>
          </cell>
          <cell r="L3035">
            <v>88.726647786706394</v>
          </cell>
          <cell r="M3035">
            <v>2009</v>
          </cell>
          <cell r="N3035">
            <v>1.19632692002674E-2</v>
          </cell>
          <cell r="O3035">
            <v>1885</v>
          </cell>
          <cell r="P3035">
            <v>7.41</v>
          </cell>
          <cell r="Q3035">
            <v>445</v>
          </cell>
        </row>
        <row r="3036">
          <cell r="B3036" t="str">
            <v>SHADY GLEN 110132726</v>
          </cell>
          <cell r="C3036">
            <v>152431101</v>
          </cell>
          <cell r="D3036" t="str">
            <v>SHADY GLEN 1101</v>
          </cell>
          <cell r="E3036">
            <v>32726</v>
          </cell>
          <cell r="F3036" t="b">
            <v>0</v>
          </cell>
          <cell r="G3036">
            <v>19770.259660577802</v>
          </cell>
          <cell r="H3036">
            <v>19581.5665201784</v>
          </cell>
          <cell r="I3036">
            <v>146</v>
          </cell>
          <cell r="J3036">
            <v>1.41930316216256E-4</v>
          </cell>
          <cell r="K3036">
            <v>840</v>
          </cell>
          <cell r="L3036">
            <v>48.575220561200901</v>
          </cell>
          <cell r="M3036">
            <v>2218</v>
          </cell>
          <cell r="N3036">
            <v>5.06002923521929E-3</v>
          </cell>
          <cell r="O3036">
            <v>2201</v>
          </cell>
          <cell r="P3036">
            <v>0.1</v>
          </cell>
          <cell r="Q3036">
            <v>1475</v>
          </cell>
        </row>
        <row r="3037">
          <cell r="B3037" t="str">
            <v>SHADY GLEN 110151696</v>
          </cell>
          <cell r="C3037">
            <v>152431101</v>
          </cell>
          <cell r="D3037" t="str">
            <v>SHADY GLEN 1101</v>
          </cell>
          <cell r="E3037">
            <v>51696</v>
          </cell>
          <cell r="F3037" t="b">
            <v>0</v>
          </cell>
          <cell r="G3037">
            <v>32551.258386437101</v>
          </cell>
          <cell r="H3037">
            <v>28077.263481665999</v>
          </cell>
          <cell r="I3037">
            <v>238</v>
          </cell>
          <cell r="J3037">
            <v>1.7871381486223199E-4</v>
          </cell>
          <cell r="K3037">
            <v>514</v>
          </cell>
          <cell r="L3037">
            <v>165.42973805134801</v>
          </cell>
          <cell r="M3037">
            <v>1734</v>
          </cell>
          <cell r="N3037">
            <v>2.3752781107958299E-2</v>
          </cell>
          <cell r="O3037">
            <v>1581</v>
          </cell>
          <cell r="P3037">
            <v>0.86</v>
          </cell>
          <cell r="Q3037">
            <v>763</v>
          </cell>
        </row>
        <row r="3038">
          <cell r="B3038" t="str">
            <v>SHADY GLEN 1101CB</v>
          </cell>
          <cell r="C3038">
            <v>152431101</v>
          </cell>
          <cell r="D3038" t="str">
            <v>SHADY GLEN 1101</v>
          </cell>
          <cell r="E3038" t="str">
            <v>CB</v>
          </cell>
          <cell r="F3038" t="b">
            <v>0</v>
          </cell>
          <cell r="G3038">
            <v>8798.7392587283503</v>
          </cell>
          <cell r="H3038">
            <v>5676.9516639472904</v>
          </cell>
          <cell r="I3038">
            <v>72</v>
          </cell>
          <cell r="J3038">
            <v>2.8650742509247102E-4</v>
          </cell>
          <cell r="K3038">
            <v>144</v>
          </cell>
          <cell r="L3038">
            <v>7.3277265954571202</v>
          </cell>
          <cell r="M3038">
            <v>2682</v>
          </cell>
          <cell r="N3038">
            <v>1.0502179472043E-3</v>
          </cell>
          <cell r="O3038">
            <v>2622</v>
          </cell>
          <cell r="P3038">
            <v>5.26</v>
          </cell>
          <cell r="Q3038">
            <v>492</v>
          </cell>
        </row>
        <row r="3039">
          <cell r="B3039" t="str">
            <v>SHADY GLEN 11022232</v>
          </cell>
          <cell r="C3039">
            <v>152431102</v>
          </cell>
          <cell r="D3039" t="str">
            <v>SHADY GLEN 1102</v>
          </cell>
          <cell r="E3039">
            <v>2232</v>
          </cell>
          <cell r="F3039" t="b">
            <v>0</v>
          </cell>
          <cell r="G3039">
            <v>16843.726475497999</v>
          </cell>
          <cell r="H3039">
            <v>16843.726475497999</v>
          </cell>
          <cell r="I3039">
            <v>88</v>
          </cell>
          <cell r="J3039">
            <v>1.4558223788873999E-4</v>
          </cell>
          <cell r="K3039">
            <v>796</v>
          </cell>
          <cell r="L3039">
            <v>81.103113412681694</v>
          </cell>
          <cell r="M3039">
            <v>2043</v>
          </cell>
          <cell r="N3039">
            <v>8.6413772473648408E-3</v>
          </cell>
          <cell r="O3039">
            <v>2022</v>
          </cell>
          <cell r="P3039">
            <v>16.239999999999998</v>
          </cell>
          <cell r="Q3039">
            <v>339</v>
          </cell>
        </row>
        <row r="3040">
          <cell r="B3040" t="str">
            <v>SHADY GLEN 110248894</v>
          </cell>
          <cell r="C3040">
            <v>152431102</v>
          </cell>
          <cell r="D3040" t="str">
            <v>SHADY GLEN 1102</v>
          </cell>
          <cell r="E3040">
            <v>48894</v>
          </cell>
          <cell r="F3040" t="b">
            <v>0</v>
          </cell>
          <cell r="G3040">
            <v>16156.759100084601</v>
          </cell>
          <cell r="H3040">
            <v>14293.1802786968</v>
          </cell>
          <cell r="I3040">
            <v>119</v>
          </cell>
          <cell r="J3040">
            <v>1.8241519424240499E-4</v>
          </cell>
          <cell r="K3040">
            <v>493</v>
          </cell>
          <cell r="L3040">
            <v>147.05507485175301</v>
          </cell>
          <cell r="M3040">
            <v>1786</v>
          </cell>
          <cell r="N3040">
            <v>3.4658449623561703E-2</v>
          </cell>
          <cell r="O3040">
            <v>1378</v>
          </cell>
          <cell r="P3040">
            <v>4.42</v>
          </cell>
          <cell r="Q3040">
            <v>518</v>
          </cell>
        </row>
        <row r="3041">
          <cell r="B3041" t="str">
            <v>SHADY GLEN 1102CB</v>
          </cell>
          <cell r="C3041">
            <v>152431102</v>
          </cell>
          <cell r="D3041" t="str">
            <v>SHADY GLEN 1102</v>
          </cell>
          <cell r="E3041" t="str">
            <v>CB</v>
          </cell>
          <cell r="F3041" t="b">
            <v>0</v>
          </cell>
          <cell r="G3041">
            <v>34051.813365459697</v>
          </cell>
          <cell r="H3041">
            <v>34051.813365459697</v>
          </cell>
          <cell r="I3041">
            <v>240</v>
          </cell>
          <cell r="J3041">
            <v>1.9472269866105101E-4</v>
          </cell>
          <cell r="K3041">
            <v>419</v>
          </cell>
          <cell r="L3041">
            <v>88.903221874478504</v>
          </cell>
          <cell r="M3041">
            <v>2008</v>
          </cell>
          <cell r="N3041">
            <v>1.35900284862323E-2</v>
          </cell>
          <cell r="O3041">
            <v>1829</v>
          </cell>
          <cell r="P3041">
            <v>21.63</v>
          </cell>
          <cell r="Q3041">
            <v>299</v>
          </cell>
        </row>
        <row r="3042">
          <cell r="B3042" t="str">
            <v>SHEPHERD 2111327814</v>
          </cell>
          <cell r="C3042">
            <v>252062111</v>
          </cell>
          <cell r="D3042" t="str">
            <v>SHEPHERD 2111</v>
          </cell>
          <cell r="E3042">
            <v>327814</v>
          </cell>
          <cell r="F3042" t="b">
            <v>0</v>
          </cell>
          <cell r="G3042">
            <v>23697.252649900001</v>
          </cell>
          <cell r="H3042">
            <v>18621.058724242201</v>
          </cell>
          <cell r="I3042">
            <v>119</v>
          </cell>
          <cell r="J3042">
            <v>5.8130234750841102E-5</v>
          </cell>
          <cell r="K3042">
            <v>2832</v>
          </cell>
          <cell r="L3042">
            <v>5439.34934628679</v>
          </cell>
          <cell r="M3042">
            <v>48</v>
          </cell>
          <cell r="N3042">
            <v>0.28427597027432799</v>
          </cell>
          <cell r="O3042">
            <v>147</v>
          </cell>
          <cell r="Q3042">
            <v>2778</v>
          </cell>
        </row>
        <row r="3043">
          <cell r="B3043" t="str">
            <v>SHEPHERD 2111688294</v>
          </cell>
          <cell r="C3043">
            <v>252062111</v>
          </cell>
          <cell r="D3043" t="str">
            <v>SHEPHERD 2111</v>
          </cell>
          <cell r="E3043">
            <v>688294</v>
          </cell>
          <cell r="F3043" t="b">
            <v>1</v>
          </cell>
          <cell r="G3043">
            <v>24.360420484727602</v>
          </cell>
          <cell r="H3043">
            <v>24.360420484727602</v>
          </cell>
          <cell r="I3043">
            <v>1</v>
          </cell>
          <cell r="J3043">
            <v>1.71395440702326E-4</v>
          </cell>
          <cell r="K3043">
            <v>553</v>
          </cell>
          <cell r="L3043">
            <v>8415.9765625</v>
          </cell>
          <cell r="M3043">
            <v>3</v>
          </cell>
          <cell r="N3043">
            <v>1.4424600118701301</v>
          </cell>
          <cell r="O3043">
            <v>4</v>
          </cell>
          <cell r="Q3043">
            <v>3420</v>
          </cell>
        </row>
        <row r="3044">
          <cell r="B3044" t="str">
            <v>SHEPHERD 2111707358</v>
          </cell>
          <cell r="C3044">
            <v>252062111</v>
          </cell>
          <cell r="D3044" t="str">
            <v>SHEPHERD 2111</v>
          </cell>
          <cell r="E3044">
            <v>707358</v>
          </cell>
          <cell r="F3044" t="b">
            <v>0</v>
          </cell>
          <cell r="G3044">
            <v>37001.255878691103</v>
          </cell>
          <cell r="H3044">
            <v>30537.975330827201</v>
          </cell>
          <cell r="I3044">
            <v>219</v>
          </cell>
          <cell r="J3044">
            <v>4.1347467642530998E-5</v>
          </cell>
          <cell r="K3044">
            <v>3238</v>
          </cell>
          <cell r="L3044">
            <v>5721.8441556195403</v>
          </cell>
          <cell r="M3044">
            <v>41</v>
          </cell>
          <cell r="N3044">
            <v>0.23488982621506799</v>
          </cell>
          <cell r="O3044">
            <v>247</v>
          </cell>
          <cell r="Q3044">
            <v>2974</v>
          </cell>
        </row>
        <row r="3045">
          <cell r="B3045" t="str">
            <v>SHINGLE SPRINGS 11038752</v>
          </cell>
          <cell r="C3045">
            <v>153651103</v>
          </cell>
          <cell r="D3045" t="str">
            <v>SHINGLE SPRINGS 1103</v>
          </cell>
          <cell r="E3045">
            <v>8752</v>
          </cell>
          <cell r="F3045" t="b">
            <v>0</v>
          </cell>
          <cell r="G3045">
            <v>2987.7950369945502</v>
          </cell>
          <cell r="H3045">
            <v>2987.7950369945502</v>
          </cell>
          <cell r="I3045">
            <v>32</v>
          </cell>
          <cell r="J3045">
            <v>1.6400642198277599E-4</v>
          </cell>
          <cell r="K3045">
            <v>600</v>
          </cell>
          <cell r="L3045">
            <v>6.6391483780169305E-2</v>
          </cell>
          <cell r="M3045">
            <v>3124</v>
          </cell>
          <cell r="N3045">
            <v>1.08890799275869E-5</v>
          </cell>
          <cell r="O3045">
            <v>3049</v>
          </cell>
          <cell r="P3045">
            <v>0.14000000000000001</v>
          </cell>
          <cell r="Q3045">
            <v>1308</v>
          </cell>
        </row>
        <row r="3046">
          <cell r="B3046" t="str">
            <v>SHINGLE SPRINGS 1103CB</v>
          </cell>
          <cell r="C3046">
            <v>153651103</v>
          </cell>
          <cell r="D3046" t="str">
            <v>SHINGLE SPRINGS 1103</v>
          </cell>
          <cell r="E3046" t="str">
            <v>CB</v>
          </cell>
          <cell r="F3046" t="b">
            <v>0</v>
          </cell>
          <cell r="G3046">
            <v>19101.7777975834</v>
          </cell>
          <cell r="H3046">
            <v>10648.109527340001</v>
          </cell>
          <cell r="I3046">
            <v>143</v>
          </cell>
          <cell r="J3046">
            <v>1.6036913148383599E-4</v>
          </cell>
          <cell r="K3046">
            <v>641</v>
          </cell>
          <cell r="L3046">
            <v>1368.6904425750599</v>
          </cell>
          <cell r="M3046">
            <v>653</v>
          </cell>
          <cell r="N3046">
            <v>0.16377605470177201</v>
          </cell>
          <cell r="O3046">
            <v>455</v>
          </cell>
          <cell r="P3046">
            <v>0.24</v>
          </cell>
          <cell r="Q3046">
            <v>1101</v>
          </cell>
        </row>
        <row r="3047">
          <cell r="B3047" t="str">
            <v>SHINGLE SPRINGS 110419502</v>
          </cell>
          <cell r="C3047">
            <v>153651104</v>
          </cell>
          <cell r="D3047" t="str">
            <v>SHINGLE SPRINGS 1104</v>
          </cell>
          <cell r="E3047">
            <v>19502</v>
          </cell>
          <cell r="F3047" t="b">
            <v>0</v>
          </cell>
          <cell r="G3047">
            <v>92686.567452749005</v>
          </cell>
          <cell r="H3047">
            <v>72356.968230308601</v>
          </cell>
          <cell r="I3047">
            <v>672</v>
          </cell>
          <cell r="J3047">
            <v>1.0454834366653801E-4</v>
          </cell>
          <cell r="K3047">
            <v>1541</v>
          </cell>
          <cell r="L3047">
            <v>1716.1429188370701</v>
          </cell>
          <cell r="M3047">
            <v>520</v>
          </cell>
          <cell r="N3047">
            <v>0.15446708847336699</v>
          </cell>
          <cell r="O3047">
            <v>494</v>
          </cell>
          <cell r="P3047">
            <v>25.98</v>
          </cell>
          <cell r="Q3047">
            <v>269</v>
          </cell>
        </row>
        <row r="3048">
          <cell r="B3048" t="str">
            <v>SHINGLE SPRINGS 1104CB</v>
          </cell>
          <cell r="C3048">
            <v>153651104</v>
          </cell>
          <cell r="D3048" t="str">
            <v>SHINGLE SPRINGS 1104</v>
          </cell>
          <cell r="E3048" t="str">
            <v>CB</v>
          </cell>
          <cell r="F3048" t="b">
            <v>0</v>
          </cell>
          <cell r="G3048">
            <v>3812.8299183307199</v>
          </cell>
          <cell r="H3048">
            <v>1129.2677066660999</v>
          </cell>
          <cell r="I3048">
            <v>32</v>
          </cell>
          <cell r="J3048">
            <v>1.4600537815567799E-4</v>
          </cell>
          <cell r="K3048">
            <v>789</v>
          </cell>
          <cell r="L3048">
            <v>6.5510423099125706E-2</v>
          </cell>
          <cell r="M3048">
            <v>3366</v>
          </cell>
          <cell r="N3048">
            <v>9.5674577267424003E-6</v>
          </cell>
          <cell r="O3048">
            <v>3076</v>
          </cell>
          <cell r="P3048">
            <v>0.04</v>
          </cell>
          <cell r="Q3048">
            <v>2130</v>
          </cell>
        </row>
        <row r="3049">
          <cell r="B3049" t="str">
            <v>SHINGLE SPRINGS 210511172</v>
          </cell>
          <cell r="C3049">
            <v>153652105</v>
          </cell>
          <cell r="D3049" t="str">
            <v>SHINGLE SPRINGS 2105</v>
          </cell>
          <cell r="E3049">
            <v>11172</v>
          </cell>
          <cell r="F3049" t="b">
            <v>0</v>
          </cell>
          <cell r="G3049">
            <v>3921.27373978379</v>
          </cell>
          <cell r="H3049">
            <v>3218.2332582569602</v>
          </cell>
          <cell r="I3049">
            <v>38</v>
          </cell>
          <cell r="J3049">
            <v>1.8145950468208001E-4</v>
          </cell>
          <cell r="K3049">
            <v>501</v>
          </cell>
          <cell r="L3049">
            <v>6.61617335068828E-2</v>
          </cell>
          <cell r="M3049">
            <v>3181</v>
          </cell>
          <cell r="N3049">
            <v>1.20030311971604E-5</v>
          </cell>
          <cell r="O3049">
            <v>3035</v>
          </cell>
          <cell r="P3049">
            <v>0.11</v>
          </cell>
          <cell r="Q3049">
            <v>1424</v>
          </cell>
        </row>
        <row r="3050">
          <cell r="B3050" t="str">
            <v>SHINGLE SPRINGS 210519522</v>
          </cell>
          <cell r="C3050">
            <v>153652105</v>
          </cell>
          <cell r="D3050" t="str">
            <v>SHINGLE SPRINGS 2105</v>
          </cell>
          <cell r="E3050">
            <v>19522</v>
          </cell>
          <cell r="F3050" t="b">
            <v>0</v>
          </cell>
          <cell r="G3050">
            <v>16493.188226899201</v>
          </cell>
          <cell r="H3050">
            <v>15565.1755437188</v>
          </cell>
          <cell r="I3050">
            <v>113</v>
          </cell>
          <cell r="J3050">
            <v>8.8780449332589596E-5</v>
          </cell>
          <cell r="K3050">
            <v>1959</v>
          </cell>
          <cell r="L3050">
            <v>3187.9029364348798</v>
          </cell>
          <cell r="M3050">
            <v>244</v>
          </cell>
          <cell r="N3050">
            <v>0.238274853047205</v>
          </cell>
          <cell r="O3050">
            <v>240</v>
          </cell>
          <cell r="P3050">
            <v>34.17</v>
          </cell>
          <cell r="Q3050">
            <v>216</v>
          </cell>
        </row>
        <row r="3051">
          <cell r="B3051" t="str">
            <v>SHINGLE SPRINGS 210551738</v>
          </cell>
          <cell r="C3051">
            <v>153652105</v>
          </cell>
          <cell r="D3051" t="str">
            <v>SHINGLE SPRINGS 2105</v>
          </cell>
          <cell r="E3051">
            <v>51738</v>
          </cell>
          <cell r="F3051" t="b">
            <v>1</v>
          </cell>
          <cell r="G3051">
            <v>1844.3224544659599</v>
          </cell>
          <cell r="H3051">
            <v>26.680649067138301</v>
          </cell>
          <cell r="I3051">
            <v>19</v>
          </cell>
          <cell r="J3051">
            <v>1.39234238112725E-4</v>
          </cell>
          <cell r="K3051">
            <v>882</v>
          </cell>
          <cell r="L3051">
            <v>441.89410825131102</v>
          </cell>
          <cell r="M3051">
            <v>1255</v>
          </cell>
          <cell r="N3051">
            <v>6.1564483338374401E-2</v>
          </cell>
          <cell r="O3051">
            <v>1047</v>
          </cell>
          <cell r="P3051">
            <v>17.239999999999998</v>
          </cell>
          <cell r="Q3051">
            <v>335</v>
          </cell>
        </row>
        <row r="3052">
          <cell r="B3052" t="str">
            <v>SHINGLE SPRINGS 2105CB</v>
          </cell>
          <cell r="C3052">
            <v>153652105</v>
          </cell>
          <cell r="D3052" t="str">
            <v>SHINGLE SPRINGS 2105</v>
          </cell>
          <cell r="E3052" t="str">
            <v>CB</v>
          </cell>
          <cell r="F3052" t="b">
            <v>0</v>
          </cell>
          <cell r="G3052">
            <v>30610.8387150569</v>
          </cell>
          <cell r="H3052">
            <v>30610.8387150569</v>
          </cell>
          <cell r="I3052">
            <v>245</v>
          </cell>
          <cell r="J3052">
            <v>1.8341594607248099E-4</v>
          </cell>
          <cell r="K3052">
            <v>484</v>
          </cell>
          <cell r="L3052">
            <v>745.80053158040198</v>
          </cell>
          <cell r="M3052">
            <v>978</v>
          </cell>
          <cell r="N3052">
            <v>0.118122754712147</v>
          </cell>
          <cell r="O3052">
            <v>657</v>
          </cell>
          <cell r="P3052">
            <v>0.61</v>
          </cell>
          <cell r="Q3052">
            <v>844</v>
          </cell>
        </row>
        <row r="3053">
          <cell r="B3053" t="str">
            <v>SHINGLE SPRINGS 210819622</v>
          </cell>
          <cell r="C3053">
            <v>153652108</v>
          </cell>
          <cell r="D3053" t="str">
            <v>SHINGLE SPRINGS 2108</v>
          </cell>
          <cell r="E3053">
            <v>19622</v>
          </cell>
          <cell r="F3053" t="b">
            <v>0</v>
          </cell>
          <cell r="G3053">
            <v>18790.8493994688</v>
          </cell>
          <cell r="H3053">
            <v>9040.1449914242803</v>
          </cell>
          <cell r="I3053">
            <v>165</v>
          </cell>
          <cell r="J3053">
            <v>1.6431553472046501E-4</v>
          </cell>
          <cell r="K3053">
            <v>596</v>
          </cell>
          <cell r="L3053">
            <v>119.928274046814</v>
          </cell>
          <cell r="M3053">
            <v>1869</v>
          </cell>
          <cell r="N3053">
            <v>9.52828816423054E-3</v>
          </cell>
          <cell r="O3053">
            <v>1982</v>
          </cell>
          <cell r="P3053">
            <v>0.05</v>
          </cell>
          <cell r="Q3053">
            <v>1921</v>
          </cell>
        </row>
        <row r="3054">
          <cell r="B3054" t="str">
            <v>SHINGLE SPRINGS 210819762</v>
          </cell>
          <cell r="C3054">
            <v>153652108</v>
          </cell>
          <cell r="D3054" t="str">
            <v>SHINGLE SPRINGS 2108</v>
          </cell>
          <cell r="E3054">
            <v>19762</v>
          </cell>
          <cell r="F3054" t="b">
            <v>0</v>
          </cell>
          <cell r="G3054">
            <v>8713.8006742849793</v>
          </cell>
          <cell r="H3054">
            <v>7078.7755953297601</v>
          </cell>
          <cell r="I3054">
            <v>72</v>
          </cell>
          <cell r="J3054">
            <v>1.7135022446868899E-4</v>
          </cell>
          <cell r="K3054">
            <v>554</v>
          </cell>
          <cell r="L3054">
            <v>1134.0873802866799</v>
          </cell>
          <cell r="M3054">
            <v>762</v>
          </cell>
          <cell r="N3054">
            <v>0.145492426643171</v>
          </cell>
          <cell r="O3054">
            <v>545</v>
          </cell>
          <cell r="P3054">
            <v>0.25</v>
          </cell>
          <cell r="Q3054">
            <v>1082</v>
          </cell>
        </row>
        <row r="3055">
          <cell r="B3055" t="str">
            <v>SHINGLE SPRINGS 2108449638</v>
          </cell>
          <cell r="C3055">
            <v>153652108</v>
          </cell>
          <cell r="D3055" t="str">
            <v>SHINGLE SPRINGS 2108</v>
          </cell>
          <cell r="E3055">
            <v>449638</v>
          </cell>
          <cell r="F3055" t="b">
            <v>1</v>
          </cell>
          <cell r="G3055">
            <v>41.983264275593598</v>
          </cell>
          <cell r="H3055">
            <v>41.983264275593598</v>
          </cell>
          <cell r="I3055">
            <v>1</v>
          </cell>
          <cell r="J3055">
            <v>1.60487499670125E-4</v>
          </cell>
          <cell r="K3055">
            <v>640</v>
          </cell>
          <cell r="L3055">
            <v>0.21902741465287601</v>
          </cell>
          <cell r="M3055">
            <v>2930</v>
          </cell>
          <cell r="N3055">
            <v>3.5151162136851901E-5</v>
          </cell>
          <cell r="O3055">
            <v>2920</v>
          </cell>
          <cell r="Q3055">
            <v>2904</v>
          </cell>
        </row>
        <row r="3056">
          <cell r="B3056" t="str">
            <v>SHINGLE SPRINGS 210851474</v>
          </cell>
          <cell r="C3056">
            <v>153652108</v>
          </cell>
          <cell r="D3056" t="str">
            <v>SHINGLE SPRINGS 2108</v>
          </cell>
          <cell r="E3056">
            <v>51474</v>
          </cell>
          <cell r="F3056" t="b">
            <v>1</v>
          </cell>
          <cell r="G3056">
            <v>7519.0490013134604</v>
          </cell>
          <cell r="H3056">
            <v>594.11887175539903</v>
          </cell>
          <cell r="I3056">
            <v>68</v>
          </cell>
          <cell r="J3056">
            <v>1.5085278435876499E-4</v>
          </cell>
          <cell r="K3056">
            <v>730</v>
          </cell>
          <cell r="L3056">
            <v>6.5187681619706103E-2</v>
          </cell>
          <cell r="M3056">
            <v>3526</v>
          </cell>
          <cell r="N3056">
            <v>9.8389999697044794E-6</v>
          </cell>
          <cell r="O3056">
            <v>3072</v>
          </cell>
          <cell r="P3056">
            <v>0.02</v>
          </cell>
          <cell r="Q3056">
            <v>2433</v>
          </cell>
        </row>
        <row r="3057">
          <cell r="B3057" t="str">
            <v>SHINGLE SPRINGS 210851476</v>
          </cell>
          <cell r="C3057">
            <v>153652108</v>
          </cell>
          <cell r="D3057" t="str">
            <v>SHINGLE SPRINGS 2108</v>
          </cell>
          <cell r="E3057">
            <v>51476</v>
          </cell>
          <cell r="F3057" t="b">
            <v>0</v>
          </cell>
          <cell r="G3057">
            <v>10437.212811617601</v>
          </cell>
          <cell r="H3057">
            <v>7926.3269988125703</v>
          </cell>
          <cell r="I3057">
            <v>74</v>
          </cell>
          <cell r="J3057">
            <v>9.4268346214922101E-5</v>
          </cell>
          <cell r="K3057">
            <v>1787</v>
          </cell>
          <cell r="L3057">
            <v>2122.22161196254</v>
          </cell>
          <cell r="M3057">
            <v>419</v>
          </cell>
          <cell r="N3057">
            <v>0.173596985941813</v>
          </cell>
          <cell r="O3057">
            <v>424</v>
          </cell>
          <cell r="P3057">
            <v>14.32</v>
          </cell>
          <cell r="Q3057">
            <v>355</v>
          </cell>
        </row>
        <row r="3058">
          <cell r="B3058" t="str">
            <v>SHINGLE SPRINGS 2108CB</v>
          </cell>
          <cell r="C3058">
            <v>153652108</v>
          </cell>
          <cell r="D3058" t="str">
            <v>SHINGLE SPRINGS 2108</v>
          </cell>
          <cell r="E3058" t="str">
            <v>CB</v>
          </cell>
          <cell r="F3058" t="b">
            <v>0</v>
          </cell>
          <cell r="G3058">
            <v>2376.1028793883902</v>
          </cell>
          <cell r="H3058">
            <v>2376.1028793883902</v>
          </cell>
          <cell r="I3058">
            <v>18</v>
          </cell>
          <cell r="J3058">
            <v>2.1931810731664001E-4</v>
          </cell>
          <cell r="K3058">
            <v>326</v>
          </cell>
          <cell r="L3058">
            <v>147.99628760335</v>
          </cell>
          <cell r="M3058">
            <v>1784</v>
          </cell>
          <cell r="N3058">
            <v>3.4724521818259701E-3</v>
          </cell>
          <cell r="O3058">
            <v>2298</v>
          </cell>
          <cell r="P3058">
            <v>0.24</v>
          </cell>
          <cell r="Q3058">
            <v>1098</v>
          </cell>
        </row>
        <row r="3059">
          <cell r="B3059" t="str">
            <v>SHINGLE SPRINGS 210911092</v>
          </cell>
          <cell r="C3059">
            <v>153652109</v>
          </cell>
          <cell r="D3059" t="str">
            <v>SHINGLE SPRINGS 2109</v>
          </cell>
          <cell r="E3059">
            <v>11092</v>
          </cell>
          <cell r="F3059" t="b">
            <v>0</v>
          </cell>
          <cell r="G3059">
            <v>36100.283358099703</v>
          </cell>
          <cell r="H3059">
            <v>36100.283358099703</v>
          </cell>
          <cell r="I3059">
            <v>239</v>
          </cell>
          <cell r="J3059">
            <v>1.10363791463896E-4</v>
          </cell>
          <cell r="K3059">
            <v>1404</v>
          </cell>
          <cell r="L3059">
            <v>74.469068057349503</v>
          </cell>
          <cell r="M3059">
            <v>2070</v>
          </cell>
          <cell r="N3059">
            <v>6.6098585380398901E-3</v>
          </cell>
          <cell r="O3059">
            <v>2116</v>
          </cell>
          <cell r="P3059">
            <v>0.14000000000000001</v>
          </cell>
          <cell r="Q3059">
            <v>1314</v>
          </cell>
        </row>
        <row r="3060">
          <cell r="B3060" t="str">
            <v>SHINGLE SPRINGS 210912392</v>
          </cell>
          <cell r="C3060">
            <v>153652109</v>
          </cell>
          <cell r="D3060" t="str">
            <v>SHINGLE SPRINGS 2109</v>
          </cell>
          <cell r="E3060">
            <v>12392</v>
          </cell>
          <cell r="F3060" t="b">
            <v>0</v>
          </cell>
          <cell r="G3060">
            <v>23572.5390675046</v>
          </cell>
          <cell r="H3060">
            <v>23572.5390675046</v>
          </cell>
          <cell r="I3060">
            <v>178</v>
          </cell>
          <cell r="J3060">
            <v>1.09362295527747E-4</v>
          </cell>
          <cell r="K3060">
            <v>1424</v>
          </cell>
          <cell r="L3060">
            <v>1246.8521041234201</v>
          </cell>
          <cell r="M3060">
            <v>703</v>
          </cell>
          <cell r="N3060">
            <v>0.11308588605553301</v>
          </cell>
          <cell r="O3060">
            <v>688</v>
          </cell>
          <cell r="P3060">
            <v>55.71</v>
          </cell>
          <cell r="Q3060">
            <v>101</v>
          </cell>
        </row>
        <row r="3061">
          <cell r="B3061" t="str">
            <v>SHINGLE SPRINGS 210913322</v>
          </cell>
          <cell r="C3061">
            <v>153652109</v>
          </cell>
          <cell r="D3061" t="str">
            <v>SHINGLE SPRINGS 2109</v>
          </cell>
          <cell r="E3061">
            <v>13322</v>
          </cell>
          <cell r="F3061" t="b">
            <v>0</v>
          </cell>
          <cell r="G3061">
            <v>66617.682525992597</v>
          </cell>
          <cell r="H3061">
            <v>66617.682525992597</v>
          </cell>
          <cell r="I3061">
            <v>490</v>
          </cell>
          <cell r="J3061">
            <v>6.2430164726629103E-5</v>
          </cell>
          <cell r="K3061">
            <v>2708</v>
          </cell>
          <cell r="L3061">
            <v>1047.9717042253001</v>
          </cell>
          <cell r="M3061">
            <v>798</v>
          </cell>
          <cell r="N3061">
            <v>6.5331430581851202E-2</v>
          </cell>
          <cell r="O3061">
            <v>1018</v>
          </cell>
          <cell r="P3061">
            <v>0.31</v>
          </cell>
          <cell r="Q3061">
            <v>1005</v>
          </cell>
        </row>
        <row r="3062">
          <cell r="B3062" t="str">
            <v>SHINGLE SPRINGS 21092053</v>
          </cell>
          <cell r="C3062">
            <v>153652109</v>
          </cell>
          <cell r="D3062" t="str">
            <v>SHINGLE SPRINGS 2109</v>
          </cell>
          <cell r="E3062">
            <v>2053</v>
          </cell>
          <cell r="F3062" t="b">
            <v>0</v>
          </cell>
          <cell r="G3062">
            <v>9238.0471703995609</v>
          </cell>
          <cell r="H3062">
            <v>9238.0471703995609</v>
          </cell>
          <cell r="I3062">
            <v>74</v>
          </cell>
          <cell r="J3062">
            <v>7.8294500461787401E-5</v>
          </cell>
          <cell r="K3062">
            <v>2252</v>
          </cell>
          <cell r="L3062">
            <v>578.95340930114401</v>
          </cell>
          <cell r="M3062">
            <v>1125</v>
          </cell>
          <cell r="N3062">
            <v>4.0131371335349802E-2</v>
          </cell>
          <cell r="O3062">
            <v>1303</v>
          </cell>
          <cell r="P3062">
            <v>18.91</v>
          </cell>
          <cell r="Q3062">
            <v>317</v>
          </cell>
        </row>
        <row r="3063">
          <cell r="B3063" t="str">
            <v>SHINGLE SPRINGS 21092679</v>
          </cell>
          <cell r="C3063">
            <v>153652109</v>
          </cell>
          <cell r="D3063" t="str">
            <v>SHINGLE SPRINGS 2109</v>
          </cell>
          <cell r="E3063">
            <v>2679</v>
          </cell>
          <cell r="F3063" t="b">
            <v>0</v>
          </cell>
          <cell r="G3063">
            <v>11435.263653911499</v>
          </cell>
          <cell r="H3063">
            <v>11435.263653911499</v>
          </cell>
          <cell r="I3063">
            <v>70</v>
          </cell>
          <cell r="J3063">
            <v>6.4611165154409295E-5</v>
          </cell>
          <cell r="K3063">
            <v>2619</v>
          </cell>
          <cell r="L3063">
            <v>2176.5839372559199</v>
          </cell>
          <cell r="M3063">
            <v>406</v>
          </cell>
          <cell r="N3063">
            <v>0.137318063599601</v>
          </cell>
          <cell r="O3063">
            <v>578</v>
          </cell>
          <cell r="P3063">
            <v>23.85</v>
          </cell>
          <cell r="Q3063">
            <v>281</v>
          </cell>
        </row>
        <row r="3064">
          <cell r="B3064" t="str">
            <v>SHINGLE SPRINGS 210935598</v>
          </cell>
          <cell r="C3064">
            <v>153652109</v>
          </cell>
          <cell r="D3064" t="str">
            <v>SHINGLE SPRINGS 2109</v>
          </cell>
          <cell r="E3064">
            <v>35598</v>
          </cell>
          <cell r="F3064" t="b">
            <v>0</v>
          </cell>
          <cell r="G3064">
            <v>17452.8092223809</v>
          </cell>
          <cell r="H3064">
            <v>17452.8092223809</v>
          </cell>
          <cell r="I3064">
            <v>122</v>
          </cell>
          <cell r="J3064">
            <v>1.2105013294905E-4</v>
          </cell>
          <cell r="K3064">
            <v>1163</v>
          </cell>
          <cell r="L3064">
            <v>2054.3577971152999</v>
          </cell>
          <cell r="M3064">
            <v>443</v>
          </cell>
          <cell r="N3064">
            <v>0.27855417168515301</v>
          </cell>
          <cell r="O3064">
            <v>159</v>
          </cell>
          <cell r="P3064">
            <v>2.42</v>
          </cell>
          <cell r="Q3064">
            <v>604</v>
          </cell>
        </row>
        <row r="3065">
          <cell r="B3065" t="str">
            <v>SHINGLE SPRINGS 210961892</v>
          </cell>
          <cell r="C3065">
            <v>153652109</v>
          </cell>
          <cell r="D3065" t="str">
            <v>SHINGLE SPRINGS 2109</v>
          </cell>
          <cell r="E3065">
            <v>61892</v>
          </cell>
          <cell r="F3065" t="b">
            <v>0</v>
          </cell>
          <cell r="G3065">
            <v>48456.6487519613</v>
          </cell>
          <cell r="H3065">
            <v>48456.6487519613</v>
          </cell>
          <cell r="I3065">
            <v>318</v>
          </cell>
          <cell r="J3065">
            <v>8.0968521016777303E-5</v>
          </cell>
          <cell r="K3065">
            <v>2183</v>
          </cell>
          <cell r="L3065">
            <v>1584.30176293264</v>
          </cell>
          <cell r="M3065">
            <v>567</v>
          </cell>
          <cell r="N3065">
            <v>0.11372183708318601</v>
          </cell>
          <cell r="O3065">
            <v>681</v>
          </cell>
          <cell r="P3065">
            <v>38.89</v>
          </cell>
          <cell r="Q3065">
            <v>193</v>
          </cell>
        </row>
        <row r="3066">
          <cell r="B3066" t="str">
            <v>SHINGLE SPRINGS 210981390</v>
          </cell>
          <cell r="C3066">
            <v>153652109</v>
          </cell>
          <cell r="D3066" t="str">
            <v>SHINGLE SPRINGS 2109</v>
          </cell>
          <cell r="E3066">
            <v>81390</v>
          </cell>
          <cell r="F3066" t="b">
            <v>0</v>
          </cell>
          <cell r="G3066">
            <v>29957.8136792716</v>
          </cell>
          <cell r="H3066">
            <v>29957.8136792716</v>
          </cell>
          <cell r="I3066">
            <v>208</v>
          </cell>
          <cell r="J3066">
            <v>1.4065261808145099E-4</v>
          </cell>
          <cell r="K3066">
            <v>861</v>
          </cell>
          <cell r="L3066">
            <v>348.47969383492801</v>
          </cell>
          <cell r="M3066">
            <v>1374</v>
          </cell>
          <cell r="N3066">
            <v>3.9914519759889501E-2</v>
          </cell>
          <cell r="O3066">
            <v>1306</v>
          </cell>
          <cell r="P3066">
            <v>0.15</v>
          </cell>
          <cell r="Q3066">
            <v>1288</v>
          </cell>
        </row>
        <row r="3067">
          <cell r="B3067" t="str">
            <v>SHINGLE SPRINGS 210985766</v>
          </cell>
          <cell r="C3067">
            <v>153652109</v>
          </cell>
          <cell r="D3067" t="str">
            <v>SHINGLE SPRINGS 2109</v>
          </cell>
          <cell r="E3067">
            <v>85766</v>
          </cell>
          <cell r="F3067" t="b">
            <v>0</v>
          </cell>
          <cell r="G3067">
            <v>29746.7522989795</v>
          </cell>
          <cell r="H3067">
            <v>29746.7522989795</v>
          </cell>
          <cell r="I3067">
            <v>166</v>
          </cell>
          <cell r="J3067">
            <v>1.30728882229022E-4</v>
          </cell>
          <cell r="K3067">
            <v>996</v>
          </cell>
          <cell r="L3067">
            <v>2062.5576172574001</v>
          </cell>
          <cell r="M3067">
            <v>442</v>
          </cell>
          <cell r="N3067">
            <v>0.19864973816116099</v>
          </cell>
          <cell r="O3067">
            <v>332</v>
          </cell>
          <cell r="P3067">
            <v>0.1</v>
          </cell>
          <cell r="Q3067">
            <v>1495</v>
          </cell>
        </row>
        <row r="3068">
          <cell r="B3068" t="str">
            <v>SHINGLE SPRINGS 21099372</v>
          </cell>
          <cell r="C3068">
            <v>153652109</v>
          </cell>
          <cell r="D3068" t="str">
            <v>SHINGLE SPRINGS 2109</v>
          </cell>
          <cell r="E3068">
            <v>9372</v>
          </cell>
          <cell r="F3068" t="b">
            <v>0</v>
          </cell>
          <cell r="G3068">
            <v>28750.709805734401</v>
          </cell>
          <cell r="H3068">
            <v>28750.709805734401</v>
          </cell>
          <cell r="I3068">
            <v>190</v>
          </cell>
          <cell r="J3068">
            <v>1.21444026017487E-4</v>
          </cell>
          <cell r="K3068">
            <v>1159</v>
          </cell>
          <cell r="L3068">
            <v>1860.3939396209501</v>
          </cell>
          <cell r="M3068">
            <v>487</v>
          </cell>
          <cell r="N3068">
            <v>0.24281183417330601</v>
          </cell>
          <cell r="O3068">
            <v>227</v>
          </cell>
          <cell r="P3068">
            <v>6.15</v>
          </cell>
          <cell r="Q3068">
            <v>472</v>
          </cell>
        </row>
        <row r="3069">
          <cell r="B3069" t="str">
            <v>SHINGLE SPRINGS 2109CB</v>
          </cell>
          <cell r="C3069">
            <v>153652109</v>
          </cell>
          <cell r="D3069" t="str">
            <v>SHINGLE SPRINGS 2109</v>
          </cell>
          <cell r="E3069" t="str">
            <v>CB</v>
          </cell>
          <cell r="F3069" t="b">
            <v>0</v>
          </cell>
          <cell r="G3069">
            <v>44653.753419463297</v>
          </cell>
          <cell r="H3069">
            <v>44000.0643115848</v>
          </cell>
          <cell r="I3069">
            <v>341</v>
          </cell>
          <cell r="J3069">
            <v>1.2377958513021801E-4</v>
          </cell>
          <cell r="K3069">
            <v>1124</v>
          </cell>
          <cell r="L3069">
            <v>546.85623856180905</v>
          </cell>
          <cell r="M3069">
            <v>1150</v>
          </cell>
          <cell r="N3069">
            <v>4.40852505861263E-2</v>
          </cell>
          <cell r="O3069">
            <v>1240</v>
          </cell>
          <cell r="P3069">
            <v>0.94</v>
          </cell>
          <cell r="Q3069">
            <v>742</v>
          </cell>
        </row>
        <row r="3070">
          <cell r="B3070" t="str">
            <v>SHINGLE SPRINGS 211051790</v>
          </cell>
          <cell r="C3070">
            <v>153652110</v>
          </cell>
          <cell r="D3070" t="str">
            <v>SHINGLE SPRINGS 2110</v>
          </cell>
          <cell r="E3070">
            <v>51790</v>
          </cell>
          <cell r="F3070" t="b">
            <v>0</v>
          </cell>
          <cell r="G3070">
            <v>13931.014360392801</v>
          </cell>
          <cell r="H3070">
            <v>12725.516752617101</v>
          </cell>
          <cell r="I3070">
            <v>106</v>
          </cell>
          <cell r="J3070">
            <v>1.5838119955178799E-4</v>
          </cell>
          <cell r="K3070">
            <v>659</v>
          </cell>
          <cell r="L3070">
            <v>660.44849635244395</v>
          </cell>
          <cell r="M3070">
            <v>1052</v>
          </cell>
          <cell r="N3070">
            <v>8.2228838308305394E-2</v>
          </cell>
          <cell r="O3070">
            <v>883</v>
          </cell>
          <cell r="P3070">
            <v>0.33</v>
          </cell>
          <cell r="Q3070">
            <v>990</v>
          </cell>
        </row>
        <row r="3071">
          <cell r="B3071" t="str">
            <v>SHINGLE SPRINGS 211051800</v>
          </cell>
          <cell r="C3071">
            <v>153652110</v>
          </cell>
          <cell r="D3071" t="str">
            <v>SHINGLE SPRINGS 2110</v>
          </cell>
          <cell r="E3071">
            <v>51800</v>
          </cell>
          <cell r="F3071" t="b">
            <v>0</v>
          </cell>
          <cell r="G3071">
            <v>15718.5986141758</v>
          </cell>
          <cell r="H3071">
            <v>14796.528706561299</v>
          </cell>
          <cell r="I3071">
            <v>128</v>
          </cell>
          <cell r="J3071">
            <v>1.62641024559206E-4</v>
          </cell>
          <cell r="K3071">
            <v>616</v>
          </cell>
          <cell r="L3071">
            <v>342.78139121557598</v>
          </cell>
          <cell r="M3071">
            <v>1383</v>
          </cell>
          <cell r="N3071">
            <v>5.6030424935993403E-2</v>
          </cell>
          <cell r="O3071">
            <v>1108</v>
          </cell>
          <cell r="P3071">
            <v>3.81</v>
          </cell>
          <cell r="Q3071">
            <v>534</v>
          </cell>
        </row>
        <row r="3072">
          <cell r="B3072" t="str">
            <v>SHINGLE SPRINGS 21107742</v>
          </cell>
          <cell r="C3072">
            <v>153652110</v>
          </cell>
          <cell r="D3072" t="str">
            <v>SHINGLE SPRINGS 2110</v>
          </cell>
          <cell r="E3072">
            <v>7742</v>
          </cell>
          <cell r="F3072" t="b">
            <v>0</v>
          </cell>
          <cell r="G3072">
            <v>73623.591048286398</v>
          </cell>
          <cell r="H3072">
            <v>73535.667082782995</v>
          </cell>
          <cell r="I3072">
            <v>475</v>
          </cell>
          <cell r="J3072">
            <v>9.9170798348188001E-5</v>
          </cell>
          <cell r="K3072">
            <v>1663</v>
          </cell>
          <cell r="L3072">
            <v>595.56494635498098</v>
          </cell>
          <cell r="M3072">
            <v>1104</v>
          </cell>
          <cell r="N3072">
            <v>5.3392050471279102E-2</v>
          </cell>
          <cell r="O3072">
            <v>1143</v>
          </cell>
          <cell r="P3072">
            <v>1.43</v>
          </cell>
          <cell r="Q3072">
            <v>675</v>
          </cell>
        </row>
        <row r="3073">
          <cell r="B3073" t="str">
            <v>SHINGLE SPRINGS 2110CB</v>
          </cell>
          <cell r="C3073">
            <v>153652110</v>
          </cell>
          <cell r="D3073" t="str">
            <v>SHINGLE SPRINGS 2110</v>
          </cell>
          <cell r="E3073" t="str">
            <v>CB</v>
          </cell>
          <cell r="F3073" t="b">
            <v>0</v>
          </cell>
          <cell r="G3073">
            <v>2054.3899737029301</v>
          </cell>
          <cell r="H3073">
            <v>1346.7870462718499</v>
          </cell>
          <cell r="I3073">
            <v>15</v>
          </cell>
          <cell r="J3073">
            <v>2.1375699240403799E-4</v>
          </cell>
          <cell r="K3073">
            <v>344</v>
          </cell>
          <cell r="L3073">
            <v>6.5918914869427803E-2</v>
          </cell>
          <cell r="M3073">
            <v>3239</v>
          </cell>
          <cell r="N3073">
            <v>1.40994241194168E-5</v>
          </cell>
          <cell r="O3073">
            <v>3017</v>
          </cell>
          <cell r="P3073">
            <v>0.16</v>
          </cell>
          <cell r="Q3073">
            <v>1250</v>
          </cell>
        </row>
        <row r="3074">
          <cell r="B3074" t="str">
            <v>SILVERADO 21023010</v>
          </cell>
          <cell r="C3074">
            <v>43432102</v>
          </cell>
          <cell r="D3074" t="str">
            <v>SILVERADO 2102</v>
          </cell>
          <cell r="E3074">
            <v>3010</v>
          </cell>
          <cell r="F3074" t="b">
            <v>1</v>
          </cell>
          <cell r="G3074">
            <v>14671.286810670499</v>
          </cell>
          <cell r="H3074">
            <v>569.50091199423503</v>
          </cell>
          <cell r="I3074">
            <v>106</v>
          </cell>
          <cell r="J3074">
            <v>8.4289328671455305E-5</v>
          </cell>
          <cell r="K3074">
            <v>2082</v>
          </cell>
          <cell r="L3074">
            <v>23.659364510103</v>
          </cell>
          <cell r="M3074">
            <v>2409</v>
          </cell>
          <cell r="N3074">
            <v>2.69215853582205E-3</v>
          </cell>
          <cell r="O3074">
            <v>2385</v>
          </cell>
          <cell r="P3074">
            <v>0.03</v>
          </cell>
          <cell r="Q3074">
            <v>2262</v>
          </cell>
        </row>
        <row r="3075">
          <cell r="B3075" t="str">
            <v>SILVERADO 210234959</v>
          </cell>
          <cell r="C3075">
            <v>43432102</v>
          </cell>
          <cell r="D3075" t="str">
            <v>SILVERADO 2102</v>
          </cell>
          <cell r="E3075">
            <v>34959</v>
          </cell>
          <cell r="F3075" t="b">
            <v>0</v>
          </cell>
          <cell r="G3075">
            <v>42625.835640049103</v>
          </cell>
          <cell r="H3075">
            <v>41473.275570808699</v>
          </cell>
          <cell r="I3075">
            <v>205</v>
          </cell>
          <cell r="J3075">
            <v>7.1758651163726604E-5</v>
          </cell>
          <cell r="K3075">
            <v>2428</v>
          </cell>
          <cell r="L3075">
            <v>1907.46678823098</v>
          </cell>
          <cell r="M3075">
            <v>473</v>
          </cell>
          <cell r="N3075">
            <v>0.13656504120634699</v>
          </cell>
          <cell r="O3075">
            <v>579</v>
          </cell>
          <cell r="P3075">
            <v>0.46</v>
          </cell>
          <cell r="Q3075">
            <v>910</v>
          </cell>
        </row>
        <row r="3076">
          <cell r="B3076" t="str">
            <v>SILVERADO 2102437194</v>
          </cell>
          <cell r="C3076">
            <v>43432102</v>
          </cell>
          <cell r="D3076" t="str">
            <v>SILVERADO 2102</v>
          </cell>
          <cell r="E3076">
            <v>437194</v>
          </cell>
          <cell r="F3076" t="b">
            <v>0</v>
          </cell>
          <cell r="G3076">
            <v>1741.91286585534</v>
          </cell>
          <cell r="H3076">
            <v>1702.97918673052</v>
          </cell>
          <cell r="I3076">
            <v>17</v>
          </cell>
          <cell r="J3076">
            <v>9.4479498169247906E-5</v>
          </cell>
          <cell r="K3076">
            <v>1781</v>
          </cell>
          <cell r="L3076">
            <v>148.27325497037901</v>
          </cell>
          <cell r="M3076">
            <v>1783</v>
          </cell>
          <cell r="N3076">
            <v>1.8026475067990801E-2</v>
          </cell>
          <cell r="O3076">
            <v>1707</v>
          </cell>
          <cell r="Q3076">
            <v>3303</v>
          </cell>
        </row>
        <row r="3077">
          <cell r="B3077" t="str">
            <v>SILVERADO 210258626</v>
          </cell>
          <cell r="C3077">
            <v>43432102</v>
          </cell>
          <cell r="D3077" t="str">
            <v>SILVERADO 2102</v>
          </cell>
          <cell r="E3077">
            <v>58626</v>
          </cell>
          <cell r="F3077" t="b">
            <v>0</v>
          </cell>
          <cell r="G3077">
            <v>24491.733778478399</v>
          </cell>
          <cell r="H3077">
            <v>24491.733778478399</v>
          </cell>
          <cell r="I3077">
            <v>125</v>
          </cell>
          <cell r="J3077">
            <v>9.1234223302217999E-5</v>
          </cell>
          <cell r="K3077">
            <v>1869</v>
          </cell>
          <cell r="L3077">
            <v>1427.3169071550601</v>
          </cell>
          <cell r="M3077">
            <v>627</v>
          </cell>
          <cell r="N3077">
            <v>0.116999203574136</v>
          </cell>
          <cell r="O3077">
            <v>663</v>
          </cell>
          <cell r="P3077">
            <v>33.89</v>
          </cell>
          <cell r="Q3077">
            <v>218</v>
          </cell>
        </row>
        <row r="3078">
          <cell r="B3078" t="str">
            <v>SILVERADO 2102636</v>
          </cell>
          <cell r="C3078">
            <v>43432102</v>
          </cell>
          <cell r="D3078" t="str">
            <v>SILVERADO 2102</v>
          </cell>
          <cell r="E3078">
            <v>636</v>
          </cell>
          <cell r="F3078" t="b">
            <v>0</v>
          </cell>
          <cell r="G3078">
            <v>10208.663515722201</v>
          </cell>
          <cell r="H3078">
            <v>8793.247445989</v>
          </cell>
          <cell r="I3078">
            <v>81</v>
          </cell>
          <cell r="J3078">
            <v>1.23693879765068E-4</v>
          </cell>
          <cell r="K3078">
            <v>1126</v>
          </cell>
          <cell r="L3078">
            <v>135.92783646420301</v>
          </cell>
          <cell r="M3078">
            <v>1827</v>
          </cell>
          <cell r="N3078">
            <v>2.5287490320560199E-2</v>
          </cell>
          <cell r="O3078">
            <v>1550</v>
          </cell>
          <cell r="P3078">
            <v>0.41</v>
          </cell>
          <cell r="Q3078">
            <v>940</v>
          </cell>
        </row>
        <row r="3079">
          <cell r="B3079" t="str">
            <v>SILVERADO 2102714</v>
          </cell>
          <cell r="C3079">
            <v>43432102</v>
          </cell>
          <cell r="D3079" t="str">
            <v>SILVERADO 2102</v>
          </cell>
          <cell r="E3079">
            <v>714</v>
          </cell>
          <cell r="F3079" t="b">
            <v>0</v>
          </cell>
          <cell r="G3079">
            <v>17594.582330188499</v>
          </cell>
          <cell r="H3079">
            <v>5568.6627093780198</v>
          </cell>
          <cell r="I3079">
            <v>121</v>
          </cell>
          <cell r="J3079">
            <v>1.2880114965719999E-4</v>
          </cell>
          <cell r="K3079">
            <v>1033</v>
          </cell>
          <cell r="L3079">
            <v>138.083235819435</v>
          </cell>
          <cell r="M3079">
            <v>1817</v>
          </cell>
          <cell r="N3079">
            <v>1.9828804275664198E-2</v>
          </cell>
          <cell r="O3079">
            <v>1675</v>
          </cell>
          <cell r="P3079">
            <v>0.08</v>
          </cell>
          <cell r="Q3079">
            <v>1672</v>
          </cell>
        </row>
        <row r="3080">
          <cell r="B3080" t="str">
            <v>SILVERADO 2102772792</v>
          </cell>
          <cell r="C3080">
            <v>43432102</v>
          </cell>
          <cell r="D3080" t="str">
            <v>SILVERADO 2102</v>
          </cell>
          <cell r="E3080">
            <v>772792</v>
          </cell>
          <cell r="F3080" t="b">
            <v>0</v>
          </cell>
          <cell r="G3080">
            <v>4440.4407587390197</v>
          </cell>
          <cell r="H3080">
            <v>3782.0495059505001</v>
          </cell>
          <cell r="I3080">
            <v>19</v>
          </cell>
          <cell r="J3080">
            <v>1.1585754768212099E-4</v>
          </cell>
          <cell r="K3080">
            <v>1274</v>
          </cell>
          <cell r="L3080">
            <v>1705.29740514166</v>
          </cell>
          <cell r="M3080">
            <v>522</v>
          </cell>
          <cell r="N3080">
            <v>0.165085669634843</v>
          </cell>
          <cell r="O3080">
            <v>449</v>
          </cell>
          <cell r="Q3080">
            <v>3485</v>
          </cell>
        </row>
        <row r="3081">
          <cell r="B3081" t="str">
            <v>SILVERADO 2102808</v>
          </cell>
          <cell r="C3081">
            <v>43432102</v>
          </cell>
          <cell r="D3081" t="str">
            <v>SILVERADO 2102</v>
          </cell>
          <cell r="E3081">
            <v>808</v>
          </cell>
          <cell r="F3081" t="b">
            <v>0</v>
          </cell>
          <cell r="G3081">
            <v>8110.4607966849799</v>
          </cell>
          <cell r="H3081">
            <v>4081.77310275527</v>
          </cell>
          <cell r="I3081">
            <v>39</v>
          </cell>
          <cell r="J3081">
            <v>8.0753730659265598E-5</v>
          </cell>
          <cell r="K3081">
            <v>2186</v>
          </cell>
          <cell r="L3081">
            <v>1061.25308915497</v>
          </cell>
          <cell r="M3081">
            <v>791</v>
          </cell>
          <cell r="N3081">
            <v>8.0300468063896804E-2</v>
          </cell>
          <cell r="O3081">
            <v>896</v>
          </cell>
          <cell r="P3081">
            <v>0.09</v>
          </cell>
          <cell r="Q3081">
            <v>1528</v>
          </cell>
        </row>
        <row r="3082">
          <cell r="B3082" t="str">
            <v>SILVERADO 2102942170</v>
          </cell>
          <cell r="C3082">
            <v>43432102</v>
          </cell>
          <cell r="D3082" t="str">
            <v>SILVERADO 2102</v>
          </cell>
          <cell r="E3082">
            <v>942170</v>
          </cell>
          <cell r="F3082" t="b">
            <v>0</v>
          </cell>
          <cell r="G3082">
            <v>14564.2628370372</v>
          </cell>
          <cell r="H3082">
            <v>5038.6470163527301</v>
          </cell>
          <cell r="I3082">
            <v>99</v>
          </cell>
          <cell r="J3082">
            <v>8.0363925620503601E-5</v>
          </cell>
          <cell r="K3082">
            <v>2195</v>
          </cell>
          <cell r="L3082">
            <v>1848.52799923985</v>
          </cell>
          <cell r="M3082">
            <v>490</v>
          </cell>
          <cell r="N3082">
            <v>0.15348027240152301</v>
          </cell>
          <cell r="O3082">
            <v>499</v>
          </cell>
          <cell r="Q3082">
            <v>2892</v>
          </cell>
        </row>
        <row r="3083">
          <cell r="B3083" t="str">
            <v>SILVERADO 210298998</v>
          </cell>
          <cell r="C3083">
            <v>43432102</v>
          </cell>
          <cell r="D3083" t="str">
            <v>SILVERADO 2102</v>
          </cell>
          <cell r="E3083">
            <v>98998</v>
          </cell>
          <cell r="F3083" t="b">
            <v>1</v>
          </cell>
          <cell r="G3083">
            <v>20001.4993925819</v>
          </cell>
          <cell r="H3083">
            <v>118.101875490662</v>
          </cell>
          <cell r="I3083">
            <v>136</v>
          </cell>
          <cell r="J3083">
            <v>8.5456890307047096E-5</v>
          </cell>
          <cell r="K3083">
            <v>2044</v>
          </cell>
          <cell r="L3083">
            <v>370.22011048212403</v>
          </cell>
          <cell r="M3083">
            <v>1337</v>
          </cell>
          <cell r="N3083">
            <v>6.6014167796124595E-2</v>
          </cell>
          <cell r="O3083">
            <v>1012</v>
          </cell>
          <cell r="P3083">
            <v>0.02</v>
          </cell>
          <cell r="Q3083">
            <v>2466</v>
          </cell>
        </row>
        <row r="3084">
          <cell r="B3084" t="str">
            <v>SILVERADO 2102CB</v>
          </cell>
          <cell r="C3084">
            <v>43432102</v>
          </cell>
          <cell r="D3084" t="str">
            <v>SILVERADO 2102</v>
          </cell>
          <cell r="E3084" t="str">
            <v>CB</v>
          </cell>
          <cell r="F3084" t="b">
            <v>1</v>
          </cell>
          <cell r="G3084">
            <v>2722.4303580320002</v>
          </cell>
          <cell r="H3084">
            <v>952.81222280062798</v>
          </cell>
          <cell r="I3084">
            <v>22</v>
          </cell>
          <cell r="J3084">
            <v>1.9758493511868699E-4</v>
          </cell>
          <cell r="K3084">
            <v>405</v>
          </cell>
          <cell r="L3084">
            <v>236.90885697899299</v>
          </cell>
          <cell r="M3084">
            <v>1576</v>
          </cell>
          <cell r="N3084">
            <v>7.3682482293607701E-2</v>
          </cell>
          <cell r="O3084">
            <v>948</v>
          </cell>
          <cell r="P3084">
            <v>0.13</v>
          </cell>
          <cell r="Q3084">
            <v>1352</v>
          </cell>
        </row>
        <row r="3085">
          <cell r="B3085" t="str">
            <v>SILVERADO 2103218894</v>
          </cell>
          <cell r="C3085">
            <v>43432103</v>
          </cell>
          <cell r="D3085" t="str">
            <v>SILVERADO 2103</v>
          </cell>
          <cell r="E3085">
            <v>218894</v>
          </cell>
          <cell r="F3085" t="b">
            <v>1</v>
          </cell>
          <cell r="G3085">
            <v>1856.97218502891</v>
          </cell>
          <cell r="H3085">
            <v>540.19942776535197</v>
          </cell>
          <cell r="I3085">
            <v>14</v>
          </cell>
          <cell r="J3085">
            <v>6.9371389924656606E-5</v>
          </cell>
          <cell r="K3085">
            <v>2494</v>
          </cell>
          <cell r="L3085">
            <v>15.8966585008266</v>
          </cell>
          <cell r="M3085">
            <v>2518</v>
          </cell>
          <cell r="N3085">
            <v>1.6299596231050999E-3</v>
          </cell>
          <cell r="O3085">
            <v>2533</v>
          </cell>
          <cell r="Q3085">
            <v>2758</v>
          </cell>
        </row>
        <row r="3086">
          <cell r="B3086" t="str">
            <v>SILVERADO 2103403102</v>
          </cell>
          <cell r="C3086">
            <v>43432103</v>
          </cell>
          <cell r="D3086" t="str">
            <v>SILVERADO 2103</v>
          </cell>
          <cell r="E3086">
            <v>403102</v>
          </cell>
          <cell r="F3086" t="b">
            <v>1</v>
          </cell>
          <cell r="G3086">
            <v>2765.6183273525098</v>
          </cell>
          <cell r="H3086">
            <v>788.57353643523402</v>
          </cell>
          <cell r="I3086">
            <v>18</v>
          </cell>
          <cell r="J3086">
            <v>1.4170583643944001E-4</v>
          </cell>
          <cell r="K3086">
            <v>843</v>
          </cell>
          <cell r="L3086">
            <v>5.3389049147785101</v>
          </cell>
          <cell r="M3086">
            <v>2736</v>
          </cell>
          <cell r="N3086">
            <v>8.4560533876883398E-4</v>
          </cell>
          <cell r="O3086">
            <v>2663</v>
          </cell>
          <cell r="Q3086">
            <v>3267</v>
          </cell>
        </row>
        <row r="3087">
          <cell r="B3087" t="str">
            <v>SILVERADO 2103507513</v>
          </cell>
          <cell r="C3087">
            <v>43432103</v>
          </cell>
          <cell r="D3087" t="str">
            <v>SILVERADO 2103</v>
          </cell>
          <cell r="E3087">
            <v>507513</v>
          </cell>
          <cell r="F3087" t="b">
            <v>0</v>
          </cell>
          <cell r="G3087">
            <v>8339.9552895420093</v>
          </cell>
          <cell r="H3087">
            <v>4803.4000357997002</v>
          </cell>
          <cell r="I3087">
            <v>65</v>
          </cell>
          <cell r="J3087">
            <v>1.03287906257229E-4</v>
          </cell>
          <cell r="K3087">
            <v>1564</v>
          </cell>
          <cell r="L3087">
            <v>1.16290512383178</v>
          </cell>
          <cell r="M3087">
            <v>2884</v>
          </cell>
          <cell r="N3087">
            <v>4.92689370166077E-5</v>
          </cell>
          <cell r="O3087">
            <v>2901</v>
          </cell>
          <cell r="Q3087">
            <v>2887</v>
          </cell>
        </row>
        <row r="3088">
          <cell r="B3088" t="str">
            <v>SILVERADO 2103617828</v>
          </cell>
          <cell r="C3088">
            <v>43432103</v>
          </cell>
          <cell r="D3088" t="str">
            <v>SILVERADO 2103</v>
          </cell>
          <cell r="E3088">
            <v>617828</v>
          </cell>
          <cell r="F3088" t="b">
            <v>0</v>
          </cell>
          <cell r="G3088">
            <v>4970.4214750725196</v>
          </cell>
          <cell r="H3088">
            <v>2303.2847409272399</v>
          </cell>
          <cell r="I3088">
            <v>28</v>
          </cell>
          <cell r="J3088">
            <v>9.4549112613354398E-5</v>
          </cell>
          <cell r="K3088">
            <v>1777</v>
          </cell>
          <cell r="L3088">
            <v>105.772252653283</v>
          </cell>
          <cell r="M3088">
            <v>1926</v>
          </cell>
          <cell r="N3088">
            <v>9.6279475631604796E-3</v>
          </cell>
          <cell r="O3088">
            <v>1977</v>
          </cell>
          <cell r="Q3088">
            <v>2776</v>
          </cell>
        </row>
        <row r="3089">
          <cell r="B3089" t="str">
            <v>SILVERADO 2103920793</v>
          </cell>
          <cell r="C3089">
            <v>43432103</v>
          </cell>
          <cell r="D3089" t="str">
            <v>SILVERADO 2103</v>
          </cell>
          <cell r="E3089">
            <v>920793</v>
          </cell>
          <cell r="F3089" t="b">
            <v>0</v>
          </cell>
          <cell r="G3089">
            <v>12855.6086338897</v>
          </cell>
          <cell r="H3089">
            <v>10473.703856239899</v>
          </cell>
          <cell r="I3089">
            <v>51</v>
          </cell>
          <cell r="J3089">
            <v>8.6883531199715902E-5</v>
          </cell>
          <cell r="K3089">
            <v>2016</v>
          </cell>
          <cell r="L3089">
            <v>85.521504888278599</v>
          </cell>
          <cell r="M3089">
            <v>2025</v>
          </cell>
          <cell r="N3089">
            <v>8.0330136194583304E-3</v>
          </cell>
          <cell r="O3089">
            <v>2044</v>
          </cell>
          <cell r="Q3089">
            <v>2833</v>
          </cell>
        </row>
        <row r="3090">
          <cell r="B3090" t="str">
            <v>SILVERADO 2103CB</v>
          </cell>
          <cell r="C3090">
            <v>43432103</v>
          </cell>
          <cell r="D3090" t="str">
            <v>SILVERADO 2103</v>
          </cell>
          <cell r="E3090" t="str">
            <v>CB</v>
          </cell>
          <cell r="F3090" t="b">
            <v>1</v>
          </cell>
          <cell r="G3090">
            <v>22820.561483232701</v>
          </cell>
          <cell r="H3090">
            <v>0</v>
          </cell>
          <cell r="I3090">
            <v>197</v>
          </cell>
          <cell r="J3090">
            <v>8.4140976921355E-5</v>
          </cell>
          <cell r="K3090">
            <v>2089</v>
          </cell>
          <cell r="L3090">
            <v>3.1167208694619699</v>
          </cell>
          <cell r="M3090">
            <v>2806</v>
          </cell>
          <cell r="N3090">
            <v>4.5724174766324701E-4</v>
          </cell>
          <cell r="O3090">
            <v>2744</v>
          </cell>
          <cell r="P3090">
            <v>43.8</v>
          </cell>
          <cell r="Q3090">
            <v>164</v>
          </cell>
        </row>
        <row r="3091">
          <cell r="B3091" t="str">
            <v>SILVERADO 21043485</v>
          </cell>
          <cell r="C3091">
            <v>43432104</v>
          </cell>
          <cell r="D3091" t="str">
            <v>SILVERADO 2104</v>
          </cell>
          <cell r="E3091">
            <v>3485</v>
          </cell>
          <cell r="F3091" t="b">
            <v>0</v>
          </cell>
          <cell r="G3091">
            <v>2803.98756778183</v>
          </cell>
          <cell r="H3091">
            <v>2803.98756778183</v>
          </cell>
          <cell r="I3091">
            <v>23</v>
          </cell>
          <cell r="J3091">
            <v>1.1552020568279099E-4</v>
          </cell>
          <cell r="K3091">
            <v>1286</v>
          </cell>
          <cell r="L3091">
            <v>723.11201052733395</v>
          </cell>
          <cell r="M3091">
            <v>996</v>
          </cell>
          <cell r="N3091">
            <v>8.1749366516881097E-2</v>
          </cell>
          <cell r="O3091">
            <v>887</v>
          </cell>
          <cell r="Q3091">
            <v>2910</v>
          </cell>
        </row>
        <row r="3092">
          <cell r="B3092" t="str">
            <v>SILVERADO 210437632</v>
          </cell>
          <cell r="C3092">
            <v>43432104</v>
          </cell>
          <cell r="D3092" t="str">
            <v>SILVERADO 2104</v>
          </cell>
          <cell r="E3092">
            <v>37632</v>
          </cell>
          <cell r="F3092" t="b">
            <v>0</v>
          </cell>
          <cell r="G3092">
            <v>42770.294169256798</v>
          </cell>
          <cell r="H3092">
            <v>42770.294169256798</v>
          </cell>
          <cell r="I3092">
            <v>304</v>
          </cell>
          <cell r="J3092">
            <v>1.59100306351128E-4</v>
          </cell>
          <cell r="K3092">
            <v>651</v>
          </cell>
          <cell r="L3092">
            <v>314.35130292358798</v>
          </cell>
          <cell r="M3092">
            <v>1426</v>
          </cell>
          <cell r="N3092">
            <v>4.4601198337867701E-2</v>
          </cell>
          <cell r="O3092">
            <v>1235</v>
          </cell>
          <cell r="P3092">
            <v>2.5499999999999998</v>
          </cell>
          <cell r="Q3092">
            <v>599</v>
          </cell>
        </row>
        <row r="3093">
          <cell r="B3093" t="str">
            <v>SILVERADO 2104632</v>
          </cell>
          <cell r="C3093">
            <v>43432104</v>
          </cell>
          <cell r="D3093" t="str">
            <v>SILVERADO 2104</v>
          </cell>
          <cell r="E3093">
            <v>632</v>
          </cell>
          <cell r="F3093" t="b">
            <v>0</v>
          </cell>
          <cell r="G3093">
            <v>29843.766139617601</v>
          </cell>
          <cell r="H3093">
            <v>29492.789502858101</v>
          </cell>
          <cell r="I3093">
            <v>193</v>
          </cell>
          <cell r="J3093">
            <v>1.19024229442463E-4</v>
          </cell>
          <cell r="K3093">
            <v>1207</v>
          </cell>
          <cell r="L3093">
            <v>950.77591393954697</v>
          </cell>
          <cell r="M3093">
            <v>861</v>
          </cell>
          <cell r="N3093">
            <v>9.4958660325452998E-2</v>
          </cell>
          <cell r="O3093">
            <v>792</v>
          </cell>
          <cell r="P3093">
            <v>90.53</v>
          </cell>
          <cell r="Q3093">
            <v>32</v>
          </cell>
        </row>
        <row r="3094">
          <cell r="B3094" t="str">
            <v>SILVERADO 2104645</v>
          </cell>
          <cell r="C3094">
            <v>43432104</v>
          </cell>
          <cell r="D3094" t="str">
            <v>SILVERADO 2104</v>
          </cell>
          <cell r="E3094">
            <v>645</v>
          </cell>
          <cell r="F3094" t="b">
            <v>0</v>
          </cell>
          <cell r="G3094">
            <v>1626.89377883927</v>
          </cell>
          <cell r="H3094">
            <v>1626.89377883927</v>
          </cell>
          <cell r="I3094">
            <v>13</v>
          </cell>
          <cell r="J3094">
            <v>9.1232058576469301E-5</v>
          </cell>
          <cell r="K3094">
            <v>1870</v>
          </cell>
          <cell r="L3094">
            <v>67.724109383105301</v>
          </cell>
          <cell r="M3094">
            <v>2103</v>
          </cell>
          <cell r="N3094">
            <v>6.5603683880312699E-3</v>
          </cell>
          <cell r="O3094">
            <v>2117</v>
          </cell>
          <cell r="P3094">
            <v>60.62</v>
          </cell>
          <cell r="Q3094">
            <v>88</v>
          </cell>
        </row>
        <row r="3095">
          <cell r="B3095" t="str">
            <v>SILVERADO 2104708</v>
          </cell>
          <cell r="C3095">
            <v>43432104</v>
          </cell>
          <cell r="D3095" t="str">
            <v>SILVERADO 2104</v>
          </cell>
          <cell r="E3095">
            <v>708</v>
          </cell>
          <cell r="F3095" t="b">
            <v>0</v>
          </cell>
          <cell r="G3095">
            <v>7904.2269367747003</v>
          </cell>
          <cell r="H3095">
            <v>6040.8567695149904</v>
          </cell>
          <cell r="I3095">
            <v>61</v>
          </cell>
          <cell r="J3095">
            <v>1.3285098152738899E-4</v>
          </cell>
          <cell r="K3095">
            <v>959</v>
          </cell>
          <cell r="L3095">
            <v>152.294804287293</v>
          </cell>
          <cell r="M3095">
            <v>1771</v>
          </cell>
          <cell r="N3095">
            <v>2.11799928268314E-2</v>
          </cell>
          <cell r="O3095">
            <v>1648</v>
          </cell>
          <cell r="P3095">
            <v>0.54</v>
          </cell>
          <cell r="Q3095">
            <v>876</v>
          </cell>
        </row>
        <row r="3096">
          <cell r="B3096" t="str">
            <v>SILVERADO 2104722</v>
          </cell>
          <cell r="C3096">
            <v>43432104</v>
          </cell>
          <cell r="D3096" t="str">
            <v>SILVERADO 2104</v>
          </cell>
          <cell r="E3096">
            <v>722</v>
          </cell>
          <cell r="F3096" t="b">
            <v>0</v>
          </cell>
          <cell r="G3096">
            <v>12705.358229285401</v>
          </cell>
          <cell r="H3096">
            <v>12705.358229285401</v>
          </cell>
          <cell r="I3096">
            <v>99</v>
          </cell>
          <cell r="J3096">
            <v>2.60822842612855E-4</v>
          </cell>
          <cell r="K3096">
            <v>194</v>
          </cell>
          <cell r="L3096">
            <v>569.60124743706399</v>
          </cell>
          <cell r="M3096">
            <v>1130</v>
          </cell>
          <cell r="N3096">
            <v>0.11274059397863299</v>
          </cell>
          <cell r="O3096">
            <v>690</v>
          </cell>
          <cell r="P3096">
            <v>46.62</v>
          </cell>
          <cell r="Q3096">
            <v>140</v>
          </cell>
        </row>
        <row r="3097">
          <cell r="B3097" t="str">
            <v>SILVERADO 2104726</v>
          </cell>
          <cell r="C3097">
            <v>43432104</v>
          </cell>
          <cell r="D3097" t="str">
            <v>SILVERADO 2104</v>
          </cell>
          <cell r="E3097">
            <v>726</v>
          </cell>
          <cell r="F3097" t="b">
            <v>0</v>
          </cell>
          <cell r="G3097">
            <v>56301.339553931299</v>
          </cell>
          <cell r="H3097">
            <v>48875.227386269398</v>
          </cell>
          <cell r="I3097">
            <v>263</v>
          </cell>
          <cell r="J3097">
            <v>1.0364628682749299E-4</v>
          </cell>
          <cell r="K3097">
            <v>1558</v>
          </cell>
          <cell r="L3097">
            <v>2367.3737970174002</v>
          </cell>
          <cell r="M3097">
            <v>368</v>
          </cell>
          <cell r="N3097">
            <v>0.22346942646959</v>
          </cell>
          <cell r="O3097">
            <v>279</v>
          </cell>
          <cell r="P3097">
            <v>5.19</v>
          </cell>
          <cell r="Q3097">
            <v>495</v>
          </cell>
        </row>
        <row r="3098">
          <cell r="B3098" t="str">
            <v>SILVERADO 210478268</v>
          </cell>
          <cell r="C3098">
            <v>43432104</v>
          </cell>
          <cell r="D3098" t="str">
            <v>SILVERADO 2104</v>
          </cell>
          <cell r="E3098">
            <v>78268</v>
          </cell>
          <cell r="F3098" t="b">
            <v>0</v>
          </cell>
          <cell r="G3098">
            <v>15647.320631880601</v>
          </cell>
          <cell r="H3098">
            <v>15647.320631880601</v>
          </cell>
          <cell r="I3098">
            <v>114</v>
          </cell>
          <cell r="J3098">
            <v>1.6165334601649599E-4</v>
          </cell>
          <cell r="K3098">
            <v>623</v>
          </cell>
          <cell r="L3098">
            <v>303.71863143373099</v>
          </cell>
          <cell r="M3098">
            <v>1445</v>
          </cell>
          <cell r="N3098">
            <v>4.3132785724426401E-2</v>
          </cell>
          <cell r="O3098">
            <v>1254</v>
          </cell>
          <cell r="P3098">
            <v>73.540000000000006</v>
          </cell>
          <cell r="Q3098">
            <v>60</v>
          </cell>
        </row>
        <row r="3099">
          <cell r="B3099" t="str">
            <v>SILVERADO 2104806</v>
          </cell>
          <cell r="C3099">
            <v>43432104</v>
          </cell>
          <cell r="D3099" t="str">
            <v>SILVERADO 2104</v>
          </cell>
          <cell r="E3099">
            <v>806</v>
          </cell>
          <cell r="F3099" t="b">
            <v>0</v>
          </cell>
          <cell r="G3099">
            <v>55052.210445579498</v>
          </cell>
          <cell r="H3099">
            <v>33831.6044494015</v>
          </cell>
          <cell r="I3099">
            <v>229</v>
          </cell>
          <cell r="J3099">
            <v>9.1805530839321697E-5</v>
          </cell>
          <cell r="K3099">
            <v>1850</v>
          </cell>
          <cell r="L3099">
            <v>2097.6481791935598</v>
          </cell>
          <cell r="M3099">
            <v>426</v>
          </cell>
          <cell r="N3099">
            <v>0.21007664814910301</v>
          </cell>
          <cell r="O3099">
            <v>309</v>
          </cell>
          <cell r="P3099">
            <v>0.15</v>
          </cell>
          <cell r="Q3099">
            <v>1276</v>
          </cell>
        </row>
        <row r="3100">
          <cell r="B3100" t="str">
            <v>SILVERADO 21051306</v>
          </cell>
          <cell r="C3100">
            <v>43432105</v>
          </cell>
          <cell r="D3100" t="str">
            <v>SILVERADO 2105</v>
          </cell>
          <cell r="E3100">
            <v>1306</v>
          </cell>
          <cell r="F3100" t="b">
            <v>1</v>
          </cell>
          <cell r="G3100">
            <v>6582.76150907595</v>
          </cell>
          <cell r="H3100">
            <v>393.59160434569202</v>
          </cell>
          <cell r="I3100">
            <v>55</v>
          </cell>
          <cell r="J3100">
            <v>1.8260525373787201E-4</v>
          </cell>
          <cell r="K3100">
            <v>490</v>
          </cell>
          <cell r="L3100">
            <v>20.355325824964599</v>
          </cell>
          <cell r="M3100">
            <v>2444</v>
          </cell>
          <cell r="N3100">
            <v>3.09387340255286E-3</v>
          </cell>
          <cell r="O3100">
            <v>2341</v>
          </cell>
          <cell r="P3100">
            <v>9.44</v>
          </cell>
          <cell r="Q3100">
            <v>409</v>
          </cell>
        </row>
        <row r="3101">
          <cell r="B3101" t="str">
            <v>SILVERADO 21051308</v>
          </cell>
          <cell r="C3101">
            <v>43432105</v>
          </cell>
          <cell r="D3101" t="str">
            <v>SILVERADO 2105</v>
          </cell>
          <cell r="E3101">
            <v>1308</v>
          </cell>
          <cell r="F3101" t="b">
            <v>1</v>
          </cell>
          <cell r="G3101">
            <v>7407.3520258040598</v>
          </cell>
          <cell r="H3101">
            <v>244.963137512819</v>
          </cell>
          <cell r="I3101">
            <v>60</v>
          </cell>
          <cell r="J3101">
            <v>8.8596715104975306E-5</v>
          </cell>
          <cell r="K3101">
            <v>1969</v>
          </cell>
          <cell r="L3101">
            <v>6.5215764450557795E-2</v>
          </cell>
          <cell r="M3101">
            <v>3502</v>
          </cell>
          <cell r="N3101">
            <v>5.78736691161207E-6</v>
          </cell>
          <cell r="O3101">
            <v>3223</v>
          </cell>
          <cell r="P3101">
            <v>8.14</v>
          </cell>
          <cell r="Q3101">
            <v>435</v>
          </cell>
        </row>
        <row r="3102">
          <cell r="B3102" t="str">
            <v>SILVERADO 2105131568</v>
          </cell>
          <cell r="C3102">
            <v>43432105</v>
          </cell>
          <cell r="D3102" t="str">
            <v>SILVERADO 2105</v>
          </cell>
          <cell r="E3102">
            <v>131568</v>
          </cell>
          <cell r="F3102" t="b">
            <v>0</v>
          </cell>
          <cell r="G3102">
            <v>7881.7386240476599</v>
          </cell>
          <cell r="H3102">
            <v>6658.8016640736396</v>
          </cell>
          <cell r="I3102">
            <v>57</v>
          </cell>
          <cell r="J3102">
            <v>1.35761804127118E-4</v>
          </cell>
          <cell r="K3102">
            <v>921</v>
          </cell>
          <cell r="L3102">
            <v>77.207991173820105</v>
          </cell>
          <cell r="M3102">
            <v>2060</v>
          </cell>
          <cell r="N3102">
            <v>1.0281445149094501E-2</v>
          </cell>
          <cell r="O3102">
            <v>1947</v>
          </cell>
          <cell r="Q3102">
            <v>2951</v>
          </cell>
        </row>
        <row r="3103">
          <cell r="B3103" t="str">
            <v>SILVERADO 2105167360</v>
          </cell>
          <cell r="C3103">
            <v>43432105</v>
          </cell>
          <cell r="D3103" t="str">
            <v>SILVERADO 2105</v>
          </cell>
          <cell r="E3103">
            <v>167360</v>
          </cell>
          <cell r="F3103" t="b">
            <v>0</v>
          </cell>
          <cell r="G3103">
            <v>15830.4656258589</v>
          </cell>
          <cell r="H3103">
            <v>15413.590937283299</v>
          </cell>
          <cell r="I3103">
            <v>70</v>
          </cell>
          <cell r="J3103">
            <v>1.17695124962275E-4</v>
          </cell>
          <cell r="K3103">
            <v>1232</v>
          </cell>
          <cell r="L3103">
            <v>51.721752515478897</v>
          </cell>
          <cell r="M3103">
            <v>2203</v>
          </cell>
          <cell r="N3103">
            <v>5.6115838556279199E-3</v>
          </cell>
          <cell r="O3103">
            <v>2174</v>
          </cell>
          <cell r="Q3103">
            <v>3176</v>
          </cell>
        </row>
        <row r="3104">
          <cell r="B3104" t="str">
            <v>SILVERADO 2105191725</v>
          </cell>
          <cell r="C3104">
            <v>43432105</v>
          </cell>
          <cell r="D3104" t="str">
            <v>SILVERADO 2105</v>
          </cell>
          <cell r="E3104">
            <v>191725</v>
          </cell>
          <cell r="F3104" t="b">
            <v>1</v>
          </cell>
          <cell r="G3104">
            <v>766.92347469802996</v>
          </cell>
          <cell r="H3104">
            <v>558.14016449166002</v>
          </cell>
          <cell r="I3104">
            <v>8</v>
          </cell>
          <cell r="J3104">
            <v>1.08540011297009E-4</v>
          </cell>
          <cell r="K3104">
            <v>1435</v>
          </cell>
          <cell r="L3104">
            <v>6.6111426131150494E-2</v>
          </cell>
          <cell r="M3104">
            <v>3189</v>
          </cell>
          <cell r="N3104">
            <v>7.1671434031804303E-6</v>
          </cell>
          <cell r="O3104">
            <v>3157</v>
          </cell>
          <cell r="Q3104">
            <v>2999</v>
          </cell>
        </row>
        <row r="3105">
          <cell r="B3105" t="str">
            <v>SILVERADO 2105247660</v>
          </cell>
          <cell r="C3105">
            <v>43432105</v>
          </cell>
          <cell r="D3105" t="str">
            <v>SILVERADO 2105</v>
          </cell>
          <cell r="E3105">
            <v>247660</v>
          </cell>
          <cell r="F3105" t="b">
            <v>0</v>
          </cell>
          <cell r="G3105">
            <v>5200.0543641288796</v>
          </cell>
          <cell r="H3105">
            <v>3858.4885980794502</v>
          </cell>
          <cell r="I3105">
            <v>35</v>
          </cell>
          <cell r="J3105">
            <v>8.3564643916490998E-5</v>
          </cell>
          <cell r="K3105">
            <v>2111</v>
          </cell>
          <cell r="L3105">
            <v>144.07700503406301</v>
          </cell>
          <cell r="M3105">
            <v>1794</v>
          </cell>
          <cell r="N3105">
            <v>1.1540525518219999E-2</v>
          </cell>
          <cell r="O3105">
            <v>1901</v>
          </cell>
          <cell r="Q3105">
            <v>2689</v>
          </cell>
        </row>
        <row r="3106">
          <cell r="B3106" t="str">
            <v>SILVERADO 2105309298</v>
          </cell>
          <cell r="C3106">
            <v>43432105</v>
          </cell>
          <cell r="D3106" t="str">
            <v>SILVERADO 2105</v>
          </cell>
          <cell r="E3106">
            <v>309298</v>
          </cell>
          <cell r="F3106" t="b">
            <v>0</v>
          </cell>
          <cell r="G3106">
            <v>3091.9425672277298</v>
          </cell>
          <cell r="H3106">
            <v>1768.6422355058801</v>
          </cell>
          <cell r="I3106">
            <v>23</v>
          </cell>
          <cell r="J3106">
            <v>9.5444594515593794E-5</v>
          </cell>
          <cell r="K3106">
            <v>1744</v>
          </cell>
          <cell r="L3106">
            <v>39.3183455458718</v>
          </cell>
          <cell r="M3106">
            <v>2281</v>
          </cell>
          <cell r="N3106">
            <v>4.3094030626173903E-3</v>
          </cell>
          <cell r="O3106">
            <v>2241</v>
          </cell>
          <cell r="Q3106">
            <v>3197</v>
          </cell>
        </row>
        <row r="3107">
          <cell r="B3107" t="str">
            <v>SILVERADO 2105337226</v>
          </cell>
          <cell r="C3107">
            <v>43432105</v>
          </cell>
          <cell r="D3107" t="str">
            <v>SILVERADO 2105</v>
          </cell>
          <cell r="E3107">
            <v>337226</v>
          </cell>
          <cell r="F3107" t="b">
            <v>1</v>
          </cell>
          <cell r="G3107">
            <v>1293.80774069627</v>
          </cell>
          <cell r="H3107">
            <v>458.48271773193699</v>
          </cell>
          <cell r="I3107">
            <v>13</v>
          </cell>
          <cell r="J3107">
            <v>1.4221553759013501E-4</v>
          </cell>
          <cell r="K3107">
            <v>835</v>
          </cell>
          <cell r="L3107">
            <v>6.5742334779257894E-2</v>
          </cell>
          <cell r="M3107">
            <v>3297</v>
          </cell>
          <cell r="N3107">
            <v>9.3614965552289695E-6</v>
          </cell>
          <cell r="O3107">
            <v>3085</v>
          </cell>
          <cell r="Q3107">
            <v>2998</v>
          </cell>
        </row>
        <row r="3108">
          <cell r="B3108" t="str">
            <v>SILVERADO 2105616</v>
          </cell>
          <cell r="C3108">
            <v>43432105</v>
          </cell>
          <cell r="D3108" t="str">
            <v>SILVERADO 2105</v>
          </cell>
          <cell r="E3108">
            <v>616</v>
          </cell>
          <cell r="F3108" t="b">
            <v>1</v>
          </cell>
          <cell r="G3108">
            <v>12968.068215838901</v>
          </cell>
          <cell r="H3108">
            <v>798.87539315813797</v>
          </cell>
          <cell r="I3108">
            <v>103</v>
          </cell>
          <cell r="J3108">
            <v>1.10906298526542E-4</v>
          </cell>
          <cell r="K3108">
            <v>1393</v>
          </cell>
          <cell r="L3108">
            <v>20.283108182308201</v>
          </cell>
          <cell r="M3108">
            <v>2445</v>
          </cell>
          <cell r="N3108">
            <v>3.0112342410036799E-3</v>
          </cell>
          <cell r="O3108">
            <v>2351</v>
          </cell>
          <cell r="P3108">
            <v>0.3</v>
          </cell>
          <cell r="Q3108">
            <v>1020</v>
          </cell>
        </row>
        <row r="3109">
          <cell r="B3109" t="str">
            <v>SILVERADO 2105658898</v>
          </cell>
          <cell r="C3109">
            <v>43432105</v>
          </cell>
          <cell r="D3109" t="str">
            <v>SILVERADO 2105</v>
          </cell>
          <cell r="E3109">
            <v>658898</v>
          </cell>
          <cell r="F3109" t="b">
            <v>0</v>
          </cell>
          <cell r="G3109">
            <v>27632.457934801401</v>
          </cell>
          <cell r="H3109">
            <v>27632.457934801401</v>
          </cell>
          <cell r="I3109">
            <v>151</v>
          </cell>
          <cell r="J3109">
            <v>1.5549230140701699E-4</v>
          </cell>
          <cell r="K3109">
            <v>689</v>
          </cell>
          <cell r="L3109">
            <v>248.30899848545701</v>
          </cell>
          <cell r="M3109">
            <v>1546</v>
          </cell>
          <cell r="N3109">
            <v>3.5763149066580402E-2</v>
          </cell>
          <cell r="O3109">
            <v>1361</v>
          </cell>
          <cell r="P3109">
            <v>57.88</v>
          </cell>
          <cell r="Q3109">
            <v>94</v>
          </cell>
        </row>
        <row r="3110">
          <cell r="B3110" t="str">
            <v>SILVERADO 2105861266</v>
          </cell>
          <cell r="C3110">
            <v>43432105</v>
          </cell>
          <cell r="D3110" t="str">
            <v>SILVERADO 2105</v>
          </cell>
          <cell r="E3110">
            <v>861266</v>
          </cell>
          <cell r="F3110" t="b">
            <v>0</v>
          </cell>
          <cell r="G3110">
            <v>3852.0147926764398</v>
          </cell>
          <cell r="H3110">
            <v>2503.8940089755602</v>
          </cell>
          <cell r="I3110">
            <v>31</v>
          </cell>
          <cell r="J3110">
            <v>1.8468349862227801E-4</v>
          </cell>
          <cell r="K3110">
            <v>477</v>
          </cell>
          <cell r="L3110">
            <v>101.282622633024</v>
          </cell>
          <cell r="M3110">
            <v>1949</v>
          </cell>
          <cell r="N3110">
            <v>1.4616389761018299E-2</v>
          </cell>
          <cell r="O3110">
            <v>1800</v>
          </cell>
          <cell r="Q3110">
            <v>3353</v>
          </cell>
        </row>
        <row r="3111">
          <cell r="B3111" t="str">
            <v>SILVERADO 2105CB</v>
          </cell>
          <cell r="C3111">
            <v>43432105</v>
          </cell>
          <cell r="D3111" t="str">
            <v>SILVERADO 2105</v>
          </cell>
          <cell r="E3111" t="str">
            <v>CB</v>
          </cell>
          <cell r="F3111" t="b">
            <v>0</v>
          </cell>
          <cell r="G3111">
            <v>7432.6484425995804</v>
          </cell>
          <cell r="H3111">
            <v>1011.6245610698101</v>
          </cell>
          <cell r="I3111">
            <v>66</v>
          </cell>
          <cell r="J3111">
            <v>9.5308887746516397E-5</v>
          </cell>
          <cell r="K3111">
            <v>1754</v>
          </cell>
          <cell r="L3111">
            <v>6.5326268164397197E-2</v>
          </cell>
          <cell r="M3111">
            <v>3450</v>
          </cell>
          <cell r="N3111">
            <v>6.23133740282903E-6</v>
          </cell>
          <cell r="O3111">
            <v>3201</v>
          </cell>
          <cell r="P3111">
            <v>0.17</v>
          </cell>
          <cell r="Q3111">
            <v>1235</v>
          </cell>
        </row>
        <row r="3112">
          <cell r="B3112" t="str">
            <v>SISQUOC 110245261</v>
          </cell>
          <cell r="C3112">
            <v>182811102</v>
          </cell>
          <cell r="D3112" t="str">
            <v>SISQUOC 1102</v>
          </cell>
          <cell r="E3112">
            <v>45261</v>
          </cell>
          <cell r="F3112" t="b">
            <v>1</v>
          </cell>
          <cell r="G3112">
            <v>20192.752612075499</v>
          </cell>
          <cell r="H3112">
            <v>164.99582562714301</v>
          </cell>
          <cell r="I3112">
            <v>10</v>
          </cell>
          <cell r="J3112">
            <v>7.3888462793547606E-5</v>
          </cell>
          <cell r="K3112">
            <v>2362</v>
          </cell>
          <cell r="L3112">
            <v>8.6021681577298406</v>
          </cell>
          <cell r="M3112">
            <v>2652</v>
          </cell>
          <cell r="N3112">
            <v>1.42296627641003E-3</v>
          </cell>
          <cell r="O3112">
            <v>2571</v>
          </cell>
          <cell r="Q3112">
            <v>3326</v>
          </cell>
        </row>
        <row r="3113">
          <cell r="B3113" t="str">
            <v>SISQUOC 1102M52</v>
          </cell>
          <cell r="C3113">
            <v>182811102</v>
          </cell>
          <cell r="D3113" t="str">
            <v>SISQUOC 1102</v>
          </cell>
          <cell r="E3113" t="str">
            <v>M52</v>
          </cell>
          <cell r="F3113" t="b">
            <v>0</v>
          </cell>
          <cell r="G3113">
            <v>56469.3419621297</v>
          </cell>
          <cell r="H3113">
            <v>54530.2398734995</v>
          </cell>
          <cell r="I3113">
            <v>131</v>
          </cell>
          <cell r="J3113">
            <v>6.7690989035038395E-5</v>
          </cell>
          <cell r="K3113">
            <v>2540</v>
          </cell>
          <cell r="L3113">
            <v>719.271133287883</v>
          </cell>
          <cell r="M3113">
            <v>1001</v>
          </cell>
          <cell r="N3113">
            <v>4.9149627847381701E-2</v>
          </cell>
          <cell r="O3113">
            <v>1185</v>
          </cell>
          <cell r="P3113">
            <v>0.09</v>
          </cell>
          <cell r="Q3113">
            <v>1551</v>
          </cell>
        </row>
        <row r="3114">
          <cell r="B3114" t="str">
            <v>SISQUOC 1102M54</v>
          </cell>
          <cell r="C3114">
            <v>182811102</v>
          </cell>
          <cell r="D3114" t="str">
            <v>SISQUOC 1102</v>
          </cell>
          <cell r="E3114" t="str">
            <v>M54</v>
          </cell>
          <cell r="F3114" t="b">
            <v>0</v>
          </cell>
          <cell r="G3114">
            <v>48740.644508057099</v>
          </cell>
          <cell r="H3114">
            <v>31884.227437005899</v>
          </cell>
          <cell r="I3114">
            <v>166</v>
          </cell>
          <cell r="J3114">
            <v>5.3034127804661698E-5</v>
          </cell>
          <cell r="K3114">
            <v>2966</v>
          </cell>
          <cell r="L3114">
            <v>2348.10346825025</v>
          </cell>
          <cell r="M3114">
            <v>373</v>
          </cell>
          <cell r="N3114">
            <v>0.14113769127103201</v>
          </cell>
          <cell r="O3114">
            <v>567</v>
          </cell>
          <cell r="P3114">
            <v>0.02</v>
          </cell>
          <cell r="Q3114">
            <v>2478</v>
          </cell>
        </row>
        <row r="3115">
          <cell r="B3115" t="str">
            <v>SISQUOC 1103858898</v>
          </cell>
          <cell r="C3115">
            <v>182811103</v>
          </cell>
          <cell r="D3115" t="str">
            <v>SISQUOC 1103</v>
          </cell>
          <cell r="E3115">
            <v>858898</v>
          </cell>
          <cell r="F3115" t="b">
            <v>0</v>
          </cell>
          <cell r="G3115">
            <v>31911.405857257301</v>
          </cell>
          <cell r="H3115">
            <v>31551.7734616011</v>
          </cell>
          <cell r="I3115">
            <v>152</v>
          </cell>
          <cell r="J3115">
            <v>4.9929015554482997E-5</v>
          </cell>
          <cell r="K3115">
            <v>3040</v>
          </cell>
          <cell r="L3115">
            <v>1510.0950099742099</v>
          </cell>
          <cell r="M3115">
            <v>592</v>
          </cell>
          <cell r="N3115">
            <v>8.9507597752611107E-2</v>
          </cell>
          <cell r="O3115">
            <v>826</v>
          </cell>
          <cell r="Q3115">
            <v>3043</v>
          </cell>
        </row>
        <row r="3116">
          <cell r="B3116" t="str">
            <v>SISQUOC 1103867486</v>
          </cell>
          <cell r="C3116">
            <v>182811103</v>
          </cell>
          <cell r="D3116" t="str">
            <v>SISQUOC 1103</v>
          </cell>
          <cell r="E3116">
            <v>867486</v>
          </cell>
          <cell r="F3116" t="b">
            <v>0</v>
          </cell>
          <cell r="G3116">
            <v>5219.4397082823598</v>
          </cell>
          <cell r="H3116">
            <v>3405.4304818365799</v>
          </cell>
          <cell r="I3116">
            <v>20</v>
          </cell>
          <cell r="J3116">
            <v>7.3947725316732702E-5</v>
          </cell>
          <cell r="K3116">
            <v>2361</v>
          </cell>
          <cell r="L3116">
            <v>3380.0088584441601</v>
          </cell>
          <cell r="M3116">
            <v>213</v>
          </cell>
          <cell r="N3116">
            <v>0.35060729575571697</v>
          </cell>
          <cell r="O3116">
            <v>96</v>
          </cell>
          <cell r="Q3116">
            <v>3172</v>
          </cell>
        </row>
        <row r="3117">
          <cell r="B3117" t="str">
            <v>SISQUOC 1103M98</v>
          </cell>
          <cell r="C3117">
            <v>182811103</v>
          </cell>
          <cell r="D3117" t="str">
            <v>SISQUOC 1103</v>
          </cell>
          <cell r="E3117" t="str">
            <v>M98</v>
          </cell>
          <cell r="F3117" t="b">
            <v>0</v>
          </cell>
          <cell r="G3117">
            <v>15843.020409045501</v>
          </cell>
          <cell r="H3117">
            <v>12614.666402668399</v>
          </cell>
          <cell r="I3117">
            <v>56</v>
          </cell>
          <cell r="J3117">
            <v>2.6578736075017699E-5</v>
          </cell>
          <cell r="K3117">
            <v>3477</v>
          </cell>
          <cell r="L3117">
            <v>870.092627374269</v>
          </cell>
          <cell r="M3117">
            <v>898</v>
          </cell>
          <cell r="N3117">
            <v>3.09878406903684E-2</v>
          </cell>
          <cell r="O3117">
            <v>1443</v>
          </cell>
          <cell r="P3117">
            <v>0.06</v>
          </cell>
          <cell r="Q3117">
            <v>1829</v>
          </cell>
        </row>
        <row r="3118">
          <cell r="B3118" t="str">
            <v>SMARTVILLE 1101CB</v>
          </cell>
          <cell r="C3118">
            <v>153791101</v>
          </cell>
          <cell r="D3118" t="str">
            <v>SMARTVILLE 1101</v>
          </cell>
          <cell r="E3118" t="str">
            <v>CB</v>
          </cell>
          <cell r="F3118" t="b">
            <v>0</v>
          </cell>
          <cell r="G3118">
            <v>26399.899268219298</v>
          </cell>
          <cell r="H3118">
            <v>26026.0286732897</v>
          </cell>
          <cell r="I3118">
            <v>152</v>
          </cell>
          <cell r="J3118">
            <v>1.2843941721143101E-4</v>
          </cell>
          <cell r="K3118">
            <v>1042</v>
          </cell>
          <cell r="L3118">
            <v>2226.2507668252201</v>
          </cell>
          <cell r="M3118">
            <v>395</v>
          </cell>
          <cell r="N3118">
            <v>0.21931211086784799</v>
          </cell>
          <cell r="O3118">
            <v>284</v>
          </cell>
          <cell r="P3118">
            <v>0.08</v>
          </cell>
          <cell r="Q3118">
            <v>1659</v>
          </cell>
        </row>
        <row r="3119">
          <cell r="B3119" t="str">
            <v>SNEATH LANE 110134438</v>
          </cell>
          <cell r="C3119">
            <v>22721101</v>
          </cell>
          <cell r="D3119" t="str">
            <v>SNEATH LANE 1101</v>
          </cell>
          <cell r="E3119">
            <v>34438</v>
          </cell>
          <cell r="F3119" t="b">
            <v>0</v>
          </cell>
          <cell r="G3119">
            <v>8258.6725024997795</v>
          </cell>
          <cell r="H3119">
            <v>3709.6211438650098</v>
          </cell>
          <cell r="I3119">
            <v>67</v>
          </cell>
          <cell r="J3119">
            <v>3.7308450982304597E-5</v>
          </cell>
          <cell r="K3119">
            <v>3309</v>
          </cell>
          <cell r="L3119">
            <v>6.5492192422276094E-2</v>
          </cell>
          <cell r="M3119">
            <v>3373</v>
          </cell>
          <cell r="N3119">
            <v>2.45451335970419E-6</v>
          </cell>
          <cell r="O3119">
            <v>3469</v>
          </cell>
          <cell r="P3119">
            <v>0.06</v>
          </cell>
          <cell r="Q3119">
            <v>1800</v>
          </cell>
        </row>
        <row r="3120">
          <cell r="B3120" t="str">
            <v>SNEATH LANE 110168070</v>
          </cell>
          <cell r="C3120">
            <v>22721101</v>
          </cell>
          <cell r="D3120" t="str">
            <v>SNEATH LANE 1101</v>
          </cell>
          <cell r="E3120">
            <v>68070</v>
          </cell>
          <cell r="F3120" t="b">
            <v>1</v>
          </cell>
          <cell r="G3120">
            <v>3445.6938525403102</v>
          </cell>
          <cell r="H3120">
            <v>373.70935257909599</v>
          </cell>
          <cell r="I3120">
            <v>30</v>
          </cell>
          <cell r="J3120">
            <v>3.3641879872447998E-5</v>
          </cell>
          <cell r="K3120">
            <v>3372</v>
          </cell>
          <cell r="L3120">
            <v>6.5232651432355196E-2</v>
          </cell>
          <cell r="M3120">
            <v>3488</v>
          </cell>
          <cell r="N3120">
            <v>2.1952820519399899E-6</v>
          </cell>
          <cell r="O3120">
            <v>3491</v>
          </cell>
          <cell r="P3120">
            <v>0.02</v>
          </cell>
          <cell r="Q3120">
            <v>2503</v>
          </cell>
        </row>
        <row r="3121">
          <cell r="B3121" t="str">
            <v>SNEATH LANE 1101CB</v>
          </cell>
          <cell r="C3121">
            <v>22721101</v>
          </cell>
          <cell r="D3121" t="str">
            <v>SNEATH LANE 1101</v>
          </cell>
          <cell r="E3121" t="str">
            <v>CB</v>
          </cell>
          <cell r="F3121" t="b">
            <v>1</v>
          </cell>
          <cell r="G3121">
            <v>1584.8668117178299</v>
          </cell>
          <cell r="H3121">
            <v>745.31661559949396</v>
          </cell>
          <cell r="I3121">
            <v>19</v>
          </cell>
          <cell r="J3121">
            <v>3.5327122746179197E-5</v>
          </cell>
          <cell r="K3121">
            <v>3345</v>
          </cell>
          <cell r="L3121">
            <v>6.5349872175015894E-2</v>
          </cell>
          <cell r="M3121">
            <v>3437</v>
          </cell>
          <cell r="N3121">
            <v>2.3127178633148502E-6</v>
          </cell>
          <cell r="O3121">
            <v>3479</v>
          </cell>
          <cell r="P3121">
            <v>0.02</v>
          </cell>
          <cell r="Q3121">
            <v>2415</v>
          </cell>
        </row>
        <row r="3122">
          <cell r="B3122" t="str">
            <v>SNEATH LANE 110275844</v>
          </cell>
          <cell r="C3122">
            <v>22721102</v>
          </cell>
          <cell r="D3122" t="str">
            <v>SNEATH LANE 1102</v>
          </cell>
          <cell r="E3122">
            <v>75844</v>
          </cell>
          <cell r="F3122" t="b">
            <v>1</v>
          </cell>
          <cell r="G3122">
            <v>864.71671422240399</v>
          </cell>
          <cell r="H3122">
            <v>272.68441680573898</v>
          </cell>
          <cell r="I3122">
            <v>10</v>
          </cell>
          <cell r="J3122">
            <v>3.5678320000442898E-5</v>
          </cell>
          <cell r="K3122">
            <v>3340</v>
          </cell>
          <cell r="L3122">
            <v>6.5275482088327397E-2</v>
          </cell>
          <cell r="M3122">
            <v>3470</v>
          </cell>
          <cell r="N3122">
            <v>2.3270717071790002E-6</v>
          </cell>
          <cell r="O3122">
            <v>3477</v>
          </cell>
          <cell r="P3122">
            <v>0.02</v>
          </cell>
          <cell r="Q3122">
            <v>2485</v>
          </cell>
        </row>
        <row r="3123">
          <cell r="B3123" t="str">
            <v>SNEATH LANE 1102CB</v>
          </cell>
          <cell r="C3123">
            <v>22721102</v>
          </cell>
          <cell r="D3123" t="str">
            <v>SNEATH LANE 1102</v>
          </cell>
          <cell r="E3123" t="str">
            <v>CB</v>
          </cell>
          <cell r="F3123" t="b">
            <v>0</v>
          </cell>
          <cell r="G3123">
            <v>4044.2650619466999</v>
          </cell>
          <cell r="H3123">
            <v>2195.0073543560702</v>
          </cell>
          <cell r="I3123">
            <v>37</v>
          </cell>
          <cell r="J3123">
            <v>4.3121240637309201E-5</v>
          </cell>
          <cell r="K3123">
            <v>3206</v>
          </cell>
          <cell r="L3123">
            <v>6.5702631062752495E-2</v>
          </cell>
          <cell r="M3123">
            <v>3309</v>
          </cell>
          <cell r="N3123">
            <v>2.84585927935797E-6</v>
          </cell>
          <cell r="O3123">
            <v>3431</v>
          </cell>
          <cell r="P3123">
            <v>0.02</v>
          </cell>
          <cell r="Q3123">
            <v>2448</v>
          </cell>
        </row>
        <row r="3124">
          <cell r="B3124" t="str">
            <v>SNEATH LANE 1106CB</v>
          </cell>
          <cell r="C3124">
            <v>22721106</v>
          </cell>
          <cell r="D3124" t="str">
            <v>SNEATH LANE 1106</v>
          </cell>
          <cell r="E3124" t="str">
            <v>CB</v>
          </cell>
          <cell r="F3124" t="b">
            <v>0</v>
          </cell>
          <cell r="G3124">
            <v>9891.2144651357503</v>
          </cell>
          <cell r="H3124">
            <v>4885.2684885029503</v>
          </cell>
          <cell r="I3124">
            <v>66</v>
          </cell>
          <cell r="J3124">
            <v>2.8183245325224901E-5</v>
          </cell>
          <cell r="K3124">
            <v>3454</v>
          </cell>
          <cell r="L3124">
            <v>23.841600211619401</v>
          </cell>
          <cell r="M3124">
            <v>2402</v>
          </cell>
          <cell r="N3124">
            <v>1.26564175243543E-3</v>
          </cell>
          <cell r="O3124">
            <v>2588</v>
          </cell>
          <cell r="P3124">
            <v>0.03</v>
          </cell>
          <cell r="Q3124">
            <v>2371</v>
          </cell>
        </row>
        <row r="3125">
          <cell r="B3125" t="str">
            <v>SNEATH LANE 11071277</v>
          </cell>
          <cell r="C3125">
            <v>22721107</v>
          </cell>
          <cell r="D3125" t="str">
            <v>SNEATH LANE 1107</v>
          </cell>
          <cell r="E3125">
            <v>1277</v>
          </cell>
          <cell r="F3125" t="b">
            <v>1</v>
          </cell>
          <cell r="G3125">
            <v>3471.3767388742799</v>
          </cell>
          <cell r="H3125">
            <v>0</v>
          </cell>
          <cell r="I3125">
            <v>30</v>
          </cell>
          <cell r="J3125">
            <v>4.0209021586508298E-5</v>
          </cell>
          <cell r="K3125">
            <v>3263</v>
          </cell>
          <cell r="L3125">
            <v>12.7259124306341</v>
          </cell>
          <cell r="M3125">
            <v>2574</v>
          </cell>
          <cell r="N3125">
            <v>1.0179574677351201E-3</v>
          </cell>
          <cell r="O3125">
            <v>2624</v>
          </cell>
          <cell r="P3125">
            <v>0.04</v>
          </cell>
          <cell r="Q3125">
            <v>2212</v>
          </cell>
        </row>
        <row r="3126">
          <cell r="B3126" t="str">
            <v>SNEATH LANE 110715341</v>
          </cell>
          <cell r="C3126">
            <v>22721107</v>
          </cell>
          <cell r="D3126" t="str">
            <v>SNEATH LANE 1107</v>
          </cell>
          <cell r="E3126">
            <v>15341</v>
          </cell>
          <cell r="F3126" t="b">
            <v>1</v>
          </cell>
          <cell r="G3126">
            <v>2075.96947757818</v>
          </cell>
          <cell r="H3126">
            <v>391.27653639060298</v>
          </cell>
          <cell r="I3126">
            <v>18</v>
          </cell>
          <cell r="J3126">
            <v>3.4322431348401599E-5</v>
          </cell>
          <cell r="K3126">
            <v>3363</v>
          </cell>
          <cell r="L3126">
            <v>5.3371859428783202</v>
          </cell>
          <cell r="M3126">
            <v>2738</v>
          </cell>
          <cell r="N3126">
            <v>1.18588627192101E-4</v>
          </cell>
          <cell r="O3126">
            <v>2866</v>
          </cell>
          <cell r="P3126">
            <v>0.74</v>
          </cell>
          <cell r="Q3126">
            <v>792</v>
          </cell>
        </row>
        <row r="3127">
          <cell r="B3127" t="str">
            <v>SNEATH LANE 110748338</v>
          </cell>
          <cell r="C3127">
            <v>22721107</v>
          </cell>
          <cell r="D3127" t="str">
            <v>SNEATH LANE 1107</v>
          </cell>
          <cell r="E3127">
            <v>48338</v>
          </cell>
          <cell r="F3127" t="b">
            <v>1</v>
          </cell>
          <cell r="G3127">
            <v>1760.6636468499701</v>
          </cell>
          <cell r="H3127">
            <v>181.15174331722301</v>
          </cell>
          <cell r="I3127">
            <v>17</v>
          </cell>
          <cell r="J3127">
            <v>2.2363854360960101E-5</v>
          </cell>
          <cell r="K3127">
            <v>3515</v>
          </cell>
          <cell r="L3127">
            <v>6.5146990120410905E-2</v>
          </cell>
          <cell r="M3127">
            <v>3613</v>
          </cell>
          <cell r="N3127">
            <v>1.4569377991077801E-6</v>
          </cell>
          <cell r="O3127">
            <v>3550</v>
          </cell>
          <cell r="P3127">
            <v>0.03</v>
          </cell>
          <cell r="Q3127">
            <v>2329</v>
          </cell>
        </row>
        <row r="3128">
          <cell r="B3128" t="str">
            <v>SNEATH LANE 1107CB</v>
          </cell>
          <cell r="C3128">
            <v>22721107</v>
          </cell>
          <cell r="D3128" t="str">
            <v>SNEATH LANE 1107</v>
          </cell>
          <cell r="E3128" t="str">
            <v>CB</v>
          </cell>
          <cell r="F3128" t="b">
            <v>0</v>
          </cell>
          <cell r="G3128">
            <v>6249.0561222479</v>
          </cell>
          <cell r="H3128">
            <v>1615.0563981883799</v>
          </cell>
          <cell r="I3128">
            <v>45</v>
          </cell>
          <cell r="J3128">
            <v>3.6368460031452603E-5</v>
          </cell>
          <cell r="K3128">
            <v>3327</v>
          </cell>
          <cell r="L3128">
            <v>61.4823427001635</v>
          </cell>
          <cell r="M3128">
            <v>2144</v>
          </cell>
          <cell r="N3128">
            <v>3.1210175573012102E-3</v>
          </cell>
          <cell r="O3128">
            <v>2336</v>
          </cell>
          <cell r="P3128">
            <v>0.03</v>
          </cell>
          <cell r="Q3128">
            <v>2317</v>
          </cell>
        </row>
        <row r="3129">
          <cell r="B3129" t="str">
            <v>SO. CAL. EDISON #3 1101CB</v>
          </cell>
          <cell r="C3129">
            <v>258861101</v>
          </cell>
          <cell r="D3129" t="str">
            <v>SO. CAL. EDISON #3 1101</v>
          </cell>
          <cell r="E3129" t="str">
            <v>CB</v>
          </cell>
          <cell r="F3129" t="b">
            <v>0</v>
          </cell>
          <cell r="G3129">
            <v>13738.364493074299</v>
          </cell>
          <cell r="H3129">
            <v>13738.364493074299</v>
          </cell>
          <cell r="I3129">
            <v>32</v>
          </cell>
          <cell r="J3129">
            <v>4.0321710669862397E-5</v>
          </cell>
          <cell r="K3129">
            <v>3260</v>
          </cell>
          <cell r="L3129">
            <v>5713.5203232695103</v>
          </cell>
          <cell r="M3129">
            <v>42</v>
          </cell>
          <cell r="N3129">
            <v>0.218685951527715</v>
          </cell>
          <cell r="O3129">
            <v>286</v>
          </cell>
          <cell r="P3129">
            <v>0.06</v>
          </cell>
          <cell r="Q3129">
            <v>1881</v>
          </cell>
        </row>
        <row r="3130">
          <cell r="B3130" t="str">
            <v>SOBRANTE 110142914</v>
          </cell>
          <cell r="C3130">
            <v>14671101</v>
          </cell>
          <cell r="D3130" t="str">
            <v>SOBRANTE 1101</v>
          </cell>
          <cell r="E3130">
            <v>42914</v>
          </cell>
          <cell r="F3130" t="b">
            <v>1</v>
          </cell>
          <cell r="G3130">
            <v>6917.2251904970899</v>
          </cell>
          <cell r="H3130">
            <v>665.64254494341799</v>
          </cell>
          <cell r="I3130">
            <v>51</v>
          </cell>
          <cell r="J3130">
            <v>8.6589273751087602E-5</v>
          </cell>
          <cell r="K3130">
            <v>2021</v>
          </cell>
          <cell r="L3130">
            <v>6.5332385583955904E-2</v>
          </cell>
          <cell r="M3130">
            <v>3443</v>
          </cell>
          <cell r="N3130">
            <v>5.6576873109526596E-6</v>
          </cell>
          <cell r="O3130">
            <v>3232</v>
          </cell>
          <cell r="P3130">
            <v>0.03</v>
          </cell>
          <cell r="Q3130">
            <v>2387</v>
          </cell>
        </row>
        <row r="3131">
          <cell r="B3131" t="str">
            <v>SOBRANTE 1101CB</v>
          </cell>
          <cell r="C3131">
            <v>14671101</v>
          </cell>
          <cell r="D3131" t="str">
            <v>SOBRANTE 1101</v>
          </cell>
          <cell r="E3131" t="str">
            <v>CB</v>
          </cell>
          <cell r="F3131" t="b">
            <v>0</v>
          </cell>
          <cell r="G3131">
            <v>24857.151660682601</v>
          </cell>
          <cell r="H3131">
            <v>22896.455734365602</v>
          </cell>
          <cell r="I3131">
            <v>209</v>
          </cell>
          <cell r="J3131">
            <v>9.1120653779013899E-5</v>
          </cell>
          <cell r="K3131">
            <v>1876</v>
          </cell>
          <cell r="L3131">
            <v>1.2034367050517301</v>
          </cell>
          <cell r="M3131">
            <v>2878</v>
          </cell>
          <cell r="N3131">
            <v>1.29654601165391E-4</v>
          </cell>
          <cell r="O3131">
            <v>2861</v>
          </cell>
          <cell r="P3131">
            <v>0.08</v>
          </cell>
          <cell r="Q3131">
            <v>1613</v>
          </cell>
        </row>
        <row r="3132">
          <cell r="B3132" t="str">
            <v>SOBRANTE 1101L534R</v>
          </cell>
          <cell r="C3132">
            <v>14671101</v>
          </cell>
          <cell r="D3132" t="str">
            <v>SOBRANTE 1101</v>
          </cell>
          <cell r="E3132" t="str">
            <v>L534R</v>
          </cell>
          <cell r="F3132" t="b">
            <v>0</v>
          </cell>
          <cell r="G3132">
            <v>3066.0904419456801</v>
          </cell>
          <cell r="H3132">
            <v>1291.9265635674001</v>
          </cell>
          <cell r="I3132">
            <v>34</v>
          </cell>
          <cell r="J3132">
            <v>4.75531084756606E-5</v>
          </cell>
          <cell r="K3132">
            <v>3099</v>
          </cell>
          <cell r="L3132">
            <v>6.5525710018193198E-2</v>
          </cell>
          <cell r="M3132">
            <v>3358</v>
          </cell>
          <cell r="N3132">
            <v>3.1282454545944099E-6</v>
          </cell>
          <cell r="O3132">
            <v>3398</v>
          </cell>
          <cell r="P3132">
            <v>0.06</v>
          </cell>
          <cell r="Q3132">
            <v>1853</v>
          </cell>
        </row>
        <row r="3133">
          <cell r="B3133" t="str">
            <v>SOBRANTE 1102690098</v>
          </cell>
          <cell r="C3133">
            <v>14671102</v>
          </cell>
          <cell r="D3133" t="str">
            <v>SOBRANTE 1102</v>
          </cell>
          <cell r="E3133">
            <v>690098</v>
          </cell>
          <cell r="F3133" t="b">
            <v>0</v>
          </cell>
          <cell r="G3133">
            <v>12079.139690304801</v>
          </cell>
          <cell r="H3133">
            <v>11883.963622379801</v>
          </cell>
          <cell r="I3133">
            <v>108</v>
          </cell>
          <cell r="J3133">
            <v>8.8852396065366995E-5</v>
          </cell>
          <cell r="K3133">
            <v>1957</v>
          </cell>
          <cell r="L3133">
            <v>0.94645477365703901</v>
          </cell>
          <cell r="M3133">
            <v>2898</v>
          </cell>
          <cell r="N3133">
            <v>6.66839447777494E-5</v>
          </cell>
          <cell r="O3133">
            <v>2894</v>
          </cell>
          <cell r="Q3133">
            <v>2672</v>
          </cell>
        </row>
        <row r="3134">
          <cell r="B3134" t="str">
            <v>SOBRANTE 1102CB</v>
          </cell>
          <cell r="C3134">
            <v>14671102</v>
          </cell>
          <cell r="D3134" t="str">
            <v>SOBRANTE 1102</v>
          </cell>
          <cell r="E3134" t="str">
            <v>CB</v>
          </cell>
          <cell r="F3134" t="b">
            <v>0</v>
          </cell>
          <cell r="G3134">
            <v>16799.286783617001</v>
          </cell>
          <cell r="H3134">
            <v>16799.286783617001</v>
          </cell>
          <cell r="I3134">
            <v>132</v>
          </cell>
          <cell r="J3134">
            <v>9.6670639818925794E-5</v>
          </cell>
          <cell r="K3134">
            <v>1719</v>
          </cell>
          <cell r="L3134">
            <v>1.68680690457786</v>
          </cell>
          <cell r="M3134">
            <v>2854</v>
          </cell>
          <cell r="N3134">
            <v>7.4596601537976306E-5</v>
          </cell>
          <cell r="O3134">
            <v>2886</v>
          </cell>
          <cell r="P3134">
            <v>0.13</v>
          </cell>
          <cell r="Q3134">
            <v>1339</v>
          </cell>
        </row>
        <row r="3135">
          <cell r="B3135" t="str">
            <v>SOBRANTE 1102L510R</v>
          </cell>
          <cell r="C3135">
            <v>14671102</v>
          </cell>
          <cell r="D3135" t="str">
            <v>SOBRANTE 1102</v>
          </cell>
          <cell r="E3135" t="str">
            <v>L510R</v>
          </cell>
          <cell r="F3135" t="b">
            <v>0</v>
          </cell>
          <cell r="G3135">
            <v>15698.8958021287</v>
          </cell>
          <cell r="H3135">
            <v>15538.9501232084</v>
          </cell>
          <cell r="I3135">
            <v>136</v>
          </cell>
          <cell r="J3135">
            <v>8.2413156305579698E-5</v>
          </cell>
          <cell r="K3135">
            <v>2142</v>
          </cell>
          <cell r="L3135">
            <v>0.241291329847963</v>
          </cell>
          <cell r="M3135">
            <v>2927</v>
          </cell>
          <cell r="N3135">
            <v>2.6158384546421201E-5</v>
          </cell>
          <cell r="O3135">
            <v>2948</v>
          </cell>
          <cell r="P3135">
            <v>0.21</v>
          </cell>
          <cell r="Q3135">
            <v>1146</v>
          </cell>
        </row>
        <row r="3136">
          <cell r="B3136" t="str">
            <v>SOBRANTE 1103CB</v>
          </cell>
          <cell r="C3136">
            <v>14671103</v>
          </cell>
          <cell r="D3136" t="str">
            <v>SOBRANTE 1103</v>
          </cell>
          <cell r="E3136" t="str">
            <v>CB</v>
          </cell>
          <cell r="F3136" t="b">
            <v>0</v>
          </cell>
          <cell r="G3136">
            <v>6937.6269844205199</v>
          </cell>
          <cell r="H3136">
            <v>6745.7700341976897</v>
          </cell>
          <cell r="I3136">
            <v>55</v>
          </cell>
          <cell r="J3136">
            <v>9.8690940715393704E-5</v>
          </cell>
          <cell r="K3136">
            <v>1677</v>
          </cell>
          <cell r="L3136">
            <v>3.0905468918135099</v>
          </cell>
          <cell r="M3136">
            <v>2808</v>
          </cell>
          <cell r="N3136">
            <v>1.80244583294443E-4</v>
          </cell>
          <cell r="O3136">
            <v>2845</v>
          </cell>
          <cell r="P3136">
            <v>0.1</v>
          </cell>
          <cell r="Q3136">
            <v>1500</v>
          </cell>
        </row>
        <row r="3137">
          <cell r="B3137" t="str">
            <v>SOBRANTE 1103N510R</v>
          </cell>
          <cell r="C3137">
            <v>14671103</v>
          </cell>
          <cell r="D3137" t="str">
            <v>SOBRANTE 1103</v>
          </cell>
          <cell r="E3137" t="str">
            <v>N510R</v>
          </cell>
          <cell r="F3137" t="b">
            <v>1</v>
          </cell>
          <cell r="G3137">
            <v>1403.2370154036</v>
          </cell>
          <cell r="H3137">
            <v>401.747140608758</v>
          </cell>
          <cell r="I3137">
            <v>15</v>
          </cell>
          <cell r="J3137">
            <v>1.25622305980262E-4</v>
          </cell>
          <cell r="K3137">
            <v>1086</v>
          </cell>
          <cell r="L3137">
            <v>6.5412019408474201E-2</v>
          </cell>
          <cell r="M3137">
            <v>3409</v>
          </cell>
          <cell r="N3137">
            <v>8.2223656744837694E-6</v>
          </cell>
          <cell r="O3137">
            <v>3116</v>
          </cell>
          <cell r="P3137">
            <v>0.19</v>
          </cell>
          <cell r="Q3137">
            <v>1183</v>
          </cell>
        </row>
        <row r="3138">
          <cell r="B3138" t="str">
            <v>SOLEDAD 1114413916</v>
          </cell>
          <cell r="C3138">
            <v>182051114</v>
          </cell>
          <cell r="D3138" t="str">
            <v>SOLEDAD 1114</v>
          </cell>
          <cell r="E3138">
            <v>413916</v>
          </cell>
          <cell r="F3138" t="b">
            <v>0</v>
          </cell>
          <cell r="G3138">
            <v>6367.8068088830096</v>
          </cell>
          <cell r="H3138">
            <v>2275.8898179062098</v>
          </cell>
          <cell r="I3138">
            <v>24</v>
          </cell>
          <cell r="J3138">
            <v>2.8420873870042299E-5</v>
          </cell>
          <cell r="K3138">
            <v>3448</v>
          </cell>
          <cell r="L3138">
            <v>60.5802893651028</v>
          </cell>
          <cell r="M3138">
            <v>2151</v>
          </cell>
          <cell r="N3138">
            <v>3.6247652776098299E-3</v>
          </cell>
          <cell r="O3138">
            <v>2284</v>
          </cell>
          <cell r="Q3138">
            <v>3529</v>
          </cell>
        </row>
        <row r="3139">
          <cell r="B3139" t="str">
            <v>SOLEDAD 2101125484</v>
          </cell>
          <cell r="C3139">
            <v>182052101</v>
          </cell>
          <cell r="D3139" t="str">
            <v>SOLEDAD 2101</v>
          </cell>
          <cell r="E3139">
            <v>125484</v>
          </cell>
          <cell r="F3139" t="b">
            <v>0</v>
          </cell>
          <cell r="G3139">
            <v>2451.8279593965499</v>
          </cell>
          <cell r="H3139">
            <v>1202.5461832625001</v>
          </cell>
          <cell r="I3139">
            <v>4</v>
          </cell>
          <cell r="J3139">
            <v>1.3036401469434999E-5</v>
          </cell>
          <cell r="K3139">
            <v>3600</v>
          </cell>
          <cell r="L3139">
            <v>11.9509093072265</v>
          </cell>
          <cell r="M3139">
            <v>2589</v>
          </cell>
          <cell r="N3139">
            <v>8.4928231773499704E-7</v>
          </cell>
          <cell r="O3139">
            <v>3604</v>
          </cell>
          <cell r="Q3139">
            <v>3614</v>
          </cell>
        </row>
        <row r="3140">
          <cell r="B3140" t="str">
            <v>SOLEDAD 2101315500</v>
          </cell>
          <cell r="C3140">
            <v>182052101</v>
          </cell>
          <cell r="D3140" t="str">
            <v>SOLEDAD 2101</v>
          </cell>
          <cell r="E3140">
            <v>315500</v>
          </cell>
          <cell r="F3140" t="b">
            <v>0</v>
          </cell>
          <cell r="G3140">
            <v>5515.1950396601997</v>
          </cell>
          <cell r="H3140">
            <v>1783.0287598984501</v>
          </cell>
          <cell r="I3140">
            <v>22</v>
          </cell>
          <cell r="J3140">
            <v>2.1144077631366301E-5</v>
          </cell>
          <cell r="K3140">
            <v>3532</v>
          </cell>
          <cell r="L3140">
            <v>19.952200517396999</v>
          </cell>
          <cell r="M3140">
            <v>2450</v>
          </cell>
          <cell r="N3140">
            <v>1.4578436059675E-3</v>
          </cell>
          <cell r="O3140">
            <v>2566</v>
          </cell>
          <cell r="Q3140">
            <v>3335</v>
          </cell>
        </row>
        <row r="3141">
          <cell r="B3141" t="str">
            <v>SOLEDAD 2101404754</v>
          </cell>
          <cell r="C3141">
            <v>182052101</v>
          </cell>
          <cell r="D3141" t="str">
            <v>SOLEDAD 2101</v>
          </cell>
          <cell r="E3141">
            <v>404754</v>
          </cell>
          <cell r="F3141" t="b">
            <v>0</v>
          </cell>
          <cell r="G3141">
            <v>1404.0352958507999</v>
          </cell>
          <cell r="H3141">
            <v>1388.0333708184901</v>
          </cell>
          <cell r="I3141">
            <v>2</v>
          </cell>
          <cell r="J3141">
            <v>8.7568614617339302E-6</v>
          </cell>
          <cell r="K3141">
            <v>3616</v>
          </cell>
          <cell r="L3141">
            <v>6.5789449959993307E-2</v>
          </cell>
          <cell r="M3141">
            <v>3284</v>
          </cell>
          <cell r="N3141">
            <v>5.7048316713338695E-7</v>
          </cell>
          <cell r="O3141">
            <v>3617</v>
          </cell>
          <cell r="Q3141">
            <v>3630</v>
          </cell>
        </row>
        <row r="3142">
          <cell r="B3142" t="str">
            <v>SOLEDAD 2101526864</v>
          </cell>
          <cell r="C3142">
            <v>182052101</v>
          </cell>
          <cell r="D3142" t="str">
            <v>SOLEDAD 2101</v>
          </cell>
          <cell r="E3142">
            <v>526864</v>
          </cell>
          <cell r="F3142" t="b">
            <v>0</v>
          </cell>
          <cell r="G3142">
            <v>5659.73547855169</v>
          </cell>
          <cell r="H3142">
            <v>5008.6837311665604</v>
          </cell>
          <cell r="I3142">
            <v>18</v>
          </cell>
          <cell r="J3142">
            <v>5.2603135372919401E-5</v>
          </cell>
          <cell r="K3142">
            <v>2980</v>
          </cell>
          <cell r="L3142">
            <v>261.81609386536798</v>
          </cell>
          <cell r="M3142">
            <v>1518</v>
          </cell>
          <cell r="N3142">
            <v>1.24081984967194E-2</v>
          </cell>
          <cell r="O3142">
            <v>1869</v>
          </cell>
          <cell r="Q3142">
            <v>2901</v>
          </cell>
        </row>
        <row r="3143">
          <cell r="B3143" t="str">
            <v>SOLEDAD 2102304826</v>
          </cell>
          <cell r="C3143">
            <v>182052102</v>
          </cell>
          <cell r="D3143" t="str">
            <v>SOLEDAD 2102</v>
          </cell>
          <cell r="E3143">
            <v>304826</v>
          </cell>
          <cell r="F3143" t="b">
            <v>0</v>
          </cell>
          <cell r="G3143">
            <v>14243.578099095999</v>
          </cell>
          <cell r="H3143">
            <v>8398.3076294935599</v>
          </cell>
          <cell r="I3143">
            <v>61</v>
          </cell>
          <cell r="J3143">
            <v>1.8550859615478598E-5</v>
          </cell>
          <cell r="K3143">
            <v>3558</v>
          </cell>
          <cell r="L3143">
            <v>384.60239313664903</v>
          </cell>
          <cell r="M3143">
            <v>1312</v>
          </cell>
          <cell r="N3143">
            <v>1.0995048037585199E-2</v>
          </cell>
          <cell r="O3143">
            <v>1919</v>
          </cell>
          <cell r="Q3143">
            <v>2949</v>
          </cell>
        </row>
        <row r="3144">
          <cell r="B3144" t="str">
            <v>SOLEDAD 2102346006</v>
          </cell>
          <cell r="C3144">
            <v>182052102</v>
          </cell>
          <cell r="D3144" t="str">
            <v>SOLEDAD 2102</v>
          </cell>
          <cell r="E3144">
            <v>346006</v>
          </cell>
          <cell r="F3144" t="b">
            <v>0</v>
          </cell>
          <cell r="G3144">
            <v>3918.30732333375</v>
          </cell>
          <cell r="H3144">
            <v>3650.4624922080998</v>
          </cell>
          <cell r="I3144">
            <v>5</v>
          </cell>
          <cell r="J3144">
            <v>7.7555298048537197E-5</v>
          </cell>
          <cell r="K3144">
            <v>2277</v>
          </cell>
          <cell r="L3144">
            <v>3061.2642616271901</v>
          </cell>
          <cell r="M3144">
            <v>262</v>
          </cell>
          <cell r="N3144">
            <v>0.247648778930778</v>
          </cell>
          <cell r="O3144">
            <v>220</v>
          </cell>
          <cell r="Q3144">
            <v>3479</v>
          </cell>
        </row>
        <row r="3145">
          <cell r="B3145" t="str">
            <v>SOLEDAD 21027008</v>
          </cell>
          <cell r="C3145">
            <v>182052102</v>
          </cell>
          <cell r="D3145" t="str">
            <v>SOLEDAD 2102</v>
          </cell>
          <cell r="E3145">
            <v>7008</v>
          </cell>
          <cell r="F3145" t="b">
            <v>0</v>
          </cell>
          <cell r="G3145">
            <v>29112.578789122901</v>
          </cell>
          <cell r="H3145">
            <v>8088.7008394747299</v>
          </cell>
          <cell r="I3145">
            <v>122</v>
          </cell>
          <cell r="J3145">
            <v>2.17495243338712E-5</v>
          </cell>
          <cell r="K3145">
            <v>3523</v>
          </cell>
          <cell r="L3145">
            <v>36.263916670835798</v>
          </cell>
          <cell r="M3145">
            <v>2302</v>
          </cell>
          <cell r="N3145">
            <v>1.8473219632968499E-3</v>
          </cell>
          <cell r="O3145">
            <v>2493</v>
          </cell>
          <cell r="P3145">
            <v>0.03</v>
          </cell>
          <cell r="Q3145">
            <v>2381</v>
          </cell>
        </row>
        <row r="3146">
          <cell r="B3146" t="str">
            <v>SOLEDAD 21027048</v>
          </cell>
          <cell r="C3146">
            <v>182052102</v>
          </cell>
          <cell r="D3146" t="str">
            <v>SOLEDAD 2102</v>
          </cell>
          <cell r="E3146">
            <v>7048</v>
          </cell>
          <cell r="F3146" t="b">
            <v>0</v>
          </cell>
          <cell r="G3146">
            <v>47036.8755283598</v>
          </cell>
          <cell r="H3146">
            <v>18663.287687447501</v>
          </cell>
          <cell r="I3146">
            <v>173</v>
          </cell>
          <cell r="J3146">
            <v>4.4640598600701999E-5</v>
          </cell>
          <cell r="K3146">
            <v>3172</v>
          </cell>
          <cell r="L3146">
            <v>271.614663779821</v>
          </cell>
          <cell r="M3146">
            <v>1491</v>
          </cell>
          <cell r="N3146">
            <v>1.5069383479818199E-2</v>
          </cell>
          <cell r="O3146">
            <v>1779</v>
          </cell>
          <cell r="P3146">
            <v>0.05</v>
          </cell>
          <cell r="Q3146">
            <v>2050</v>
          </cell>
        </row>
        <row r="3147">
          <cell r="B3147" t="str">
            <v>SOLEDAD 2102823854</v>
          </cell>
          <cell r="C3147">
            <v>182052102</v>
          </cell>
          <cell r="D3147" t="str">
            <v>SOLEDAD 2102</v>
          </cell>
          <cell r="E3147">
            <v>823854</v>
          </cell>
          <cell r="F3147" t="b">
            <v>0</v>
          </cell>
          <cell r="G3147">
            <v>6899.0553230761097</v>
          </cell>
          <cell r="H3147">
            <v>3307.42066646076</v>
          </cell>
          <cell r="I3147">
            <v>33</v>
          </cell>
          <cell r="J3147">
            <v>3.9519365615095903E-5</v>
          </cell>
          <cell r="K3147">
            <v>3276</v>
          </cell>
          <cell r="L3147">
            <v>363.60413074561097</v>
          </cell>
          <cell r="M3147">
            <v>1348</v>
          </cell>
          <cell r="N3147">
            <v>1.4370338600209399E-2</v>
          </cell>
          <cell r="O3147">
            <v>1805</v>
          </cell>
          <cell r="Q3147">
            <v>2786</v>
          </cell>
        </row>
        <row r="3148">
          <cell r="B3148" t="str">
            <v>SOLEDAD 2102858388</v>
          </cell>
          <cell r="C3148">
            <v>182052102</v>
          </cell>
          <cell r="D3148" t="str">
            <v>SOLEDAD 2102</v>
          </cell>
          <cell r="E3148">
            <v>858388</v>
          </cell>
          <cell r="F3148" t="b">
            <v>0</v>
          </cell>
          <cell r="G3148">
            <v>13234.651858499001</v>
          </cell>
          <cell r="H3148">
            <v>7717.2674916271599</v>
          </cell>
          <cell r="I3148">
            <v>72</v>
          </cell>
          <cell r="J3148">
            <v>2.6749375170048701E-5</v>
          </cell>
          <cell r="K3148">
            <v>3476</v>
          </cell>
          <cell r="L3148">
            <v>315.52062379591399</v>
          </cell>
          <cell r="M3148">
            <v>1423</v>
          </cell>
          <cell r="N3148">
            <v>1.3047477925705901E-2</v>
          </cell>
          <cell r="O3148">
            <v>1845</v>
          </cell>
          <cell r="Q3148">
            <v>2860</v>
          </cell>
        </row>
        <row r="3149">
          <cell r="B3149" t="str">
            <v>SOLEDAD 2102955138</v>
          </cell>
          <cell r="C3149">
            <v>182052102</v>
          </cell>
          <cell r="D3149" t="str">
            <v>SOLEDAD 2102</v>
          </cell>
          <cell r="E3149">
            <v>955138</v>
          </cell>
          <cell r="F3149" t="b">
            <v>0</v>
          </cell>
          <cell r="G3149">
            <v>4475.7731542646698</v>
          </cell>
          <cell r="H3149">
            <v>4227.5123695786197</v>
          </cell>
          <cell r="I3149">
            <v>16</v>
          </cell>
          <cell r="J3149">
            <v>6.7551412712418796E-5</v>
          </cell>
          <cell r="K3149">
            <v>2548</v>
          </cell>
          <cell r="L3149">
            <v>1883.3994158138501</v>
          </cell>
          <cell r="M3149">
            <v>478</v>
          </cell>
          <cell r="N3149">
            <v>0.12515103180245099</v>
          </cell>
          <cell r="O3149">
            <v>623</v>
          </cell>
          <cell r="Q3149">
            <v>3270</v>
          </cell>
        </row>
        <row r="3150">
          <cell r="B3150" t="str">
            <v>SONOMA 1102113082</v>
          </cell>
          <cell r="C3150">
            <v>42721102</v>
          </cell>
          <cell r="D3150" t="str">
            <v>SONOMA 1102</v>
          </cell>
          <cell r="E3150">
            <v>113082</v>
          </cell>
          <cell r="F3150" t="b">
            <v>0</v>
          </cell>
          <cell r="G3150">
            <v>11746.8209208516</v>
          </cell>
          <cell r="H3150">
            <v>9857.3648413901501</v>
          </cell>
          <cell r="I3150">
            <v>75</v>
          </cell>
          <cell r="J3150">
            <v>8.9487294414235903E-5</v>
          </cell>
          <cell r="K3150">
            <v>1932</v>
          </cell>
          <cell r="L3150">
            <v>142.62530460765501</v>
          </cell>
          <cell r="M3150">
            <v>1799</v>
          </cell>
          <cell r="N3150">
            <v>1.2534932129716E-2</v>
          </cell>
          <cell r="O3150">
            <v>1860</v>
          </cell>
          <cell r="Q3150">
            <v>3001</v>
          </cell>
        </row>
        <row r="3151">
          <cell r="B3151" t="str">
            <v>SONOMA 11033052</v>
          </cell>
          <cell r="C3151">
            <v>42721103</v>
          </cell>
          <cell r="D3151" t="str">
            <v>SONOMA 1103</v>
          </cell>
          <cell r="E3151">
            <v>3052</v>
          </cell>
          <cell r="F3151" t="b">
            <v>0</v>
          </cell>
          <cell r="G3151">
            <v>25170.0534067812</v>
          </cell>
          <cell r="H3151">
            <v>20257.093017704101</v>
          </cell>
          <cell r="I3151">
            <v>163</v>
          </cell>
          <cell r="J3151">
            <v>9.5442510778496496E-5</v>
          </cell>
          <cell r="K3151">
            <v>1745</v>
          </cell>
          <cell r="L3151">
            <v>138.267816532712</v>
          </cell>
          <cell r="M3151">
            <v>1815</v>
          </cell>
          <cell r="N3151">
            <v>1.27945657226949E-2</v>
          </cell>
          <cell r="O3151">
            <v>1850</v>
          </cell>
          <cell r="P3151">
            <v>0.66</v>
          </cell>
          <cell r="Q3151">
            <v>820</v>
          </cell>
        </row>
        <row r="3152">
          <cell r="B3152" t="str">
            <v>SONOMA 1103581588</v>
          </cell>
          <cell r="C3152">
            <v>42721103</v>
          </cell>
          <cell r="D3152" t="str">
            <v>SONOMA 1103</v>
          </cell>
          <cell r="E3152">
            <v>581588</v>
          </cell>
          <cell r="F3152" t="b">
            <v>1</v>
          </cell>
          <cell r="G3152">
            <v>1519.7137228429699</v>
          </cell>
          <cell r="H3152">
            <v>313.01427804927698</v>
          </cell>
          <cell r="I3152">
            <v>14</v>
          </cell>
          <cell r="J3152">
            <v>1.17511671955331E-4</v>
          </cell>
          <cell r="K3152">
            <v>1235</v>
          </cell>
          <cell r="L3152">
            <v>44.207916035278799</v>
          </cell>
          <cell r="M3152">
            <v>2251</v>
          </cell>
          <cell r="N3152">
            <v>6.9584785289197697E-3</v>
          </cell>
          <cell r="O3152">
            <v>2095</v>
          </cell>
          <cell r="Q3152">
            <v>3376</v>
          </cell>
        </row>
        <row r="3153">
          <cell r="B3153" t="str">
            <v>SONOMA 1104414</v>
          </cell>
          <cell r="C3153">
            <v>42721104</v>
          </cell>
          <cell r="D3153" t="str">
            <v>SONOMA 1104</v>
          </cell>
          <cell r="E3153">
            <v>414</v>
          </cell>
          <cell r="F3153" t="b">
            <v>0</v>
          </cell>
          <cell r="G3153">
            <v>35132.367507837502</v>
          </cell>
          <cell r="H3153">
            <v>2113.8048195708998</v>
          </cell>
          <cell r="I3153">
            <v>260</v>
          </cell>
          <cell r="J3153">
            <v>5.60003197335624E-5</v>
          </cell>
          <cell r="K3153">
            <v>2889</v>
          </cell>
          <cell r="L3153">
            <v>105.792386609771</v>
          </cell>
          <cell r="M3153">
            <v>1925</v>
          </cell>
          <cell r="N3153">
            <v>9.9909854641499294E-3</v>
          </cell>
          <cell r="O3153">
            <v>1959</v>
          </cell>
          <cell r="P3153">
            <v>1.9</v>
          </cell>
          <cell r="Q3153">
            <v>632</v>
          </cell>
        </row>
        <row r="3154">
          <cell r="B3154" t="str">
            <v>SONOMA 11045661</v>
          </cell>
          <cell r="C3154">
            <v>42721104</v>
          </cell>
          <cell r="D3154" t="str">
            <v>SONOMA 1104</v>
          </cell>
          <cell r="E3154">
            <v>5661</v>
          </cell>
          <cell r="F3154" t="b">
            <v>0</v>
          </cell>
          <cell r="G3154">
            <v>8173.4896822601404</v>
          </cell>
          <cell r="H3154">
            <v>4658.2662705762204</v>
          </cell>
          <cell r="I3154">
            <v>66</v>
          </cell>
          <cell r="J3154">
            <v>8.6363966740023103E-5</v>
          </cell>
          <cell r="K3154">
            <v>2026</v>
          </cell>
          <cell r="L3154">
            <v>169.04651952645699</v>
          </cell>
          <cell r="M3154">
            <v>1721</v>
          </cell>
          <cell r="N3154">
            <v>1.4289174097975499E-2</v>
          </cell>
          <cell r="O3154">
            <v>1810</v>
          </cell>
          <cell r="P3154">
            <v>1.66</v>
          </cell>
          <cell r="Q3154">
            <v>657</v>
          </cell>
        </row>
        <row r="3155">
          <cell r="B3155" t="str">
            <v>SONOMA 110478372</v>
          </cell>
          <cell r="C3155">
            <v>42721104</v>
          </cell>
          <cell r="D3155" t="str">
            <v>SONOMA 1104</v>
          </cell>
          <cell r="E3155">
            <v>78372</v>
          </cell>
          <cell r="F3155" t="b">
            <v>0</v>
          </cell>
          <cell r="G3155">
            <v>27765.209618944202</v>
          </cell>
          <cell r="H3155">
            <v>26751.808393269999</v>
          </cell>
          <cell r="I3155">
            <v>198</v>
          </cell>
          <cell r="J3155">
            <v>9.6399929327272902E-5</v>
          </cell>
          <cell r="K3155">
            <v>1722</v>
          </cell>
          <cell r="L3155">
            <v>422.93186758474002</v>
          </cell>
          <cell r="M3155">
            <v>1270</v>
          </cell>
          <cell r="N3155">
            <v>3.7303950495849197E-2</v>
          </cell>
          <cell r="O3155">
            <v>1334</v>
          </cell>
          <cell r="P3155">
            <v>0.18</v>
          </cell>
          <cell r="Q3155">
            <v>1212</v>
          </cell>
        </row>
        <row r="3156">
          <cell r="B3156" t="str">
            <v>SONOMA 1104914376</v>
          </cell>
          <cell r="C3156">
            <v>42721104</v>
          </cell>
          <cell r="D3156" t="str">
            <v>SONOMA 1104</v>
          </cell>
          <cell r="E3156">
            <v>914376</v>
          </cell>
          <cell r="F3156" t="b">
            <v>1</v>
          </cell>
          <cell r="G3156">
            <v>11215.185331896701</v>
          </cell>
          <cell r="H3156">
            <v>862.057683611475</v>
          </cell>
          <cell r="I3156">
            <v>93</v>
          </cell>
          <cell r="J3156">
            <v>8.1800957530269304E-5</v>
          </cell>
          <cell r="K3156">
            <v>2159</v>
          </cell>
          <cell r="L3156">
            <v>28.2405617460226</v>
          </cell>
          <cell r="M3156">
            <v>2357</v>
          </cell>
          <cell r="N3156">
            <v>2.4267317125767698E-3</v>
          </cell>
          <cell r="O3156">
            <v>2418</v>
          </cell>
          <cell r="P3156">
            <v>0.04</v>
          </cell>
          <cell r="Q3156">
            <v>2227</v>
          </cell>
        </row>
        <row r="3157">
          <cell r="B3157" t="str">
            <v>SONOMA 1105138</v>
          </cell>
          <cell r="C3157">
            <v>42721105</v>
          </cell>
          <cell r="D3157" t="str">
            <v>SONOMA 1105</v>
          </cell>
          <cell r="E3157">
            <v>138</v>
          </cell>
          <cell r="F3157" t="b">
            <v>1</v>
          </cell>
          <cell r="G3157">
            <v>26504.920029928599</v>
          </cell>
          <cell r="H3157">
            <v>104.04794814173199</v>
          </cell>
          <cell r="I3157">
            <v>197</v>
          </cell>
          <cell r="J3157">
            <v>6.5875313084132095E-5</v>
          </cell>
          <cell r="K3157">
            <v>2590</v>
          </cell>
          <cell r="L3157">
            <v>63.507965605992297</v>
          </cell>
          <cell r="M3157">
            <v>2131</v>
          </cell>
          <cell r="N3157">
            <v>6.7556328834506999E-3</v>
          </cell>
          <cell r="O3157">
            <v>2105</v>
          </cell>
          <cell r="P3157">
            <v>0.62</v>
          </cell>
          <cell r="Q3157">
            <v>838</v>
          </cell>
        </row>
        <row r="3158">
          <cell r="B3158" t="str">
            <v>SONOMA 1105229588</v>
          </cell>
          <cell r="C3158">
            <v>42721105</v>
          </cell>
          <cell r="D3158" t="str">
            <v>SONOMA 1105</v>
          </cell>
          <cell r="E3158">
            <v>229588</v>
          </cell>
          <cell r="F3158" t="b">
            <v>0</v>
          </cell>
          <cell r="G3158">
            <v>21565.396069505601</v>
          </cell>
          <cell r="H3158">
            <v>15531.0208102461</v>
          </cell>
          <cell r="I3158">
            <v>149</v>
          </cell>
          <cell r="J3158">
            <v>8.8674193153907106E-5</v>
          </cell>
          <cell r="K3158">
            <v>1963</v>
          </cell>
          <cell r="L3158">
            <v>1224.45126915379</v>
          </cell>
          <cell r="M3158">
            <v>716</v>
          </cell>
          <cell r="N3158">
            <v>0.10785748779394499</v>
          </cell>
          <cell r="O3158">
            <v>720</v>
          </cell>
          <cell r="Q3158">
            <v>3033</v>
          </cell>
        </row>
        <row r="3159">
          <cell r="B3159" t="str">
            <v>SONOMA 1105404</v>
          </cell>
          <cell r="C3159">
            <v>42721105</v>
          </cell>
          <cell r="D3159" t="str">
            <v>SONOMA 1105</v>
          </cell>
          <cell r="E3159">
            <v>404</v>
          </cell>
          <cell r="F3159" t="b">
            <v>0</v>
          </cell>
          <cell r="G3159">
            <v>7372.5748460808099</v>
          </cell>
          <cell r="H3159">
            <v>3785.8958967737999</v>
          </cell>
          <cell r="I3159">
            <v>63</v>
          </cell>
          <cell r="J3159">
            <v>6.9010835013325498E-5</v>
          </cell>
          <cell r="K3159">
            <v>2509</v>
          </cell>
          <cell r="L3159">
            <v>86.945883724217595</v>
          </cell>
          <cell r="M3159">
            <v>2016</v>
          </cell>
          <cell r="N3159">
            <v>6.5163936220895601E-3</v>
          </cell>
          <cell r="O3159">
            <v>2122</v>
          </cell>
          <cell r="P3159">
            <v>0.24</v>
          </cell>
          <cell r="Q3159">
            <v>1106</v>
          </cell>
        </row>
        <row r="3160">
          <cell r="B3160" t="str">
            <v>SONOMA 11054456</v>
          </cell>
          <cell r="C3160">
            <v>42721105</v>
          </cell>
          <cell r="D3160" t="str">
            <v>SONOMA 1105</v>
          </cell>
          <cell r="E3160">
            <v>4456</v>
          </cell>
          <cell r="F3160" t="b">
            <v>1</v>
          </cell>
          <cell r="G3160">
            <v>8052.7826902398901</v>
          </cell>
          <cell r="H3160">
            <v>0</v>
          </cell>
          <cell r="I3160">
            <v>62</v>
          </cell>
          <cell r="J3160">
            <v>4.4073032030177802E-5</v>
          </cell>
          <cell r="K3160">
            <v>3189</v>
          </cell>
          <cell r="L3160">
            <v>6.5151188800396706E-2</v>
          </cell>
          <cell r="M3160">
            <v>3562</v>
          </cell>
          <cell r="N3160">
            <v>2.8714104308040402E-6</v>
          </cell>
          <cell r="O3160">
            <v>3427</v>
          </cell>
          <cell r="P3160">
            <v>0.03</v>
          </cell>
          <cell r="Q3160">
            <v>2297</v>
          </cell>
        </row>
        <row r="3161">
          <cell r="B3161" t="str">
            <v>SONOMA 1105539450</v>
          </cell>
          <cell r="C3161">
            <v>42721105</v>
          </cell>
          <cell r="D3161" t="str">
            <v>SONOMA 1105</v>
          </cell>
          <cell r="E3161">
            <v>539450</v>
          </cell>
          <cell r="F3161" t="b">
            <v>0</v>
          </cell>
          <cell r="G3161">
            <v>3896.01083920876</v>
          </cell>
          <cell r="H3161">
            <v>2403.5481863945402</v>
          </cell>
          <cell r="I3161">
            <v>28</v>
          </cell>
          <cell r="J3161">
            <v>9.1165094415503301E-5</v>
          </cell>
          <cell r="K3161">
            <v>1874</v>
          </cell>
          <cell r="L3161">
            <v>148.54969986806699</v>
          </cell>
          <cell r="M3161">
            <v>1781</v>
          </cell>
          <cell r="N3161">
            <v>1.19775461317002E-2</v>
          </cell>
          <cell r="O3161">
            <v>1884</v>
          </cell>
          <cell r="Q3161">
            <v>2917</v>
          </cell>
        </row>
        <row r="3162">
          <cell r="B3162" t="str">
            <v>SONOMA 1105575872</v>
          </cell>
          <cell r="C3162">
            <v>42721105</v>
          </cell>
          <cell r="D3162" t="str">
            <v>SONOMA 1105</v>
          </cell>
          <cell r="E3162">
            <v>575872</v>
          </cell>
          <cell r="F3162" t="b">
            <v>0</v>
          </cell>
          <cell r="G3162">
            <v>2328.1768159552098</v>
          </cell>
          <cell r="H3162">
            <v>1906.8569528037899</v>
          </cell>
          <cell r="I3162">
            <v>12</v>
          </cell>
          <cell r="J3162">
            <v>1.05938612402193E-4</v>
          </cell>
          <cell r="K3162">
            <v>1497</v>
          </cell>
          <cell r="L3162">
            <v>157.66363923687101</v>
          </cell>
          <cell r="M3162">
            <v>1757</v>
          </cell>
          <cell r="N3162">
            <v>1.82794921071017E-2</v>
          </cell>
          <cell r="O3162">
            <v>1697</v>
          </cell>
          <cell r="Q3162">
            <v>3165</v>
          </cell>
        </row>
        <row r="3163">
          <cell r="B3163" t="str">
            <v>SONOMA 1106296492</v>
          </cell>
          <cell r="C3163">
            <v>42721106</v>
          </cell>
          <cell r="D3163" t="str">
            <v>SONOMA 1106</v>
          </cell>
          <cell r="E3163">
            <v>296492</v>
          </cell>
          <cell r="F3163" t="b">
            <v>0</v>
          </cell>
          <cell r="G3163">
            <v>3708.9492055881101</v>
          </cell>
          <cell r="H3163">
            <v>1270.5979224438499</v>
          </cell>
          <cell r="I3163">
            <v>29</v>
          </cell>
          <cell r="J3163">
            <v>7.4531538606000398E-5</v>
          </cell>
          <cell r="K3163">
            <v>2344</v>
          </cell>
          <cell r="L3163">
            <v>198.518111131719</v>
          </cell>
          <cell r="M3163">
            <v>1644</v>
          </cell>
          <cell r="N3163">
            <v>1.30922739404733E-2</v>
          </cell>
          <cell r="O3163">
            <v>1844</v>
          </cell>
          <cell r="Q3163">
            <v>3311</v>
          </cell>
        </row>
        <row r="3164">
          <cell r="B3164" t="str">
            <v>SONOMA 1106510055</v>
          </cell>
          <cell r="C3164">
            <v>42721106</v>
          </cell>
          <cell r="D3164" t="str">
            <v>SONOMA 1106</v>
          </cell>
          <cell r="E3164">
            <v>510055</v>
          </cell>
          <cell r="F3164" t="b">
            <v>1</v>
          </cell>
          <cell r="G3164">
            <v>1976.5066560620201</v>
          </cell>
          <cell r="H3164">
            <v>817.62032203804301</v>
          </cell>
          <cell r="I3164">
            <v>11</v>
          </cell>
          <cell r="J3164">
            <v>5.9312900803989598E-5</v>
          </cell>
          <cell r="K3164">
            <v>2794</v>
          </cell>
          <cell r="L3164">
            <v>33.150650134504197</v>
          </cell>
          <cell r="M3164">
            <v>2320</v>
          </cell>
          <cell r="N3164">
            <v>1.7488638016691801E-3</v>
          </cell>
          <cell r="O3164">
            <v>2510</v>
          </cell>
          <cell r="Q3164">
            <v>3426</v>
          </cell>
        </row>
        <row r="3165">
          <cell r="B3165" t="str">
            <v>SONOMA 1107294</v>
          </cell>
          <cell r="C3165">
            <v>42721107</v>
          </cell>
          <cell r="D3165" t="str">
            <v>SONOMA 1107</v>
          </cell>
          <cell r="E3165">
            <v>294</v>
          </cell>
          <cell r="F3165" t="b">
            <v>1</v>
          </cell>
          <cell r="G3165">
            <v>13929.630815165199</v>
          </cell>
          <cell r="H3165">
            <v>0</v>
          </cell>
          <cell r="I3165">
            <v>66</v>
          </cell>
          <cell r="J3165">
            <v>3.7558941585302798E-5</v>
          </cell>
          <cell r="K3165">
            <v>3303</v>
          </cell>
          <cell r="L3165">
            <v>12.294474050080099</v>
          </cell>
          <cell r="M3165">
            <v>2582</v>
          </cell>
          <cell r="N3165">
            <v>2.7430097090674699E-3</v>
          </cell>
          <cell r="O3165">
            <v>2376</v>
          </cell>
          <cell r="P3165">
            <v>1.46</v>
          </cell>
          <cell r="Q3165">
            <v>672</v>
          </cell>
        </row>
        <row r="3166">
          <cell r="B3166" t="str">
            <v>SONOMA 1107844168</v>
          </cell>
          <cell r="C3166">
            <v>42721107</v>
          </cell>
          <cell r="D3166" t="str">
            <v>SONOMA 1107</v>
          </cell>
          <cell r="E3166">
            <v>844168</v>
          </cell>
          <cell r="F3166" t="b">
            <v>0</v>
          </cell>
          <cell r="G3166">
            <v>18710.7044614513</v>
          </cell>
          <cell r="H3166">
            <v>7309.0201294418102</v>
          </cell>
          <cell r="I3166">
            <v>100</v>
          </cell>
          <cell r="J3166">
            <v>5.7955500953466199E-5</v>
          </cell>
          <cell r="K3166">
            <v>2836</v>
          </cell>
          <cell r="L3166">
            <v>877.03534621170002</v>
          </cell>
          <cell r="M3166">
            <v>894</v>
          </cell>
          <cell r="N3166">
            <v>5.9436974418152502E-2</v>
          </cell>
          <cell r="O3166">
            <v>1067</v>
          </cell>
          <cell r="Q3166">
            <v>3097</v>
          </cell>
        </row>
        <row r="3167">
          <cell r="B3167" t="str">
            <v>SONOMA 1107854266</v>
          </cell>
          <cell r="C3167">
            <v>42721107</v>
          </cell>
          <cell r="D3167" t="str">
            <v>SONOMA 1107</v>
          </cell>
          <cell r="E3167">
            <v>854266</v>
          </cell>
          <cell r="F3167" t="b">
            <v>1</v>
          </cell>
          <cell r="G3167">
            <v>966.26532819627403</v>
          </cell>
          <cell r="H3167">
            <v>321.41053040035001</v>
          </cell>
          <cell r="I3167">
            <v>6</v>
          </cell>
          <cell r="J3167">
            <v>9.5721796848617093E-5</v>
          </cell>
          <cell r="K3167">
            <v>1736</v>
          </cell>
          <cell r="L3167">
            <v>1072.26509697027</v>
          </cell>
          <cell r="M3167">
            <v>785</v>
          </cell>
          <cell r="N3167">
            <v>7.4827486145330302E-2</v>
          </cell>
          <cell r="O3167">
            <v>938</v>
          </cell>
          <cell r="Q3167">
            <v>3418</v>
          </cell>
        </row>
        <row r="3168">
          <cell r="B3168" t="str">
            <v>SPANISH CREEK 4401CB</v>
          </cell>
          <cell r="C3168">
            <v>103104401</v>
          </cell>
          <cell r="D3168" t="str">
            <v>SPANISH CREEK 4401</v>
          </cell>
          <cell r="E3168" t="str">
            <v>CB</v>
          </cell>
          <cell r="F3168" t="b">
            <v>0</v>
          </cell>
          <cell r="G3168">
            <v>12760.249254783599</v>
          </cell>
          <cell r="H3168">
            <v>12447.753817831201</v>
          </cell>
          <cell r="I3168">
            <v>22</v>
          </cell>
          <cell r="J3168">
            <v>1.2371454067761E-4</v>
          </cell>
          <cell r="K3168">
            <v>1125</v>
          </cell>
          <cell r="L3168">
            <v>391.27985403625701</v>
          </cell>
          <cell r="M3168">
            <v>1306</v>
          </cell>
          <cell r="N3168">
            <v>3.8701701887984302E-2</v>
          </cell>
          <cell r="O3168">
            <v>1322</v>
          </cell>
          <cell r="P3168">
            <v>6.72</v>
          </cell>
          <cell r="Q3168">
            <v>462</v>
          </cell>
        </row>
        <row r="3169">
          <cell r="B3169" t="str">
            <v>SPAULDING 1101578852</v>
          </cell>
          <cell r="C3169">
            <v>152251101</v>
          </cell>
          <cell r="D3169" t="str">
            <v>SPAULDING 1101</v>
          </cell>
          <cell r="E3169">
            <v>578852</v>
          </cell>
          <cell r="F3169" t="b">
            <v>0</v>
          </cell>
          <cell r="G3169">
            <v>38890.7673399501</v>
          </cell>
          <cell r="H3169">
            <v>33210.686654629397</v>
          </cell>
          <cell r="I3169">
            <v>173</v>
          </cell>
          <cell r="J3169">
            <v>9.1712497183006007E-5</v>
          </cell>
          <cell r="K3169">
            <v>1853</v>
          </cell>
          <cell r="L3169">
            <v>190.74662260472601</v>
          </cell>
          <cell r="M3169">
            <v>1661</v>
          </cell>
          <cell r="N3169">
            <v>2.4945532966480999E-2</v>
          </cell>
          <cell r="O3169">
            <v>1563</v>
          </cell>
          <cell r="P3169">
            <v>0</v>
          </cell>
          <cell r="Q3169">
            <v>2630</v>
          </cell>
        </row>
        <row r="3170">
          <cell r="B3170" t="str">
            <v>SPAULDING 1101CB</v>
          </cell>
          <cell r="C3170">
            <v>152251101</v>
          </cell>
          <cell r="D3170" t="str">
            <v>SPAULDING 1101</v>
          </cell>
          <cell r="E3170" t="str">
            <v>CB</v>
          </cell>
          <cell r="F3170" t="b">
            <v>1</v>
          </cell>
          <cell r="G3170">
            <v>56.748364115680303</v>
          </cell>
          <cell r="H3170">
            <v>56.748364115680303</v>
          </cell>
          <cell r="I3170">
            <v>1</v>
          </cell>
          <cell r="J3170">
            <v>1.60903364303521E-4</v>
          </cell>
          <cell r="K3170">
            <v>632</v>
          </cell>
          <cell r="L3170">
            <v>380.39581411075301</v>
          </cell>
          <cell r="M3170">
            <v>1320</v>
          </cell>
          <cell r="N3170">
            <v>6.1206966257397299E-2</v>
          </cell>
          <cell r="O3170">
            <v>1053</v>
          </cell>
          <cell r="Q3170">
            <v>3497</v>
          </cell>
        </row>
        <row r="3171">
          <cell r="B3171" t="str">
            <v>SPENCE 1102321000</v>
          </cell>
          <cell r="C3171">
            <v>182201102</v>
          </cell>
          <cell r="D3171" t="str">
            <v>SPENCE 1102</v>
          </cell>
          <cell r="E3171">
            <v>321000</v>
          </cell>
          <cell r="F3171" t="b">
            <v>0</v>
          </cell>
          <cell r="G3171">
            <v>4053.5113498651399</v>
          </cell>
          <cell r="H3171">
            <v>2330.3265786586699</v>
          </cell>
          <cell r="I3171">
            <v>13</v>
          </cell>
          <cell r="J3171">
            <v>3.5424900838384301E-5</v>
          </cell>
          <cell r="K3171">
            <v>3341</v>
          </cell>
          <cell r="L3171">
            <v>465.551627336786</v>
          </cell>
          <cell r="M3171">
            <v>1229</v>
          </cell>
          <cell r="N3171">
            <v>2.41869628777906E-2</v>
          </cell>
          <cell r="O3171">
            <v>1575</v>
          </cell>
          <cell r="Q3171">
            <v>3503</v>
          </cell>
        </row>
        <row r="3172">
          <cell r="B3172" t="str">
            <v>SPENCE 1102990464</v>
          </cell>
          <cell r="C3172">
            <v>182201102</v>
          </cell>
          <cell r="D3172" t="str">
            <v>SPENCE 1102</v>
          </cell>
          <cell r="E3172">
            <v>990464</v>
          </cell>
          <cell r="F3172" t="b">
            <v>0</v>
          </cell>
          <cell r="G3172">
            <v>8550.7922507909097</v>
          </cell>
          <cell r="H3172">
            <v>3365.9886861647601</v>
          </cell>
          <cell r="I3172">
            <v>53</v>
          </cell>
          <cell r="J3172">
            <v>2.9572284102989199E-5</v>
          </cell>
          <cell r="K3172">
            <v>3431</v>
          </cell>
          <cell r="L3172">
            <v>166.82025643241201</v>
          </cell>
          <cell r="M3172">
            <v>1728</v>
          </cell>
          <cell r="N3172">
            <v>6.7321152338397803E-3</v>
          </cell>
          <cell r="O3172">
            <v>2108</v>
          </cell>
          <cell r="Q3172">
            <v>3234</v>
          </cell>
        </row>
        <row r="3173">
          <cell r="B3173" t="str">
            <v>SPENCE 1104965598</v>
          </cell>
          <cell r="C3173">
            <v>182201104</v>
          </cell>
          <cell r="D3173" t="str">
            <v>SPENCE 1104</v>
          </cell>
          <cell r="E3173">
            <v>965598</v>
          </cell>
          <cell r="F3173" t="b">
            <v>0</v>
          </cell>
          <cell r="G3173">
            <v>25622.156271334301</v>
          </cell>
          <cell r="H3173">
            <v>14815.826611545701</v>
          </cell>
          <cell r="I3173">
            <v>139</v>
          </cell>
          <cell r="J3173">
            <v>4.3766397581840803E-5</v>
          </cell>
          <cell r="K3173">
            <v>3194</v>
          </cell>
          <cell r="L3173">
            <v>205.63958004084799</v>
          </cell>
          <cell r="M3173">
            <v>1624</v>
          </cell>
          <cell r="N3173">
            <v>9.7441685253857099E-3</v>
          </cell>
          <cell r="O3173">
            <v>1970</v>
          </cell>
          <cell r="Q3173">
            <v>2894</v>
          </cell>
        </row>
        <row r="3174">
          <cell r="B3174" t="str">
            <v>SPRING GAP 170210720</v>
          </cell>
          <cell r="C3174">
            <v>162831702</v>
          </cell>
          <cell r="D3174" t="str">
            <v>SPRING GAP 1702</v>
          </cell>
          <cell r="E3174">
            <v>10720</v>
          </cell>
          <cell r="F3174" t="b">
            <v>0</v>
          </cell>
          <cell r="G3174">
            <v>7675.0330330282404</v>
          </cell>
          <cell r="H3174">
            <v>7675.0330330282404</v>
          </cell>
          <cell r="I3174">
            <v>25</v>
          </cell>
          <cell r="J3174">
            <v>2.2157040912134101E-5</v>
          </cell>
          <cell r="K3174">
            <v>3517</v>
          </cell>
          <cell r="L3174">
            <v>32.396538384952301</v>
          </cell>
          <cell r="M3174">
            <v>2326</v>
          </cell>
          <cell r="N3174">
            <v>7.9114454355106996E-4</v>
          </cell>
          <cell r="O3174">
            <v>2672</v>
          </cell>
          <cell r="P3174">
            <v>23.43</v>
          </cell>
          <cell r="Q3174">
            <v>287</v>
          </cell>
        </row>
        <row r="3175">
          <cell r="B3175" t="str">
            <v>SPRING GAP 1702188426</v>
          </cell>
          <cell r="C3175">
            <v>162831702</v>
          </cell>
          <cell r="D3175" t="str">
            <v>SPRING GAP 1702</v>
          </cell>
          <cell r="E3175">
            <v>188426</v>
          </cell>
          <cell r="F3175" t="b">
            <v>1</v>
          </cell>
          <cell r="G3175">
            <v>4.5720336658748897</v>
          </cell>
          <cell r="H3175">
            <v>4.5720336658748897</v>
          </cell>
          <cell r="I3175">
            <v>1</v>
          </cell>
          <cell r="J3175">
            <v>1.18333155114669E-4</v>
          </cell>
          <cell r="K3175">
            <v>1221</v>
          </cell>
          <cell r="L3175">
            <v>665.68623669158399</v>
          </cell>
          <cell r="M3175">
            <v>1046</v>
          </cell>
          <cell r="N3175">
            <v>7.8772752704125704E-2</v>
          </cell>
          <cell r="O3175">
            <v>911</v>
          </cell>
          <cell r="Q3175">
            <v>3613</v>
          </cell>
        </row>
        <row r="3176">
          <cell r="B3176" t="str">
            <v>SPRING GAP 1702693441</v>
          </cell>
          <cell r="C3176">
            <v>162831702</v>
          </cell>
          <cell r="D3176" t="str">
            <v>SPRING GAP 1702</v>
          </cell>
          <cell r="E3176">
            <v>693441</v>
          </cell>
          <cell r="F3176" t="b">
            <v>0</v>
          </cell>
          <cell r="G3176">
            <v>6859.8350192722801</v>
          </cell>
          <cell r="H3176">
            <v>6859.8350192722801</v>
          </cell>
          <cell r="I3176">
            <v>59</v>
          </cell>
          <cell r="J3176">
            <v>4.9574753359331098E-5</v>
          </cell>
          <cell r="K3176">
            <v>3046</v>
          </cell>
          <cell r="L3176">
            <v>4.4985245298759198</v>
          </cell>
          <cell r="M3176">
            <v>2767</v>
          </cell>
          <cell r="N3176">
            <v>2.7928472758513101E-4</v>
          </cell>
          <cell r="O3176">
            <v>2805</v>
          </cell>
          <cell r="P3176">
            <v>0.28999999999999998</v>
          </cell>
          <cell r="Q3176">
            <v>1029</v>
          </cell>
        </row>
        <row r="3177">
          <cell r="B3177" t="str">
            <v>SPRING GAP 170286032</v>
          </cell>
          <cell r="C3177">
            <v>162831702</v>
          </cell>
          <cell r="D3177" t="str">
            <v>SPRING GAP 1702</v>
          </cell>
          <cell r="E3177">
            <v>86032</v>
          </cell>
          <cell r="F3177" t="b">
            <v>0</v>
          </cell>
          <cell r="G3177">
            <v>4656.0496810049599</v>
          </cell>
          <cell r="H3177">
            <v>1615.68401426278</v>
          </cell>
          <cell r="I3177">
            <v>23</v>
          </cell>
          <cell r="J3177">
            <v>2.81637261176238E-5</v>
          </cell>
          <cell r="K3177">
            <v>3455</v>
          </cell>
          <cell r="L3177">
            <v>3.5085181694426901</v>
          </cell>
          <cell r="M3177">
            <v>2793</v>
          </cell>
          <cell r="N3177">
            <v>8.5380369677779002E-5</v>
          </cell>
          <cell r="O3177">
            <v>2882</v>
          </cell>
          <cell r="P3177">
            <v>0.82</v>
          </cell>
          <cell r="Q3177">
            <v>770</v>
          </cell>
        </row>
        <row r="3178">
          <cell r="B3178" t="str">
            <v>SPRING GAP 17029280</v>
          </cell>
          <cell r="C3178">
            <v>162831702</v>
          </cell>
          <cell r="D3178" t="str">
            <v>SPRING GAP 1702</v>
          </cell>
          <cell r="E3178">
            <v>9280</v>
          </cell>
          <cell r="F3178" t="b">
            <v>0</v>
          </cell>
          <cell r="G3178">
            <v>10262.607097467901</v>
          </cell>
          <cell r="H3178">
            <v>10262.607097467901</v>
          </cell>
          <cell r="I3178">
            <v>80</v>
          </cell>
          <cell r="J3178">
            <v>8.3881207046943005E-5</v>
          </cell>
          <cell r="K3178">
            <v>2098</v>
          </cell>
          <cell r="L3178">
            <v>8.0900046560815309</v>
          </cell>
          <cell r="M3178">
            <v>2668</v>
          </cell>
          <cell r="N3178">
            <v>7.2123814805291901E-4</v>
          </cell>
          <cell r="O3178">
            <v>2681</v>
          </cell>
          <cell r="P3178">
            <v>2.82</v>
          </cell>
          <cell r="Q3178">
            <v>577</v>
          </cell>
        </row>
        <row r="3179">
          <cell r="B3179" t="str">
            <v>SPRING GAP 17029690</v>
          </cell>
          <cell r="C3179">
            <v>162831702</v>
          </cell>
          <cell r="D3179" t="str">
            <v>SPRING GAP 1702</v>
          </cell>
          <cell r="E3179">
            <v>9690</v>
          </cell>
          <cell r="F3179" t="b">
            <v>0</v>
          </cell>
          <cell r="G3179">
            <v>27916.583189156601</v>
          </cell>
          <cell r="H3179">
            <v>27916.583189156601</v>
          </cell>
          <cell r="I3179">
            <v>185</v>
          </cell>
          <cell r="J3179">
            <v>4.7987052618697302E-5</v>
          </cell>
          <cell r="K3179">
            <v>3093</v>
          </cell>
          <cell r="L3179">
            <v>9.3188402877770908</v>
          </cell>
          <cell r="M3179">
            <v>2639</v>
          </cell>
          <cell r="N3179">
            <v>3.1401973323175002E-4</v>
          </cell>
          <cell r="O3179">
            <v>2788</v>
          </cell>
          <cell r="P3179">
            <v>45.06</v>
          </cell>
          <cell r="Q3179">
            <v>151</v>
          </cell>
        </row>
        <row r="3180">
          <cell r="B3180" t="str">
            <v>SPRING GAP 1702CB</v>
          </cell>
          <cell r="C3180">
            <v>162831702</v>
          </cell>
          <cell r="D3180" t="str">
            <v>SPRING GAP 1702</v>
          </cell>
          <cell r="E3180" t="str">
            <v>CB</v>
          </cell>
          <cell r="F3180" t="b">
            <v>0</v>
          </cell>
          <cell r="G3180">
            <v>11971.740123837501</v>
          </cell>
          <cell r="H3180">
            <v>11971.740123837501</v>
          </cell>
          <cell r="I3180">
            <v>18</v>
          </cell>
          <cell r="J3180">
            <v>8.5096652128413498E-5</v>
          </cell>
          <cell r="K3180">
            <v>2056</v>
          </cell>
          <cell r="L3180">
            <v>173.08536321615401</v>
          </cell>
          <cell r="M3180">
            <v>1706</v>
          </cell>
          <cell r="N3180">
            <v>1.54217664937731E-2</v>
          </cell>
          <cell r="O3180">
            <v>1771</v>
          </cell>
          <cell r="P3180">
            <v>0.15</v>
          </cell>
          <cell r="Q3180">
            <v>1279</v>
          </cell>
        </row>
        <row r="3181">
          <cell r="B3181" t="str">
            <v>SPRUCE 0401BR316</v>
          </cell>
          <cell r="C3181">
            <v>13340401</v>
          </cell>
          <cell r="D3181" t="str">
            <v>SPRUCE 0401</v>
          </cell>
          <cell r="E3181" t="str">
            <v>BR316</v>
          </cell>
          <cell r="F3181" t="b">
            <v>0</v>
          </cell>
          <cell r="G3181">
            <v>6608.6921977985903</v>
          </cell>
          <cell r="H3181">
            <v>6608.6921977985903</v>
          </cell>
          <cell r="I3181">
            <v>56</v>
          </cell>
          <cell r="J3181">
            <v>3.0991278265446399E-5</v>
          </cell>
          <cell r="K3181">
            <v>3416</v>
          </cell>
          <cell r="L3181">
            <v>6.6431909799575806E-2</v>
          </cell>
          <cell r="M3181">
            <v>2970</v>
          </cell>
          <cell r="N3181">
            <v>2.05880980230369E-6</v>
          </cell>
          <cell r="O3181">
            <v>3505</v>
          </cell>
          <cell r="P3181">
            <v>0.12</v>
          </cell>
          <cell r="Q3181">
            <v>1388</v>
          </cell>
        </row>
        <row r="3182">
          <cell r="B3182" t="str">
            <v>SPRUCE 0402BR304</v>
          </cell>
          <cell r="C3182">
            <v>13340402</v>
          </cell>
          <cell r="D3182" t="str">
            <v>SPRUCE 0402</v>
          </cell>
          <cell r="E3182" t="str">
            <v>BR304</v>
          </cell>
          <cell r="F3182" t="b">
            <v>0</v>
          </cell>
          <cell r="G3182">
            <v>5760.7882330860602</v>
          </cell>
          <cell r="H3182">
            <v>2392.7286870866101</v>
          </cell>
          <cell r="I3182">
            <v>53</v>
          </cell>
          <cell r="J3182">
            <v>3.41510268614141E-5</v>
          </cell>
          <cell r="K3182">
            <v>3368</v>
          </cell>
          <cell r="L3182">
            <v>6.5680353006102005E-2</v>
          </cell>
          <cell r="M3182">
            <v>3316</v>
          </cell>
          <cell r="N3182">
            <v>2.2491810223007301E-6</v>
          </cell>
          <cell r="O3182">
            <v>3487</v>
          </cell>
          <cell r="P3182">
            <v>0.08</v>
          </cell>
          <cell r="Q3182">
            <v>1595</v>
          </cell>
        </row>
        <row r="3183">
          <cell r="B3183" t="str">
            <v>STAFFORD 11011082</v>
          </cell>
          <cell r="C3183">
            <v>43201101</v>
          </cell>
          <cell r="D3183" t="str">
            <v>STAFFORD 1101</v>
          </cell>
          <cell r="E3183">
            <v>1082</v>
          </cell>
          <cell r="F3183" t="b">
            <v>0</v>
          </cell>
          <cell r="G3183">
            <v>4959.0869115176802</v>
          </cell>
          <cell r="H3183">
            <v>2511.2326045494801</v>
          </cell>
          <cell r="I3183">
            <v>36</v>
          </cell>
          <cell r="J3183">
            <v>3.8219707726562299E-5</v>
          </cell>
          <cell r="K3183">
            <v>3296</v>
          </cell>
          <cell r="L3183">
            <v>64.770767514073398</v>
          </cell>
          <cell r="M3183">
            <v>2123</v>
          </cell>
          <cell r="N3183">
            <v>4.7619162687488597E-3</v>
          </cell>
          <cell r="O3183">
            <v>2216</v>
          </cell>
          <cell r="P3183">
            <v>1.65</v>
          </cell>
          <cell r="Q3183">
            <v>659</v>
          </cell>
        </row>
        <row r="3184">
          <cell r="B3184" t="str">
            <v>STAFFORD 1101344092</v>
          </cell>
          <cell r="C3184">
            <v>43201101</v>
          </cell>
          <cell r="D3184" t="str">
            <v>STAFFORD 1101</v>
          </cell>
          <cell r="E3184">
            <v>344092</v>
          </cell>
          <cell r="F3184" t="b">
            <v>1</v>
          </cell>
          <cell r="G3184">
            <v>131.10413635794399</v>
          </cell>
          <cell r="H3184">
            <v>115.31917211575799</v>
          </cell>
          <cell r="I3184">
            <v>2</v>
          </cell>
          <cell r="J3184">
            <v>1.86173543625045E-4</v>
          </cell>
          <cell r="K3184">
            <v>465</v>
          </cell>
          <cell r="L3184">
            <v>6.6431380861030107E-2</v>
          </cell>
          <cell r="M3184">
            <v>3037</v>
          </cell>
          <cell r="N3184">
            <v>1.2367765582802999E-5</v>
          </cell>
          <cell r="O3184">
            <v>3033</v>
          </cell>
          <cell r="Q3184">
            <v>3598</v>
          </cell>
        </row>
        <row r="3185">
          <cell r="B3185" t="str">
            <v>STAFFORD 1101405812</v>
          </cell>
          <cell r="C3185">
            <v>43201101</v>
          </cell>
          <cell r="D3185" t="str">
            <v>STAFFORD 1101</v>
          </cell>
          <cell r="E3185">
            <v>405812</v>
          </cell>
          <cell r="F3185" t="b">
            <v>1</v>
          </cell>
          <cell r="G3185">
            <v>695.37528377835395</v>
          </cell>
          <cell r="H3185">
            <v>295.24927915032498</v>
          </cell>
          <cell r="I3185">
            <v>7</v>
          </cell>
          <cell r="J3185">
            <v>4.5014516737345302E-5</v>
          </cell>
          <cell r="K3185">
            <v>3158</v>
          </cell>
          <cell r="L3185">
            <v>6.5516957960577604E-2</v>
          </cell>
          <cell r="M3185">
            <v>3362</v>
          </cell>
          <cell r="N3185">
            <v>2.9444907274849601E-6</v>
          </cell>
          <cell r="O3185">
            <v>3418</v>
          </cell>
          <cell r="Q3185">
            <v>3019</v>
          </cell>
        </row>
        <row r="3186">
          <cell r="B3186" t="str">
            <v>STAFFORD 1101803535</v>
          </cell>
          <cell r="C3186">
            <v>43201101</v>
          </cell>
          <cell r="D3186" t="str">
            <v>STAFFORD 1101</v>
          </cell>
          <cell r="E3186">
            <v>803535</v>
          </cell>
          <cell r="F3186" t="b">
            <v>1</v>
          </cell>
          <cell r="G3186">
            <v>262.49839801286601</v>
          </cell>
          <cell r="H3186">
            <v>262.49839801286601</v>
          </cell>
          <cell r="I3186">
            <v>3</v>
          </cell>
          <cell r="J3186">
            <v>7.8566886562233098E-5</v>
          </cell>
          <cell r="K3186">
            <v>2247</v>
          </cell>
          <cell r="L3186">
            <v>6.6431380861030107E-2</v>
          </cell>
          <cell r="M3186">
            <v>3038</v>
          </cell>
          <cell r="N3186">
            <v>5.2193067642810596E-6</v>
          </cell>
          <cell r="O3186">
            <v>3255</v>
          </cell>
          <cell r="Q3186">
            <v>3608</v>
          </cell>
        </row>
        <row r="3187">
          <cell r="B3187" t="str">
            <v>STAFFORD 1101902998</v>
          </cell>
          <cell r="C3187">
            <v>43201101</v>
          </cell>
          <cell r="D3187" t="str">
            <v>STAFFORD 1101</v>
          </cell>
          <cell r="E3187">
            <v>902998</v>
          </cell>
          <cell r="F3187" t="b">
            <v>0</v>
          </cell>
          <cell r="G3187">
            <v>9746.2747219346202</v>
          </cell>
          <cell r="H3187">
            <v>1732.2881828658501</v>
          </cell>
          <cell r="I3187">
            <v>81</v>
          </cell>
          <cell r="J3187">
            <v>3.5077932405913E-5</v>
          </cell>
          <cell r="K3187">
            <v>3350</v>
          </cell>
          <cell r="L3187">
            <v>6.5372456563962997E-2</v>
          </cell>
          <cell r="M3187">
            <v>3428</v>
          </cell>
          <cell r="N3187">
            <v>2.29811041380895E-6</v>
          </cell>
          <cell r="O3187">
            <v>3483</v>
          </cell>
          <cell r="Q3187">
            <v>2809</v>
          </cell>
        </row>
        <row r="3188">
          <cell r="B3188" t="str">
            <v>STAFFORD 1101CB</v>
          </cell>
          <cell r="C3188">
            <v>43201101</v>
          </cell>
          <cell r="D3188" t="str">
            <v>STAFFORD 1101</v>
          </cell>
          <cell r="E3188" t="str">
            <v>CB</v>
          </cell>
          <cell r="F3188" t="b">
            <v>0</v>
          </cell>
          <cell r="G3188">
            <v>19644.209633702299</v>
          </cell>
          <cell r="H3188">
            <v>2188.9816611404599</v>
          </cell>
          <cell r="I3188">
            <v>180</v>
          </cell>
          <cell r="J3188">
            <v>4.3869410516587401E-5</v>
          </cell>
          <cell r="K3188">
            <v>3192</v>
          </cell>
          <cell r="L3188">
            <v>3.8934491850614799</v>
          </cell>
          <cell r="M3188">
            <v>2779</v>
          </cell>
          <cell r="N3188">
            <v>8.19204363392206E-4</v>
          </cell>
          <cell r="O3188">
            <v>2669</v>
          </cell>
          <cell r="P3188">
            <v>0.05</v>
          </cell>
          <cell r="Q3188">
            <v>1928</v>
          </cell>
        </row>
        <row r="3189">
          <cell r="B3189" t="str">
            <v>STAFFORD 11021019</v>
          </cell>
          <cell r="C3189">
            <v>43201102</v>
          </cell>
          <cell r="D3189" t="str">
            <v>STAFFORD 1102</v>
          </cell>
          <cell r="E3189">
            <v>1019</v>
          </cell>
          <cell r="F3189" t="b">
            <v>1</v>
          </cell>
          <cell r="G3189">
            <v>1173.8688872922</v>
          </cell>
          <cell r="H3189">
            <v>432.07093182656502</v>
          </cell>
          <cell r="I3189">
            <v>10</v>
          </cell>
          <cell r="J3189">
            <v>2.9827800426573899E-5</v>
          </cell>
          <cell r="K3189">
            <v>3428</v>
          </cell>
          <cell r="L3189">
            <v>6.5279208006459893E-2</v>
          </cell>
          <cell r="M3189">
            <v>3468</v>
          </cell>
          <cell r="N3189">
            <v>1.9459948671732502E-6</v>
          </cell>
          <cell r="O3189">
            <v>3513</v>
          </cell>
          <cell r="P3189">
            <v>7.0000000000000007E-2</v>
          </cell>
          <cell r="Q3189">
            <v>1695</v>
          </cell>
        </row>
        <row r="3190">
          <cell r="B3190" t="str">
            <v>STAFFORD 11021048</v>
          </cell>
          <cell r="C3190">
            <v>43201102</v>
          </cell>
          <cell r="D3190" t="str">
            <v>STAFFORD 1102</v>
          </cell>
          <cell r="E3190">
            <v>1048</v>
          </cell>
          <cell r="F3190" t="b">
            <v>0</v>
          </cell>
          <cell r="G3190">
            <v>8484.8832036180793</v>
          </cell>
          <cell r="H3190">
            <v>8484.8832036180793</v>
          </cell>
          <cell r="I3190">
            <v>72</v>
          </cell>
          <cell r="J3190">
            <v>1.6147237641836801E-4</v>
          </cell>
          <cell r="K3190">
            <v>626</v>
          </cell>
          <cell r="L3190">
            <v>26.147384133267501</v>
          </cell>
          <cell r="M3190">
            <v>2375</v>
          </cell>
          <cell r="N3190">
            <v>3.9018481917730899E-3</v>
          </cell>
          <cell r="O3190">
            <v>2261</v>
          </cell>
          <cell r="P3190">
            <v>0.13</v>
          </cell>
          <cell r="Q3190">
            <v>1345</v>
          </cell>
        </row>
        <row r="3191">
          <cell r="B3191" t="str">
            <v>STAFFORD 11021202</v>
          </cell>
          <cell r="C3191">
            <v>43201102</v>
          </cell>
          <cell r="D3191" t="str">
            <v>STAFFORD 1102</v>
          </cell>
          <cell r="E3191">
            <v>1202</v>
          </cell>
          <cell r="F3191" t="b">
            <v>0</v>
          </cell>
          <cell r="G3191">
            <v>12713.8882483943</v>
          </cell>
          <cell r="H3191">
            <v>12713.8882483943</v>
          </cell>
          <cell r="I3191">
            <v>41</v>
          </cell>
          <cell r="J3191">
            <v>1.58567056085956E-4</v>
          </cell>
          <cell r="K3191">
            <v>657</v>
          </cell>
          <cell r="L3191">
            <v>2432.9018071168998</v>
          </cell>
          <cell r="M3191">
            <v>355</v>
          </cell>
          <cell r="N3191">
            <v>0.32327802243673798</v>
          </cell>
          <cell r="O3191">
            <v>112</v>
          </cell>
          <cell r="P3191">
            <v>2.4</v>
          </cell>
          <cell r="Q3191">
            <v>607</v>
          </cell>
        </row>
        <row r="3192">
          <cell r="B3192" t="str">
            <v>STAFFORD 11021258</v>
          </cell>
          <cell r="C3192">
            <v>43201102</v>
          </cell>
          <cell r="D3192" t="str">
            <v>STAFFORD 1102</v>
          </cell>
          <cell r="E3192">
            <v>1258</v>
          </cell>
          <cell r="F3192" t="b">
            <v>1</v>
          </cell>
          <cell r="G3192">
            <v>7855.2979847568404</v>
          </cell>
          <cell r="H3192">
            <v>501.92467536442501</v>
          </cell>
          <cell r="I3192">
            <v>65</v>
          </cell>
          <cell r="J3192">
            <v>3.9618989040508698E-5</v>
          </cell>
          <cell r="K3192">
            <v>3275</v>
          </cell>
          <cell r="L3192">
            <v>27.810979326298298</v>
          </cell>
          <cell r="M3192">
            <v>2365</v>
          </cell>
          <cell r="N3192">
            <v>3.11844571576564E-3</v>
          </cell>
          <cell r="O3192">
            <v>2337</v>
          </cell>
          <cell r="Q3192">
            <v>2726</v>
          </cell>
        </row>
        <row r="3193">
          <cell r="B3193" t="str">
            <v>STAFFORD 1102361952</v>
          </cell>
          <cell r="C3193">
            <v>43201102</v>
          </cell>
          <cell r="D3193" t="str">
            <v>STAFFORD 1102</v>
          </cell>
          <cell r="E3193">
            <v>361952</v>
          </cell>
          <cell r="F3193" t="b">
            <v>0</v>
          </cell>
          <cell r="G3193">
            <v>2196.58695115198</v>
          </cell>
          <cell r="H3193">
            <v>2196.58695115198</v>
          </cell>
          <cell r="I3193">
            <v>9</v>
          </cell>
          <cell r="J3193">
            <v>1.15453189614021E-4</v>
          </cell>
          <cell r="K3193">
            <v>1290</v>
          </cell>
          <cell r="L3193">
            <v>3151.4111403116199</v>
          </cell>
          <cell r="M3193">
            <v>248</v>
          </cell>
          <cell r="N3193">
            <v>0.39288432321601002</v>
          </cell>
          <cell r="O3193">
            <v>62</v>
          </cell>
          <cell r="P3193">
            <v>1.9</v>
          </cell>
          <cell r="Q3193">
            <v>631</v>
          </cell>
        </row>
        <row r="3194">
          <cell r="B3194" t="str">
            <v>STAFFORD 110242542</v>
          </cell>
          <cell r="C3194">
            <v>43201102</v>
          </cell>
          <cell r="D3194" t="str">
            <v>STAFFORD 1102</v>
          </cell>
          <cell r="E3194">
            <v>42542</v>
          </cell>
          <cell r="F3194" t="b">
            <v>1</v>
          </cell>
          <cell r="G3194">
            <v>5717.1489233488201</v>
          </cell>
          <cell r="H3194">
            <v>862.34829347754703</v>
          </cell>
          <cell r="I3194">
            <v>52</v>
          </cell>
          <cell r="J3194">
            <v>3.7507633316216403E-5</v>
          </cell>
          <cell r="K3194">
            <v>3304</v>
          </cell>
          <cell r="L3194">
            <v>6.5348141425109404E-2</v>
          </cell>
          <cell r="M3194">
            <v>3438</v>
          </cell>
          <cell r="N3194">
            <v>2.4650133490561699E-6</v>
          </cell>
          <cell r="O3194">
            <v>3468</v>
          </cell>
          <cell r="P3194">
            <v>0.03</v>
          </cell>
          <cell r="Q3194">
            <v>2335</v>
          </cell>
        </row>
        <row r="3195">
          <cell r="B3195" t="str">
            <v>STAFFORD 1102524</v>
          </cell>
          <cell r="C3195">
            <v>43201102</v>
          </cell>
          <cell r="D3195" t="str">
            <v>STAFFORD 1102</v>
          </cell>
          <cell r="E3195">
            <v>524</v>
          </cell>
          <cell r="F3195" t="b">
            <v>0</v>
          </cell>
          <cell r="G3195">
            <v>20718.9245163825</v>
          </cell>
          <cell r="H3195">
            <v>9871.5042064332993</v>
          </cell>
          <cell r="I3195">
            <v>162</v>
          </cell>
          <cell r="J3195">
            <v>9.4892363642884399E-5</v>
          </cell>
          <cell r="K3195">
            <v>1769</v>
          </cell>
          <cell r="L3195">
            <v>289.83402880727903</v>
          </cell>
          <cell r="M3195">
            <v>1464</v>
          </cell>
          <cell r="N3195">
            <v>2.5020388023406899E-2</v>
          </cell>
          <cell r="O3195">
            <v>1561</v>
          </cell>
          <cell r="P3195">
            <v>3.23</v>
          </cell>
          <cell r="Q3195">
            <v>553</v>
          </cell>
        </row>
        <row r="3196">
          <cell r="B3196" t="str">
            <v>STAFFORD 1102784704</v>
          </cell>
          <cell r="C3196">
            <v>43201102</v>
          </cell>
          <cell r="D3196" t="str">
            <v>STAFFORD 1102</v>
          </cell>
          <cell r="E3196">
            <v>784704</v>
          </cell>
          <cell r="F3196" t="b">
            <v>1</v>
          </cell>
          <cell r="G3196">
            <v>43.8834853520721</v>
          </cell>
          <cell r="H3196">
            <v>43.8834853520721</v>
          </cell>
          <cell r="I3196">
            <v>1</v>
          </cell>
          <cell r="J3196">
            <v>1.9095915195066401E-4</v>
          </cell>
          <cell r="K3196">
            <v>437</v>
          </cell>
          <cell r="L3196">
            <v>2953.5028511015498</v>
          </cell>
          <cell r="M3196">
            <v>279</v>
          </cell>
          <cell r="N3196">
            <v>0.56399839973022203</v>
          </cell>
          <cell r="O3196">
            <v>24</v>
          </cell>
          <cell r="P3196">
            <v>1.81</v>
          </cell>
          <cell r="Q3196">
            <v>641</v>
          </cell>
        </row>
        <row r="3197">
          <cell r="B3197" t="str">
            <v>STAFFORD 1102CB</v>
          </cell>
          <cell r="C3197">
            <v>43201102</v>
          </cell>
          <cell r="D3197" t="str">
            <v>STAFFORD 1102</v>
          </cell>
          <cell r="E3197" t="str">
            <v>CB</v>
          </cell>
          <cell r="F3197" t="b">
            <v>1</v>
          </cell>
          <cell r="G3197">
            <v>993.10917714080006</v>
          </cell>
          <cell r="H3197">
            <v>957.30270673537404</v>
          </cell>
          <cell r="I3197">
            <v>10</v>
          </cell>
          <cell r="J3197">
            <v>2.2667270422971301E-4</v>
          </cell>
          <cell r="K3197">
            <v>299</v>
          </cell>
          <cell r="L3197">
            <v>666.05182114251795</v>
          </cell>
          <cell r="M3197">
            <v>1045</v>
          </cell>
          <cell r="N3197">
            <v>0.101157882157475</v>
          </cell>
          <cell r="O3197">
            <v>755</v>
          </cell>
          <cell r="P3197">
            <v>1.1100000000000001</v>
          </cell>
          <cell r="Q3197">
            <v>714</v>
          </cell>
        </row>
        <row r="3198">
          <cell r="B3198" t="str">
            <v>STANISLAUS 17011331</v>
          </cell>
          <cell r="C3198">
            <v>162821701</v>
          </cell>
          <cell r="D3198" t="str">
            <v>STANISLAUS 1701</v>
          </cell>
          <cell r="E3198">
            <v>1331</v>
          </cell>
          <cell r="F3198" t="b">
            <v>0</v>
          </cell>
          <cell r="G3198">
            <v>7064.7733032522001</v>
          </cell>
          <cell r="H3198">
            <v>7064.7733032522001</v>
          </cell>
          <cell r="I3198">
            <v>63</v>
          </cell>
          <cell r="J3198">
            <v>1.05980663618769E-4</v>
          </cell>
          <cell r="K3198">
            <v>1495</v>
          </cell>
          <cell r="L3198">
            <v>12.141572224232</v>
          </cell>
          <cell r="M3198">
            <v>2583</v>
          </cell>
          <cell r="N3198">
            <v>1.5976577451721301E-3</v>
          </cell>
          <cell r="O3198">
            <v>2540</v>
          </cell>
          <cell r="P3198">
            <v>46.2</v>
          </cell>
          <cell r="Q3198">
            <v>144</v>
          </cell>
        </row>
        <row r="3199">
          <cell r="B3199" t="str">
            <v>STANISLAUS 17011812</v>
          </cell>
          <cell r="C3199">
            <v>162821701</v>
          </cell>
          <cell r="D3199" t="str">
            <v>STANISLAUS 1701</v>
          </cell>
          <cell r="E3199">
            <v>1812</v>
          </cell>
          <cell r="F3199" t="b">
            <v>0</v>
          </cell>
          <cell r="G3199">
            <v>30912.674474753701</v>
          </cell>
          <cell r="H3199">
            <v>30912.674474753701</v>
          </cell>
          <cell r="I3199">
            <v>234</v>
          </cell>
          <cell r="J3199">
            <v>1.3960195101934199E-4</v>
          </cell>
          <cell r="K3199">
            <v>878</v>
          </cell>
          <cell r="L3199">
            <v>157.21168113744801</v>
          </cell>
          <cell r="M3199">
            <v>1758</v>
          </cell>
          <cell r="N3199">
            <v>3.2657059134259397E-2</v>
          </cell>
          <cell r="O3199">
            <v>1412</v>
          </cell>
          <cell r="P3199">
            <v>0.91</v>
          </cell>
          <cell r="Q3199">
            <v>748</v>
          </cell>
        </row>
        <row r="3200">
          <cell r="B3200" t="str">
            <v>STANISLAUS 17017144</v>
          </cell>
          <cell r="C3200">
            <v>162821701</v>
          </cell>
          <cell r="D3200" t="str">
            <v>STANISLAUS 1701</v>
          </cell>
          <cell r="E3200">
            <v>7144</v>
          </cell>
          <cell r="F3200" t="b">
            <v>0</v>
          </cell>
          <cell r="G3200">
            <v>7491.0055229566697</v>
          </cell>
          <cell r="H3200">
            <v>7491.0055229566697</v>
          </cell>
          <cell r="I3200">
            <v>52</v>
          </cell>
          <cell r="J3200">
            <v>8.7334699856000898E-5</v>
          </cell>
          <cell r="K3200">
            <v>2005</v>
          </cell>
          <cell r="L3200">
            <v>376.541964062131</v>
          </cell>
          <cell r="M3200">
            <v>1327</v>
          </cell>
          <cell r="N3200">
            <v>2.0478566870276101E-2</v>
          </cell>
          <cell r="O3200">
            <v>1661</v>
          </cell>
          <cell r="P3200">
            <v>0.36</v>
          </cell>
          <cell r="Q3200">
            <v>967</v>
          </cell>
        </row>
        <row r="3201">
          <cell r="B3201" t="str">
            <v>STANISLAUS 170179826</v>
          </cell>
          <cell r="C3201">
            <v>162821701</v>
          </cell>
          <cell r="D3201" t="str">
            <v>STANISLAUS 1701</v>
          </cell>
          <cell r="E3201">
            <v>79826</v>
          </cell>
          <cell r="F3201" t="b">
            <v>0</v>
          </cell>
          <cell r="G3201">
            <v>16584.884197900901</v>
          </cell>
          <cell r="H3201">
            <v>16584.884197900901</v>
          </cell>
          <cell r="I3201">
            <v>95</v>
          </cell>
          <cell r="J3201">
            <v>1.5691341642640801E-4</v>
          </cell>
          <cell r="K3201">
            <v>673</v>
          </cell>
          <cell r="L3201">
            <v>91.847971706954993</v>
          </cell>
          <cell r="M3201">
            <v>1994</v>
          </cell>
          <cell r="N3201">
            <v>6.2158528295076796E-3</v>
          </cell>
          <cell r="O3201">
            <v>2142</v>
          </cell>
          <cell r="P3201">
            <v>0.15</v>
          </cell>
          <cell r="Q3201">
            <v>1290</v>
          </cell>
        </row>
        <row r="3202">
          <cell r="B3202" t="str">
            <v>STANISLAUS 1701CB</v>
          </cell>
          <cell r="C3202">
            <v>162821701</v>
          </cell>
          <cell r="D3202" t="str">
            <v>STANISLAUS 1701</v>
          </cell>
          <cell r="E3202" t="str">
            <v>CB</v>
          </cell>
          <cell r="F3202" t="b">
            <v>0</v>
          </cell>
          <cell r="G3202">
            <v>11032.7196165407</v>
          </cell>
          <cell r="H3202">
            <v>11032.7196165407</v>
          </cell>
          <cell r="I3202">
            <v>54</v>
          </cell>
          <cell r="J3202">
            <v>1.49181217736595E-4</v>
          </cell>
          <cell r="K3202">
            <v>748</v>
          </cell>
          <cell r="L3202">
            <v>2134.6994143086999</v>
          </cell>
          <cell r="M3202">
            <v>416</v>
          </cell>
          <cell r="N3202">
            <v>0.40353495090795899</v>
          </cell>
          <cell r="O3202">
            <v>56</v>
          </cell>
          <cell r="P3202">
            <v>0.11</v>
          </cell>
          <cell r="Q3202">
            <v>1422</v>
          </cell>
        </row>
        <row r="3203">
          <cell r="B3203" t="str">
            <v>STANISLAUS 17021804</v>
          </cell>
          <cell r="C3203">
            <v>162821702</v>
          </cell>
          <cell r="D3203" t="str">
            <v>STANISLAUS 1702</v>
          </cell>
          <cell r="E3203">
            <v>1804</v>
          </cell>
          <cell r="F3203" t="b">
            <v>0</v>
          </cell>
          <cell r="G3203">
            <v>13482.9013082615</v>
          </cell>
          <cell r="H3203">
            <v>13482.9013082615</v>
          </cell>
          <cell r="I3203">
            <v>118</v>
          </cell>
          <cell r="J3203">
            <v>1.00937205404033E-4</v>
          </cell>
          <cell r="K3203">
            <v>1626</v>
          </cell>
          <cell r="L3203">
            <v>6.3116540623692403</v>
          </cell>
          <cell r="M3203">
            <v>2706</v>
          </cell>
          <cell r="N3203">
            <v>5.89849702634652E-4</v>
          </cell>
          <cell r="O3203">
            <v>2712</v>
          </cell>
          <cell r="P3203">
            <v>106.77</v>
          </cell>
          <cell r="Q3203">
            <v>17</v>
          </cell>
        </row>
        <row r="3204">
          <cell r="B3204" t="str">
            <v>STANISLAUS 17021850</v>
          </cell>
          <cell r="C3204">
            <v>162821702</v>
          </cell>
          <cell r="D3204" t="str">
            <v>STANISLAUS 1702</v>
          </cell>
          <cell r="E3204">
            <v>1850</v>
          </cell>
          <cell r="F3204" t="b">
            <v>0</v>
          </cell>
          <cell r="G3204">
            <v>21661.181243241699</v>
          </cell>
          <cell r="H3204">
            <v>21661.181243241699</v>
          </cell>
          <cell r="I3204">
            <v>182</v>
          </cell>
          <cell r="J3204">
            <v>1.3941712309683101E-4</v>
          </cell>
          <cell r="K3204">
            <v>879</v>
          </cell>
          <cell r="L3204">
            <v>5.1604608884333603</v>
          </cell>
          <cell r="M3204">
            <v>2745</v>
          </cell>
          <cell r="N3204">
            <v>9.3341503728757997E-4</v>
          </cell>
          <cell r="O3204">
            <v>2651</v>
          </cell>
          <cell r="P3204">
            <v>73.2</v>
          </cell>
          <cell r="Q3204">
            <v>62</v>
          </cell>
        </row>
        <row r="3205">
          <cell r="B3205" t="str">
            <v>STANISLAUS 17021888</v>
          </cell>
          <cell r="C3205">
            <v>162821702</v>
          </cell>
          <cell r="D3205" t="str">
            <v>STANISLAUS 1702</v>
          </cell>
          <cell r="E3205">
            <v>1888</v>
          </cell>
          <cell r="F3205" t="b">
            <v>0</v>
          </cell>
          <cell r="G3205">
            <v>30440.005618143201</v>
          </cell>
          <cell r="H3205">
            <v>30440.005618143201</v>
          </cell>
          <cell r="I3205">
            <v>231</v>
          </cell>
          <cell r="J3205">
            <v>9.5589000322426096E-5</v>
          </cell>
          <cell r="K3205">
            <v>1738</v>
          </cell>
          <cell r="L3205">
            <v>52.657793919662701</v>
          </cell>
          <cell r="M3205">
            <v>2198</v>
          </cell>
          <cell r="N3205">
            <v>2.6855240207398199E-3</v>
          </cell>
          <cell r="O3205">
            <v>2386</v>
          </cell>
          <cell r="P3205">
            <v>136.25</v>
          </cell>
          <cell r="Q3205">
            <v>4</v>
          </cell>
        </row>
        <row r="3206">
          <cell r="B3206" t="str">
            <v>STANISLAUS 170237276</v>
          </cell>
          <cell r="C3206">
            <v>162821702</v>
          </cell>
          <cell r="D3206" t="str">
            <v>STANISLAUS 1702</v>
          </cell>
          <cell r="E3206">
            <v>37276</v>
          </cell>
          <cell r="F3206" t="b">
            <v>0</v>
          </cell>
          <cell r="G3206">
            <v>18746.468394131101</v>
          </cell>
          <cell r="H3206">
            <v>18746.468394131101</v>
          </cell>
          <cell r="I3206">
            <v>168</v>
          </cell>
          <cell r="J3206">
            <v>1.03109615868864E-4</v>
          </cell>
          <cell r="K3206">
            <v>1567</v>
          </cell>
          <cell r="L3206">
            <v>2.0474428165609901</v>
          </cell>
          <cell r="M3206">
            <v>2839</v>
          </cell>
          <cell r="N3206">
            <v>2.2047257194113899E-4</v>
          </cell>
          <cell r="O3206">
            <v>2825</v>
          </cell>
          <cell r="P3206">
            <v>88.82</v>
          </cell>
          <cell r="Q3206">
            <v>33</v>
          </cell>
        </row>
        <row r="3207">
          <cell r="B3207" t="str">
            <v>STANISLAUS 170237278</v>
          </cell>
          <cell r="C3207">
            <v>162821702</v>
          </cell>
          <cell r="D3207" t="str">
            <v>STANISLAUS 1702</v>
          </cell>
          <cell r="E3207">
            <v>37278</v>
          </cell>
          <cell r="F3207" t="b">
            <v>0</v>
          </cell>
          <cell r="G3207">
            <v>10929.440559496999</v>
          </cell>
          <cell r="H3207">
            <v>10929.440559496999</v>
          </cell>
          <cell r="I3207">
            <v>99</v>
          </cell>
          <cell r="J3207">
            <v>1.14013348708124E-4</v>
          </cell>
          <cell r="K3207">
            <v>1321</v>
          </cell>
          <cell r="L3207">
            <v>2.7081653583196998</v>
          </cell>
          <cell r="M3207">
            <v>2820</v>
          </cell>
          <cell r="N3207">
            <v>2.6317898829352003E-4</v>
          </cell>
          <cell r="O3207">
            <v>2810</v>
          </cell>
          <cell r="P3207">
            <v>62.81</v>
          </cell>
          <cell r="Q3207">
            <v>82</v>
          </cell>
        </row>
        <row r="3208">
          <cell r="B3208" t="str">
            <v>STANISLAUS 17024905</v>
          </cell>
          <cell r="C3208">
            <v>162821702</v>
          </cell>
          <cell r="D3208" t="str">
            <v>STANISLAUS 1702</v>
          </cell>
          <cell r="E3208">
            <v>4905</v>
          </cell>
          <cell r="F3208" t="b">
            <v>0</v>
          </cell>
          <cell r="G3208">
            <v>3704.1381671117101</v>
          </cell>
          <cell r="H3208">
            <v>3704.1381671117101</v>
          </cell>
          <cell r="I3208">
            <v>35</v>
          </cell>
          <cell r="J3208">
            <v>8.1260704194262097E-5</v>
          </cell>
          <cell r="K3208">
            <v>2174</v>
          </cell>
          <cell r="L3208">
            <v>6.1792667573433597</v>
          </cell>
          <cell r="M3208">
            <v>2710</v>
          </cell>
          <cell r="N3208">
            <v>3.8885222004372101E-4</v>
          </cell>
          <cell r="O3208">
            <v>2766</v>
          </cell>
          <cell r="P3208">
            <v>65.75</v>
          </cell>
          <cell r="Q3208">
            <v>75</v>
          </cell>
        </row>
        <row r="3209">
          <cell r="B3209" t="str">
            <v>STANISLAUS 17026028</v>
          </cell>
          <cell r="C3209">
            <v>162821702</v>
          </cell>
          <cell r="D3209" t="str">
            <v>STANISLAUS 1702</v>
          </cell>
          <cell r="E3209">
            <v>6028</v>
          </cell>
          <cell r="F3209" t="b">
            <v>0</v>
          </cell>
          <cell r="G3209">
            <v>13370.302584093501</v>
          </cell>
          <cell r="H3209">
            <v>13370.302584093501</v>
          </cell>
          <cell r="I3209">
            <v>115</v>
          </cell>
          <cell r="J3209">
            <v>1.15016706650637E-4</v>
          </cell>
          <cell r="K3209">
            <v>1298</v>
          </cell>
          <cell r="L3209">
            <v>6.8880012362173604</v>
          </cell>
          <cell r="M3209">
            <v>2688</v>
          </cell>
          <cell r="N3209">
            <v>8.1469946344612403E-4</v>
          </cell>
          <cell r="O3209">
            <v>2670</v>
          </cell>
          <cell r="P3209">
            <v>56.37</v>
          </cell>
          <cell r="Q3209">
            <v>98</v>
          </cell>
        </row>
        <row r="3210">
          <cell r="B3210" t="str">
            <v>STANISLAUS 170275348</v>
          </cell>
          <cell r="C3210">
            <v>162821702</v>
          </cell>
          <cell r="D3210" t="str">
            <v>STANISLAUS 1702</v>
          </cell>
          <cell r="E3210">
            <v>75348</v>
          </cell>
          <cell r="F3210" t="b">
            <v>0</v>
          </cell>
          <cell r="G3210">
            <v>8532.4043294594794</v>
          </cell>
          <cell r="H3210">
            <v>8532.4043294594794</v>
          </cell>
          <cell r="I3210">
            <v>77</v>
          </cell>
          <cell r="J3210">
            <v>8.3580562015602198E-5</v>
          </cell>
          <cell r="K3210">
            <v>2110</v>
          </cell>
          <cell r="L3210">
            <v>1.3013475179121501</v>
          </cell>
          <cell r="M3210">
            <v>2874</v>
          </cell>
          <cell r="N3210">
            <v>9.5481430741670199E-5</v>
          </cell>
          <cell r="O3210">
            <v>2878</v>
          </cell>
          <cell r="P3210">
            <v>79.37</v>
          </cell>
          <cell r="Q3210">
            <v>49</v>
          </cell>
        </row>
        <row r="3211">
          <cell r="B3211" t="str">
            <v>STANISLAUS 1702CB</v>
          </cell>
          <cell r="C3211">
            <v>162821702</v>
          </cell>
          <cell r="D3211" t="str">
            <v>STANISLAUS 1702</v>
          </cell>
          <cell r="E3211" t="str">
            <v>CB</v>
          </cell>
          <cell r="F3211" t="b">
            <v>0</v>
          </cell>
          <cell r="G3211">
            <v>13066.3243830916</v>
          </cell>
          <cell r="H3211">
            <v>13066.3243830916</v>
          </cell>
          <cell r="I3211">
            <v>67</v>
          </cell>
          <cell r="J3211">
            <v>1.5784529294712599E-4</v>
          </cell>
          <cell r="K3211">
            <v>665</v>
          </cell>
          <cell r="L3211">
            <v>1253.72715187931</v>
          </cell>
          <cell r="M3211">
            <v>700</v>
          </cell>
          <cell r="N3211">
            <v>0.24096046982687699</v>
          </cell>
          <cell r="O3211">
            <v>235</v>
          </cell>
          <cell r="P3211">
            <v>0.13</v>
          </cell>
          <cell r="Q3211">
            <v>1360</v>
          </cell>
        </row>
        <row r="3212">
          <cell r="B3212" t="str">
            <v>STANISLAUS 1702L3151</v>
          </cell>
          <cell r="C3212">
            <v>162821702</v>
          </cell>
          <cell r="D3212" t="str">
            <v>STANISLAUS 1702</v>
          </cell>
          <cell r="E3212" t="str">
            <v>L3151</v>
          </cell>
          <cell r="F3212" t="b">
            <v>0</v>
          </cell>
          <cell r="G3212">
            <v>1595.4085041296901</v>
          </cell>
          <cell r="H3212">
            <v>1595.4085041296901</v>
          </cell>
          <cell r="I3212">
            <v>13</v>
          </cell>
          <cell r="J3212">
            <v>1.26700470271036E-4</v>
          </cell>
          <cell r="K3212">
            <v>1068</v>
          </cell>
          <cell r="L3212">
            <v>7.3809356111956204</v>
          </cell>
          <cell r="M3212">
            <v>2679</v>
          </cell>
          <cell r="N3212">
            <v>8.5242428529369195E-4</v>
          </cell>
          <cell r="O3212">
            <v>2661</v>
          </cell>
          <cell r="P3212">
            <v>25</v>
          </cell>
          <cell r="Q3212">
            <v>273</v>
          </cell>
        </row>
        <row r="3213">
          <cell r="B3213" t="str">
            <v>STANISLAUS 1702L5381</v>
          </cell>
          <cell r="C3213">
            <v>162821702</v>
          </cell>
          <cell r="D3213" t="str">
            <v>STANISLAUS 1702</v>
          </cell>
          <cell r="E3213" t="str">
            <v>L5381</v>
          </cell>
          <cell r="F3213" t="b">
            <v>0</v>
          </cell>
          <cell r="G3213">
            <v>1955.4877072013001</v>
          </cell>
          <cell r="H3213">
            <v>1955.4877072013001</v>
          </cell>
          <cell r="I3213">
            <v>15</v>
          </cell>
          <cell r="J3213">
            <v>8.6226767840950406E-5</v>
          </cell>
          <cell r="K3213">
            <v>2029</v>
          </cell>
          <cell r="L3213">
            <v>11.1600959313896</v>
          </cell>
          <cell r="M3213">
            <v>2603</v>
          </cell>
          <cell r="N3213">
            <v>1.1429174812310099E-3</v>
          </cell>
          <cell r="O3213">
            <v>2610</v>
          </cell>
          <cell r="P3213">
            <v>63.74</v>
          </cell>
          <cell r="Q3213">
            <v>80</v>
          </cell>
        </row>
        <row r="3214">
          <cell r="B3214" t="str">
            <v>STELLING 1109478699</v>
          </cell>
          <cell r="C3214">
            <v>83481109</v>
          </cell>
          <cell r="D3214" t="str">
            <v>STELLING 1109</v>
          </cell>
          <cell r="E3214">
            <v>478699</v>
          </cell>
          <cell r="F3214" t="b">
            <v>0</v>
          </cell>
          <cell r="G3214">
            <v>1763.8687365092401</v>
          </cell>
          <cell r="H3214">
            <v>1328.3865450068299</v>
          </cell>
          <cell r="I3214">
            <v>14</v>
          </cell>
          <cell r="J3214">
            <v>8.2785689301090301E-5</v>
          </cell>
          <cell r="K3214">
            <v>2136</v>
          </cell>
          <cell r="L3214">
            <v>37.3598193771072</v>
          </cell>
          <cell r="M3214">
            <v>2294</v>
          </cell>
          <cell r="N3214">
            <v>2.4262352495763701E-3</v>
          </cell>
          <cell r="O3214">
            <v>2419</v>
          </cell>
          <cell r="Q3214">
            <v>3466</v>
          </cell>
        </row>
        <row r="3215">
          <cell r="B3215" t="str">
            <v>STELLING 1109787007</v>
          </cell>
          <cell r="C3215">
            <v>83481109</v>
          </cell>
          <cell r="D3215" t="str">
            <v>STELLING 1109</v>
          </cell>
          <cell r="E3215">
            <v>787007</v>
          </cell>
          <cell r="F3215" t="b">
            <v>1</v>
          </cell>
          <cell r="G3215">
            <v>354.82811355934899</v>
          </cell>
          <cell r="H3215">
            <v>307.18855988150801</v>
          </cell>
          <cell r="I3215">
            <v>5</v>
          </cell>
          <cell r="J3215">
            <v>1.02376587165053E-4</v>
          </cell>
          <cell r="K3215">
            <v>1593</v>
          </cell>
          <cell r="L3215">
            <v>7.0734603703021995E-2</v>
          </cell>
          <cell r="M3215">
            <v>2943</v>
          </cell>
          <cell r="N3215">
            <v>7.5915205121232602E-6</v>
          </cell>
          <cell r="O3215">
            <v>3140</v>
          </cell>
          <cell r="Q3215">
            <v>3398</v>
          </cell>
        </row>
        <row r="3216">
          <cell r="B3216" t="str">
            <v>STELLING 11102243</v>
          </cell>
          <cell r="C3216">
            <v>83481110</v>
          </cell>
          <cell r="D3216" t="str">
            <v>STELLING 1110</v>
          </cell>
          <cell r="E3216">
            <v>2243</v>
          </cell>
          <cell r="F3216" t="b">
            <v>0</v>
          </cell>
          <cell r="G3216">
            <v>3051.21751425617</v>
          </cell>
          <cell r="H3216">
            <v>3051.21751425617</v>
          </cell>
          <cell r="I3216">
            <v>16</v>
          </cell>
          <cell r="J3216">
            <v>1.91879737485578E-4</v>
          </cell>
          <cell r="K3216">
            <v>434</v>
          </cell>
          <cell r="L3216">
            <v>257.11300527662002</v>
          </cell>
          <cell r="M3216">
            <v>1528</v>
          </cell>
          <cell r="N3216">
            <v>4.9051022456131098E-2</v>
          </cell>
          <cell r="O3216">
            <v>1187</v>
          </cell>
          <cell r="P3216">
            <v>4.8600000000000003</v>
          </cell>
          <cell r="Q3216">
            <v>503</v>
          </cell>
        </row>
        <row r="3217">
          <cell r="B3217" t="str">
            <v>STELLING 111060080</v>
          </cell>
          <cell r="C3217">
            <v>83481110</v>
          </cell>
          <cell r="D3217" t="str">
            <v>STELLING 1110</v>
          </cell>
          <cell r="E3217">
            <v>60080</v>
          </cell>
          <cell r="F3217" t="b">
            <v>0</v>
          </cell>
          <cell r="G3217">
            <v>16285.3102500116</v>
          </cell>
          <cell r="H3217">
            <v>15418.9406892673</v>
          </cell>
          <cell r="I3217">
            <v>64</v>
          </cell>
          <cell r="J3217">
            <v>1.4043593188352299E-4</v>
          </cell>
          <cell r="K3217">
            <v>864</v>
          </cell>
          <cell r="L3217">
            <v>185.08925441385199</v>
          </cell>
          <cell r="M3217">
            <v>1672</v>
          </cell>
          <cell r="N3217">
            <v>2.0345230038825299E-2</v>
          </cell>
          <cell r="O3217">
            <v>1665</v>
          </cell>
          <cell r="P3217">
            <v>0.24</v>
          </cell>
          <cell r="Q3217">
            <v>1091</v>
          </cell>
        </row>
        <row r="3218">
          <cell r="B3218" t="str">
            <v>STELLING 111060090</v>
          </cell>
          <cell r="C3218">
            <v>83481110</v>
          </cell>
          <cell r="D3218" t="str">
            <v>STELLING 1110</v>
          </cell>
          <cell r="E3218">
            <v>60090</v>
          </cell>
          <cell r="F3218" t="b">
            <v>0</v>
          </cell>
          <cell r="G3218">
            <v>10545.448845000899</v>
          </cell>
          <cell r="H3218">
            <v>10545.448845000899</v>
          </cell>
          <cell r="I3218">
            <v>62</v>
          </cell>
          <cell r="J3218">
            <v>1.6362380346600101E-4</v>
          </cell>
          <cell r="K3218">
            <v>604</v>
          </cell>
          <cell r="L3218">
            <v>206.01015522773301</v>
          </cell>
          <cell r="M3218">
            <v>1623</v>
          </cell>
          <cell r="N3218">
            <v>3.01708209915676E-2</v>
          </cell>
          <cell r="O3218">
            <v>1459</v>
          </cell>
          <cell r="P3218">
            <v>0.06</v>
          </cell>
          <cell r="Q3218">
            <v>1906</v>
          </cell>
        </row>
        <row r="3219">
          <cell r="B3219" t="str">
            <v>STELLING 111060094</v>
          </cell>
          <cell r="C3219">
            <v>83481110</v>
          </cell>
          <cell r="D3219" t="str">
            <v>STELLING 1110</v>
          </cell>
          <cell r="E3219">
            <v>60094</v>
          </cell>
          <cell r="F3219" t="b">
            <v>0</v>
          </cell>
          <cell r="G3219">
            <v>15867.841349163</v>
          </cell>
          <cell r="H3219">
            <v>15867.841349163</v>
          </cell>
          <cell r="I3219">
            <v>95</v>
          </cell>
          <cell r="J3219">
            <v>1.68754805475289E-4</v>
          </cell>
          <cell r="K3219">
            <v>569</v>
          </cell>
          <cell r="L3219">
            <v>93.904890633699594</v>
          </cell>
          <cell r="M3219">
            <v>1987</v>
          </cell>
          <cell r="N3219">
            <v>1.40407847206833E-2</v>
          </cell>
          <cell r="O3219">
            <v>1818</v>
          </cell>
          <cell r="P3219">
            <v>55.68</v>
          </cell>
          <cell r="Q3219">
            <v>102</v>
          </cell>
        </row>
        <row r="3220">
          <cell r="B3220" t="str">
            <v>STELLING 11109265</v>
          </cell>
          <cell r="C3220">
            <v>83481110</v>
          </cell>
          <cell r="D3220" t="str">
            <v>STELLING 1110</v>
          </cell>
          <cell r="E3220">
            <v>9265</v>
          </cell>
          <cell r="F3220" t="b">
            <v>0</v>
          </cell>
          <cell r="G3220">
            <v>8915.6719687058194</v>
          </cell>
          <cell r="H3220">
            <v>8915.6719687058194</v>
          </cell>
          <cell r="I3220">
            <v>45</v>
          </cell>
          <cell r="J3220">
            <v>9.8000061229362804E-5</v>
          </cell>
          <cell r="K3220">
            <v>1691</v>
          </cell>
          <cell r="L3220">
            <v>342.46293314403101</v>
          </cell>
          <cell r="M3220">
            <v>1384</v>
          </cell>
          <cell r="N3220">
            <v>3.0980061657114501E-2</v>
          </cell>
          <cell r="O3220">
            <v>1444</v>
          </cell>
          <cell r="P3220">
            <v>0.08</v>
          </cell>
          <cell r="Q3220">
            <v>1605</v>
          </cell>
        </row>
        <row r="3221">
          <cell r="B3221" t="str">
            <v>STILLWATER 11011320</v>
          </cell>
          <cell r="C3221">
            <v>103561101</v>
          </cell>
          <cell r="D3221" t="str">
            <v>STILLWATER 1101</v>
          </cell>
          <cell r="E3221">
            <v>1320</v>
          </cell>
          <cell r="F3221" t="b">
            <v>0</v>
          </cell>
          <cell r="G3221">
            <v>32275.323934470802</v>
          </cell>
          <cell r="H3221">
            <v>31878.237642681099</v>
          </cell>
          <cell r="I3221">
            <v>179</v>
          </cell>
          <cell r="J3221">
            <v>3.3315745204572002E-4</v>
          </cell>
          <cell r="K3221">
            <v>101</v>
          </cell>
          <cell r="L3221">
            <v>41.144257407310597</v>
          </cell>
          <cell r="M3221">
            <v>2271</v>
          </cell>
          <cell r="N3221">
            <v>1.3686599375973E-2</v>
          </cell>
          <cell r="O3221">
            <v>1828</v>
          </cell>
          <cell r="P3221">
            <v>0.21</v>
          </cell>
          <cell r="Q3221">
            <v>1149</v>
          </cell>
        </row>
        <row r="3222">
          <cell r="B3222" t="str">
            <v>STILLWATER 110148950</v>
          </cell>
          <cell r="C3222">
            <v>103561101</v>
          </cell>
          <cell r="D3222" t="str">
            <v>STILLWATER 1101</v>
          </cell>
          <cell r="E3222">
            <v>48950</v>
          </cell>
          <cell r="F3222" t="b">
            <v>0</v>
          </cell>
          <cell r="G3222">
            <v>20081.779314850199</v>
          </cell>
          <cell r="H3222">
            <v>20081.779314850199</v>
          </cell>
          <cell r="I3222">
            <v>145</v>
          </cell>
          <cell r="J3222">
            <v>1.3936638106001799E-4</v>
          </cell>
          <cell r="K3222">
            <v>880</v>
          </cell>
          <cell r="L3222">
            <v>612.42351610730998</v>
          </cell>
          <cell r="M3222">
            <v>1091</v>
          </cell>
          <cell r="N3222">
            <v>8.5978973027931199E-2</v>
          </cell>
          <cell r="O3222">
            <v>851</v>
          </cell>
          <cell r="P3222">
            <v>0.08</v>
          </cell>
          <cell r="Q3222">
            <v>1608</v>
          </cell>
        </row>
        <row r="3223">
          <cell r="B3223" t="str">
            <v>STILLWATER 1101CB</v>
          </cell>
          <cell r="C3223">
            <v>103561101</v>
          </cell>
          <cell r="D3223" t="str">
            <v>STILLWATER 1101</v>
          </cell>
          <cell r="E3223" t="str">
            <v>CB</v>
          </cell>
          <cell r="F3223" t="b">
            <v>0</v>
          </cell>
          <cell r="G3223">
            <v>6895.2449411302096</v>
          </cell>
          <cell r="H3223">
            <v>6754.54129552832</v>
          </cell>
          <cell r="I3223">
            <v>47</v>
          </cell>
          <cell r="J3223">
            <v>2.1083560460148E-4</v>
          </cell>
          <cell r="K3223">
            <v>355</v>
          </cell>
          <cell r="L3223">
            <v>102.457466907455</v>
          </cell>
          <cell r="M3223">
            <v>1940</v>
          </cell>
          <cell r="N3223">
            <v>1.7136833727095201E-2</v>
          </cell>
          <cell r="O3223">
            <v>1737</v>
          </cell>
          <cell r="P3223">
            <v>7.0000000000000007E-2</v>
          </cell>
          <cell r="Q3223">
            <v>1698</v>
          </cell>
        </row>
        <row r="3224">
          <cell r="B3224" t="str">
            <v>STILLWATER 11021466</v>
          </cell>
          <cell r="C3224">
            <v>103561102</v>
          </cell>
          <cell r="D3224" t="str">
            <v>STILLWATER 1102</v>
          </cell>
          <cell r="E3224">
            <v>1466</v>
          </cell>
          <cell r="F3224" t="b">
            <v>0</v>
          </cell>
          <cell r="G3224">
            <v>33154.334908593803</v>
          </cell>
          <cell r="H3224">
            <v>33039.704095297202</v>
          </cell>
          <cell r="I3224">
            <v>211</v>
          </cell>
          <cell r="J3224">
            <v>1.57203847089192E-4</v>
          </cell>
          <cell r="K3224">
            <v>672</v>
          </cell>
          <cell r="L3224">
            <v>705.51651240027604</v>
          </cell>
          <cell r="M3224">
            <v>1017</v>
          </cell>
          <cell r="N3224">
            <v>4.3245288154208798E-2</v>
          </cell>
          <cell r="O3224">
            <v>1251</v>
          </cell>
          <cell r="P3224">
            <v>7.0000000000000007E-2</v>
          </cell>
          <cell r="Q3224">
            <v>1677</v>
          </cell>
        </row>
        <row r="3225">
          <cell r="B3225" t="str">
            <v>STILLWATER 11021644</v>
          </cell>
          <cell r="C3225">
            <v>103561102</v>
          </cell>
          <cell r="D3225" t="str">
            <v>STILLWATER 1102</v>
          </cell>
          <cell r="E3225">
            <v>1644</v>
          </cell>
          <cell r="F3225" t="b">
            <v>0</v>
          </cell>
          <cell r="G3225">
            <v>36747.479036105302</v>
          </cell>
          <cell r="H3225">
            <v>36747.479036105302</v>
          </cell>
          <cell r="I3225">
            <v>244</v>
          </cell>
          <cell r="J3225">
            <v>1.0130739682541E-4</v>
          </cell>
          <cell r="K3225">
            <v>1620</v>
          </cell>
          <cell r="L3225">
            <v>1382.88487651265</v>
          </cell>
          <cell r="M3225">
            <v>646</v>
          </cell>
          <cell r="N3225">
            <v>0.12374632672397499</v>
          </cell>
          <cell r="O3225">
            <v>628</v>
          </cell>
          <cell r="P3225">
            <v>0.08</v>
          </cell>
          <cell r="Q3225">
            <v>1604</v>
          </cell>
        </row>
        <row r="3226">
          <cell r="B3226" t="str">
            <v>STILLWATER 110248952</v>
          </cell>
          <cell r="C3226">
            <v>103561102</v>
          </cell>
          <cell r="D3226" t="str">
            <v>STILLWATER 1102</v>
          </cell>
          <cell r="E3226">
            <v>48952</v>
          </cell>
          <cell r="F3226" t="b">
            <v>0</v>
          </cell>
          <cell r="G3226">
            <v>17050.561891436799</v>
          </cell>
          <cell r="H3226">
            <v>17050.561891436799</v>
          </cell>
          <cell r="I3226">
            <v>123</v>
          </cell>
          <cell r="J3226">
            <v>1.01752097179996E-4</v>
          </cell>
          <cell r="K3226">
            <v>1609</v>
          </cell>
          <cell r="L3226">
            <v>2266.9676684361698</v>
          </cell>
          <cell r="M3226">
            <v>389</v>
          </cell>
          <cell r="N3226">
            <v>0.18561411215878201</v>
          </cell>
          <cell r="O3226">
            <v>384</v>
          </cell>
          <cell r="P3226">
            <v>7.0000000000000007E-2</v>
          </cell>
          <cell r="Q3226">
            <v>1722</v>
          </cell>
        </row>
        <row r="3227">
          <cell r="B3227" t="str">
            <v>STILLWATER 1102CB</v>
          </cell>
          <cell r="C3227">
            <v>103561102</v>
          </cell>
          <cell r="D3227" t="str">
            <v>STILLWATER 1102</v>
          </cell>
          <cell r="E3227" t="str">
            <v>CB</v>
          </cell>
          <cell r="F3227" t="b">
            <v>0</v>
          </cell>
          <cell r="G3227">
            <v>40316.424080252204</v>
          </cell>
          <cell r="H3227">
            <v>40301.339457957103</v>
          </cell>
          <cell r="I3227">
            <v>275</v>
          </cell>
          <cell r="J3227">
            <v>1.2984505047383799E-4</v>
          </cell>
          <cell r="K3227">
            <v>1011</v>
          </cell>
          <cell r="L3227">
            <v>1360.5287447368901</v>
          </cell>
          <cell r="M3227">
            <v>658</v>
          </cell>
          <cell r="N3227">
            <v>0.153179043298491</v>
          </cell>
          <cell r="O3227">
            <v>502</v>
          </cell>
          <cell r="P3227">
            <v>0.14000000000000001</v>
          </cell>
          <cell r="Q3227">
            <v>1317</v>
          </cell>
        </row>
        <row r="3228">
          <cell r="B3228" t="str">
            <v>STONE CORRAL 11087100</v>
          </cell>
          <cell r="C3228">
            <v>252921108</v>
          </cell>
          <cell r="D3228" t="str">
            <v>STONE CORRAL 1108</v>
          </cell>
          <cell r="E3228">
            <v>7100</v>
          </cell>
          <cell r="F3228" t="b">
            <v>0</v>
          </cell>
          <cell r="G3228">
            <v>29355.792254752701</v>
          </cell>
          <cell r="H3228">
            <v>3757.8694088447301</v>
          </cell>
          <cell r="I3228">
            <v>130</v>
          </cell>
          <cell r="J3228">
            <v>3.91552898122427E-5</v>
          </cell>
          <cell r="K3228">
            <v>3282</v>
          </cell>
          <cell r="L3228">
            <v>1207.5405380423199</v>
          </cell>
          <cell r="M3228">
            <v>728</v>
          </cell>
          <cell r="N3228">
            <v>4.3960041621329403E-2</v>
          </cell>
          <cell r="O3228">
            <v>1242</v>
          </cell>
          <cell r="P3228">
            <v>0.01</v>
          </cell>
          <cell r="Q3228">
            <v>2576</v>
          </cell>
        </row>
        <row r="3229">
          <cell r="B3229" t="str">
            <v>STONE CORRAL 1110189488</v>
          </cell>
          <cell r="C3229">
            <v>252921110</v>
          </cell>
          <cell r="D3229" t="str">
            <v>STONE CORRAL 1110</v>
          </cell>
          <cell r="E3229">
            <v>189488</v>
          </cell>
          <cell r="F3229" t="b">
            <v>0</v>
          </cell>
          <cell r="G3229">
            <v>1343.2605150064201</v>
          </cell>
          <cell r="H3229">
            <v>1327.2584672533601</v>
          </cell>
          <cell r="I3229">
            <v>8</v>
          </cell>
          <cell r="J3229">
            <v>2.6518468855231599E-5</v>
          </cell>
          <cell r="K3229">
            <v>3478</v>
          </cell>
          <cell r="L3229">
            <v>5673.1262239105999</v>
          </cell>
          <cell r="M3229">
            <v>44</v>
          </cell>
          <cell r="N3229">
            <v>0.14210744613617901</v>
          </cell>
          <cell r="O3229">
            <v>561</v>
          </cell>
          <cell r="Q3229">
            <v>3556</v>
          </cell>
        </row>
        <row r="3230">
          <cell r="B3230" t="str">
            <v>STONE CORRAL 1110894956</v>
          </cell>
          <cell r="C3230">
            <v>252921110</v>
          </cell>
          <cell r="D3230" t="str">
            <v>STONE CORRAL 1110</v>
          </cell>
          <cell r="E3230">
            <v>894956</v>
          </cell>
          <cell r="F3230" t="b">
            <v>0</v>
          </cell>
          <cell r="G3230">
            <v>2635.3423689399501</v>
          </cell>
          <cell r="H3230">
            <v>1243.2231407905099</v>
          </cell>
          <cell r="I3230">
            <v>16</v>
          </cell>
          <cell r="J3230">
            <v>4.1419928265895497E-5</v>
          </cell>
          <cell r="K3230">
            <v>3237</v>
          </cell>
          <cell r="L3230">
            <v>1280.1289371815501</v>
          </cell>
          <cell r="M3230">
            <v>689</v>
          </cell>
          <cell r="N3230">
            <v>4.8470974552161802E-2</v>
          </cell>
          <cell r="O3230">
            <v>1192</v>
          </cell>
          <cell r="Q3230">
            <v>3371</v>
          </cell>
        </row>
        <row r="3231">
          <cell r="B3231" t="str">
            <v>STONE CORRAL 1110975698</v>
          </cell>
          <cell r="C3231">
            <v>252921110</v>
          </cell>
          <cell r="D3231" t="str">
            <v>STONE CORRAL 1110</v>
          </cell>
          <cell r="E3231">
            <v>975698</v>
          </cell>
          <cell r="F3231" t="b">
            <v>0</v>
          </cell>
          <cell r="G3231">
            <v>7671.0517102185404</v>
          </cell>
          <cell r="H3231">
            <v>1441.79841003611</v>
          </cell>
          <cell r="I3231">
            <v>44</v>
          </cell>
          <cell r="J3231">
            <v>4.35628827620927E-5</v>
          </cell>
          <cell r="K3231">
            <v>3200</v>
          </cell>
          <cell r="L3231">
            <v>962.18279633179895</v>
          </cell>
          <cell r="M3231">
            <v>852</v>
          </cell>
          <cell r="N3231">
            <v>5.2194398765577403E-2</v>
          </cell>
          <cell r="O3231">
            <v>1155</v>
          </cell>
          <cell r="Q3231">
            <v>3170</v>
          </cell>
        </row>
        <row r="3232">
          <cell r="B3232" t="str">
            <v>SUMMIT 110147786</v>
          </cell>
          <cell r="C3232">
            <v>152591101</v>
          </cell>
          <cell r="D3232" t="str">
            <v>SUMMIT 1101</v>
          </cell>
          <cell r="E3232">
            <v>47786</v>
          </cell>
          <cell r="F3232" t="b">
            <v>0</v>
          </cell>
          <cell r="G3232">
            <v>2915.70361699255</v>
          </cell>
          <cell r="H3232">
            <v>2915.70361699255</v>
          </cell>
          <cell r="I3232">
            <v>13</v>
          </cell>
          <cell r="J3232">
            <v>8.7368623868454802E-5</v>
          </cell>
          <cell r="K3232">
            <v>2003</v>
          </cell>
          <cell r="L3232">
            <v>2875.3699877273398</v>
          </cell>
          <cell r="M3232">
            <v>291</v>
          </cell>
          <cell r="N3232">
            <v>0.215132406661626</v>
          </cell>
          <cell r="O3232">
            <v>294</v>
          </cell>
          <cell r="P3232">
            <v>0.01</v>
          </cell>
          <cell r="Q3232">
            <v>2571</v>
          </cell>
        </row>
        <row r="3233">
          <cell r="B3233" t="str">
            <v>SUMMIT 110148632</v>
          </cell>
          <cell r="C3233">
            <v>152591101</v>
          </cell>
          <cell r="D3233" t="str">
            <v>SUMMIT 1101</v>
          </cell>
          <cell r="E3233">
            <v>48632</v>
          </cell>
          <cell r="F3233" t="b">
            <v>0</v>
          </cell>
          <cell r="G3233">
            <v>4391.6286261974901</v>
          </cell>
          <cell r="H3233">
            <v>4391.6286261974901</v>
          </cell>
          <cell r="I3233">
            <v>38</v>
          </cell>
          <cell r="J3233">
            <v>1.06806303416593E-4</v>
          </cell>
          <cell r="K3233">
            <v>1483</v>
          </cell>
          <cell r="L3233">
            <v>115.166105213454</v>
          </cell>
          <cell r="M3233">
            <v>1895</v>
          </cell>
          <cell r="N3233">
            <v>2.6323224496057999E-2</v>
          </cell>
          <cell r="O3233">
            <v>1529</v>
          </cell>
          <cell r="P3233">
            <v>7.0000000000000007E-2</v>
          </cell>
          <cell r="Q3233">
            <v>1766</v>
          </cell>
        </row>
        <row r="3234">
          <cell r="B3234" t="str">
            <v>SUMMIT 110148636</v>
          </cell>
          <cell r="C3234">
            <v>152591101</v>
          </cell>
          <cell r="D3234" t="str">
            <v>SUMMIT 1101</v>
          </cell>
          <cell r="E3234">
            <v>48636</v>
          </cell>
          <cell r="F3234" t="b">
            <v>1</v>
          </cell>
          <cell r="G3234">
            <v>4495.7291240427103</v>
          </cell>
          <cell r="H3234">
            <v>86.422194141487907</v>
          </cell>
          <cell r="I3234">
            <v>38</v>
          </cell>
          <cell r="J3234">
            <v>8.7238408741541204E-5</v>
          </cell>
          <cell r="K3234">
            <v>2008</v>
          </cell>
          <cell r="L3234">
            <v>6.5185460107981305E-2</v>
          </cell>
          <cell r="M3234">
            <v>3527</v>
          </cell>
          <cell r="N3234">
            <v>5.6861097740337396E-6</v>
          </cell>
          <cell r="O3234">
            <v>3228</v>
          </cell>
          <cell r="P3234">
            <v>0.01</v>
          </cell>
          <cell r="Q3234">
            <v>2615</v>
          </cell>
        </row>
        <row r="3235">
          <cell r="B3235" t="str">
            <v>SUMMIT 110158642</v>
          </cell>
          <cell r="C3235">
            <v>152591101</v>
          </cell>
          <cell r="D3235" t="str">
            <v>SUMMIT 1101</v>
          </cell>
          <cell r="E3235">
            <v>58642</v>
          </cell>
          <cell r="F3235" t="b">
            <v>0</v>
          </cell>
          <cell r="G3235">
            <v>2892.0319065276499</v>
          </cell>
          <cell r="H3235">
            <v>2892.0319065276499</v>
          </cell>
          <cell r="I3235">
            <v>13</v>
          </cell>
          <cell r="J3235">
            <v>5.6521265623114903E-5</v>
          </cell>
          <cell r="K3235">
            <v>2871</v>
          </cell>
          <cell r="L3235">
            <v>6.6431305302790802E-2</v>
          </cell>
          <cell r="M3235">
            <v>3049</v>
          </cell>
          <cell r="N3235">
            <v>3.7547814527092801E-6</v>
          </cell>
          <cell r="O3235">
            <v>3350</v>
          </cell>
          <cell r="P3235">
            <v>0.02</v>
          </cell>
          <cell r="Q3235">
            <v>2501</v>
          </cell>
        </row>
        <row r="3236">
          <cell r="B3236" t="str">
            <v>SUMMIT 11016627</v>
          </cell>
          <cell r="C3236">
            <v>152591101</v>
          </cell>
          <cell r="D3236" t="str">
            <v>SUMMIT 1101</v>
          </cell>
          <cell r="E3236">
            <v>6627</v>
          </cell>
          <cell r="F3236" t="b">
            <v>1</v>
          </cell>
          <cell r="G3236">
            <v>910.38076332187404</v>
          </cell>
          <cell r="H3236">
            <v>910.38076332187404</v>
          </cell>
          <cell r="I3236">
            <v>8</v>
          </cell>
          <cell r="J3236">
            <v>1.0403811393189201E-4</v>
          </cell>
          <cell r="K3236">
            <v>1550</v>
          </cell>
          <cell r="L3236">
            <v>6.6431305302790802E-2</v>
          </cell>
          <cell r="M3236">
            <v>3048</v>
          </cell>
          <cell r="N3236">
            <v>6.9113877097360799E-6</v>
          </cell>
          <cell r="O3236">
            <v>3170</v>
          </cell>
          <cell r="P3236">
            <v>0.03</v>
          </cell>
          <cell r="Q3236">
            <v>2267</v>
          </cell>
        </row>
        <row r="3237">
          <cell r="B3237" t="str">
            <v>SUMMIT 1101742</v>
          </cell>
          <cell r="C3237">
            <v>152591101</v>
          </cell>
          <cell r="D3237" t="str">
            <v>SUMMIT 1101</v>
          </cell>
          <cell r="E3237">
            <v>742</v>
          </cell>
          <cell r="F3237" t="b">
            <v>0</v>
          </cell>
          <cell r="G3237">
            <v>2084.4879087343202</v>
          </cell>
          <cell r="H3237">
            <v>2084.4879087343202</v>
          </cell>
          <cell r="I3237">
            <v>21</v>
          </cell>
          <cell r="J3237">
            <v>1.07141864126398E-4</v>
          </cell>
          <cell r="K3237">
            <v>1469</v>
          </cell>
          <cell r="L3237">
            <v>98.568790738565397</v>
          </cell>
          <cell r="M3237">
            <v>1964</v>
          </cell>
          <cell r="N3237">
            <v>9.69801610690222E-3</v>
          </cell>
          <cell r="O3237">
            <v>1972</v>
          </cell>
          <cell r="P3237">
            <v>0.02</v>
          </cell>
          <cell r="Q3237">
            <v>2502</v>
          </cell>
        </row>
        <row r="3238">
          <cell r="B3238" t="str">
            <v>SUMMIT 110186658</v>
          </cell>
          <cell r="C3238">
            <v>152591101</v>
          </cell>
          <cell r="D3238" t="str">
            <v>SUMMIT 1101</v>
          </cell>
          <cell r="E3238">
            <v>86658</v>
          </cell>
          <cell r="F3238" t="b">
            <v>0</v>
          </cell>
          <cell r="G3238">
            <v>1081.81201078612</v>
          </cell>
          <cell r="H3238">
            <v>1029.02785696466</v>
          </cell>
          <cell r="I3238">
            <v>7</v>
          </cell>
          <cell r="J3238">
            <v>2.43871728473875E-4</v>
          </cell>
          <cell r="K3238">
            <v>235</v>
          </cell>
          <cell r="L3238">
            <v>13.6494401934601</v>
          </cell>
          <cell r="M3238">
            <v>2557</v>
          </cell>
          <cell r="N3238">
            <v>2.1861058006705401E-3</v>
          </cell>
          <cell r="O3238">
            <v>2454</v>
          </cell>
          <cell r="P3238">
            <v>0.02</v>
          </cell>
          <cell r="Q3238">
            <v>2563</v>
          </cell>
        </row>
        <row r="3239">
          <cell r="B3239" t="str">
            <v>SUMMIT 1101CB</v>
          </cell>
          <cell r="C3239">
            <v>152591101</v>
          </cell>
          <cell r="D3239" t="str">
            <v>SUMMIT 1101</v>
          </cell>
          <cell r="E3239" t="str">
            <v>CB</v>
          </cell>
          <cell r="F3239" t="b">
            <v>1</v>
          </cell>
          <cell r="G3239">
            <v>221.07967421796999</v>
          </cell>
          <cell r="H3239">
            <v>221.07967421796999</v>
          </cell>
          <cell r="I3239">
            <v>2</v>
          </cell>
          <cell r="J3239">
            <v>2.6710268139140599E-4</v>
          </cell>
          <cell r="K3239">
            <v>177</v>
          </cell>
          <cell r="L3239">
            <v>6.6431305302790802E-2</v>
          </cell>
          <cell r="M3239">
            <v>3047</v>
          </cell>
          <cell r="N3239">
            <v>1.77439797747066E-5</v>
          </cell>
          <cell r="O3239">
            <v>2978</v>
          </cell>
          <cell r="P3239">
            <v>0.03</v>
          </cell>
          <cell r="Q3239">
            <v>2339</v>
          </cell>
        </row>
        <row r="3240">
          <cell r="B3240" t="str">
            <v>SUMMIT 11022302</v>
          </cell>
          <cell r="C3240">
            <v>152591102</v>
          </cell>
          <cell r="D3240" t="str">
            <v>SUMMIT 1102</v>
          </cell>
          <cell r="E3240">
            <v>2302</v>
          </cell>
          <cell r="F3240" t="b">
            <v>0</v>
          </cell>
          <cell r="G3240">
            <v>2152.93431759854</v>
          </cell>
          <cell r="H3240">
            <v>2152.93431759854</v>
          </cell>
          <cell r="I3240">
            <v>19</v>
          </cell>
          <cell r="J3240">
            <v>6.3222023048805701E-5</v>
          </cell>
          <cell r="K3240">
            <v>2671</v>
          </cell>
          <cell r="L3240">
            <v>648.13567615065494</v>
          </cell>
          <cell r="M3240">
            <v>1067</v>
          </cell>
          <cell r="N3240">
            <v>4.3905471411171397E-2</v>
          </cell>
          <cell r="O3240">
            <v>1243</v>
          </cell>
          <cell r="P3240">
            <v>0.01</v>
          </cell>
          <cell r="Q3240">
            <v>2616</v>
          </cell>
        </row>
        <row r="3241">
          <cell r="B3241" t="str">
            <v>SUMMIT 110249484</v>
          </cell>
          <cell r="C3241">
            <v>152591102</v>
          </cell>
          <cell r="D3241" t="str">
            <v>SUMMIT 1102</v>
          </cell>
          <cell r="E3241">
            <v>49484</v>
          </cell>
          <cell r="F3241" t="b">
            <v>0</v>
          </cell>
          <cell r="G3241">
            <v>4257.4420789925098</v>
          </cell>
          <cell r="H3241">
            <v>4257.4420789925098</v>
          </cell>
          <cell r="I3241">
            <v>27</v>
          </cell>
          <cell r="J3241">
            <v>1.2399681933554E-4</v>
          </cell>
          <cell r="K3241">
            <v>1121</v>
          </cell>
          <cell r="L3241">
            <v>880.50180751342805</v>
          </cell>
          <cell r="M3241">
            <v>890</v>
          </cell>
          <cell r="N3241">
            <v>6.6270322624530406E-2</v>
          </cell>
          <cell r="O3241">
            <v>1010</v>
          </cell>
          <cell r="P3241">
            <v>0.02</v>
          </cell>
          <cell r="Q3241">
            <v>2543</v>
          </cell>
        </row>
        <row r="3242">
          <cell r="B3242" t="str">
            <v>SUMMIT 1102CB</v>
          </cell>
          <cell r="C3242">
            <v>152591102</v>
          </cell>
          <cell r="D3242" t="str">
            <v>SUMMIT 1102</v>
          </cell>
          <cell r="E3242" t="str">
            <v>CB</v>
          </cell>
          <cell r="F3242" t="b">
            <v>0</v>
          </cell>
          <cell r="G3242">
            <v>1694.4121811436701</v>
          </cell>
          <cell r="H3242">
            <v>1694.4121811436701</v>
          </cell>
          <cell r="I3242">
            <v>22</v>
          </cell>
          <cell r="J3242">
            <v>5.8522414292383399E-5</v>
          </cell>
          <cell r="K3242">
            <v>2821</v>
          </cell>
          <cell r="L3242">
            <v>53.0175197157958</v>
          </cell>
          <cell r="M3242">
            <v>2195</v>
          </cell>
          <cell r="N3242">
            <v>5.6462284231525604E-3</v>
          </cell>
          <cell r="O3242">
            <v>2172</v>
          </cell>
          <cell r="P3242">
            <v>0.02</v>
          </cell>
          <cell r="Q3242">
            <v>2450</v>
          </cell>
        </row>
        <row r="3243">
          <cell r="B3243" t="str">
            <v>SUNOL 110148180</v>
          </cell>
          <cell r="C3243">
            <v>14241101</v>
          </cell>
          <cell r="D3243" t="str">
            <v>SUNOL 1101</v>
          </cell>
          <cell r="E3243">
            <v>48180</v>
          </cell>
          <cell r="F3243" t="b">
            <v>1</v>
          </cell>
          <cell r="G3243">
            <v>21.150175937356899</v>
          </cell>
          <cell r="H3243">
            <v>21.150175937356899</v>
          </cell>
          <cell r="I3243">
            <v>2</v>
          </cell>
          <cell r="J3243">
            <v>8.15592011349508E-5</v>
          </cell>
          <cell r="K3243">
            <v>2167</v>
          </cell>
          <cell r="L3243">
            <v>5130.0926476487903</v>
          </cell>
          <cell r="M3243">
            <v>67</v>
          </cell>
          <cell r="N3243">
            <v>0.46103068930447999</v>
          </cell>
          <cell r="O3243">
            <v>40</v>
          </cell>
          <cell r="P3243">
            <v>0.05</v>
          </cell>
          <cell r="Q3243">
            <v>1938</v>
          </cell>
        </row>
        <row r="3244">
          <cell r="B3244" t="str">
            <v>SUNOL 11018721</v>
          </cell>
          <cell r="C3244">
            <v>14241101</v>
          </cell>
          <cell r="D3244" t="str">
            <v>SUNOL 1101</v>
          </cell>
          <cell r="E3244">
            <v>8721</v>
          </cell>
          <cell r="F3244" t="b">
            <v>0</v>
          </cell>
          <cell r="G3244">
            <v>4901.8588049807304</v>
          </cell>
          <cell r="H3244">
            <v>4400.8399232883203</v>
          </cell>
          <cell r="I3244">
            <v>29</v>
          </cell>
          <cell r="J3244">
            <v>5.0887834104600902E-5</v>
          </cell>
          <cell r="K3244">
            <v>3017</v>
          </cell>
          <cell r="L3244">
            <v>2918.1731398329498</v>
          </cell>
          <cell r="M3244">
            <v>285</v>
          </cell>
          <cell r="N3244">
            <v>0.15930236996338101</v>
          </cell>
          <cell r="O3244">
            <v>475</v>
          </cell>
          <cell r="P3244">
            <v>0.04</v>
          </cell>
          <cell r="Q3244">
            <v>2186</v>
          </cell>
        </row>
        <row r="3245">
          <cell r="B3245" t="str">
            <v>SUNOL 1101CB</v>
          </cell>
          <cell r="C3245">
            <v>14241101</v>
          </cell>
          <cell r="D3245" t="str">
            <v>SUNOL 1101</v>
          </cell>
          <cell r="E3245" t="str">
            <v>CB</v>
          </cell>
          <cell r="F3245" t="b">
            <v>0</v>
          </cell>
          <cell r="G3245">
            <v>9278.02372706799</v>
          </cell>
          <cell r="H3245">
            <v>5281.0095167946201</v>
          </cell>
          <cell r="I3245">
            <v>53</v>
          </cell>
          <cell r="J3245">
            <v>6.9820846737508497E-5</v>
          </cell>
          <cell r="K3245">
            <v>2480</v>
          </cell>
          <cell r="L3245">
            <v>949.09746427020002</v>
          </cell>
          <cell r="M3245">
            <v>862</v>
          </cell>
          <cell r="N3245">
            <v>9.5135454457136795E-2</v>
          </cell>
          <cell r="O3245">
            <v>791</v>
          </cell>
          <cell r="P3245">
            <v>0.02</v>
          </cell>
          <cell r="Q3245">
            <v>2553</v>
          </cell>
        </row>
        <row r="3246">
          <cell r="B3246" t="str">
            <v>SUNOL 1101MR169</v>
          </cell>
          <cell r="C3246">
            <v>14241101</v>
          </cell>
          <cell r="D3246" t="str">
            <v>SUNOL 1101</v>
          </cell>
          <cell r="E3246" t="str">
            <v>MR169</v>
          </cell>
          <cell r="F3246" t="b">
            <v>0</v>
          </cell>
          <cell r="G3246">
            <v>15006.413971276301</v>
          </cell>
          <cell r="H3246">
            <v>4976.4794538133701</v>
          </cell>
          <cell r="I3246">
            <v>96</v>
          </cell>
          <cell r="J3246">
            <v>9.4565890159221995E-5</v>
          </cell>
          <cell r="K3246">
            <v>1776</v>
          </cell>
          <cell r="L3246">
            <v>2310.91197620296</v>
          </cell>
          <cell r="M3246">
            <v>383</v>
          </cell>
          <cell r="N3246">
            <v>0.25044405226952299</v>
          </cell>
          <cell r="O3246">
            <v>214</v>
          </cell>
          <cell r="P3246">
            <v>0.02</v>
          </cell>
          <cell r="Q3246">
            <v>2435</v>
          </cell>
        </row>
        <row r="3247">
          <cell r="B3247" t="str">
            <v>SUNOL 1101MR196</v>
          </cell>
          <cell r="C3247">
            <v>14241101</v>
          </cell>
          <cell r="D3247" t="str">
            <v>SUNOL 1101</v>
          </cell>
          <cell r="E3247" t="str">
            <v>MR196</v>
          </cell>
          <cell r="F3247" t="b">
            <v>0</v>
          </cell>
          <cell r="G3247">
            <v>21187.467811600702</v>
          </cell>
          <cell r="H3247">
            <v>6333.1478211991698</v>
          </cell>
          <cell r="I3247">
            <v>96</v>
          </cell>
          <cell r="J3247">
            <v>5.26121258925296E-5</v>
          </cell>
          <cell r="K3247">
            <v>2979</v>
          </cell>
          <cell r="L3247">
            <v>626.97533097097403</v>
          </cell>
          <cell r="M3247">
            <v>1078</v>
          </cell>
          <cell r="N3247">
            <v>3.4416888889145202E-2</v>
          </cell>
          <cell r="O3247">
            <v>1381</v>
          </cell>
          <cell r="P3247">
            <v>0.62</v>
          </cell>
          <cell r="Q3247">
            <v>842</v>
          </cell>
        </row>
        <row r="3248">
          <cell r="B3248" t="str">
            <v>SUNOL 1101MR297</v>
          </cell>
          <cell r="C3248">
            <v>14241101</v>
          </cell>
          <cell r="D3248" t="str">
            <v>SUNOL 1101</v>
          </cell>
          <cell r="E3248" t="str">
            <v>MR297</v>
          </cell>
          <cell r="F3248" t="b">
            <v>0</v>
          </cell>
          <cell r="G3248">
            <v>9710.6915346803198</v>
          </cell>
          <cell r="H3248">
            <v>9531.5764230487293</v>
          </cell>
          <cell r="I3248">
            <v>66</v>
          </cell>
          <cell r="J3248">
            <v>6.9143243377545803E-5</v>
          </cell>
          <cell r="K3248">
            <v>2502</v>
          </cell>
          <cell r="L3248">
            <v>221.76662942822401</v>
          </cell>
          <cell r="M3248">
            <v>1602</v>
          </cell>
          <cell r="N3248">
            <v>6.4881171603359596E-3</v>
          </cell>
          <cell r="O3248">
            <v>2127</v>
          </cell>
          <cell r="P3248">
            <v>0.06</v>
          </cell>
          <cell r="Q3248">
            <v>1849</v>
          </cell>
        </row>
        <row r="3249">
          <cell r="B3249" t="str">
            <v>SUNOL 1101MR298</v>
          </cell>
          <cell r="C3249">
            <v>14241101</v>
          </cell>
          <cell r="D3249" t="str">
            <v>SUNOL 1101</v>
          </cell>
          <cell r="E3249" t="str">
            <v>MR298</v>
          </cell>
          <cell r="F3249" t="b">
            <v>0</v>
          </cell>
          <cell r="G3249">
            <v>8473.8005573158098</v>
          </cell>
          <cell r="H3249">
            <v>8244.1822055817993</v>
          </cell>
          <cell r="I3249">
            <v>39</v>
          </cell>
          <cell r="J3249">
            <v>7.0693522059464596E-5</v>
          </cell>
          <cell r="K3249">
            <v>2452</v>
          </cell>
          <cell r="L3249">
            <v>586.02731090409497</v>
          </cell>
          <cell r="M3249">
            <v>1117</v>
          </cell>
          <cell r="N3249">
            <v>2.7924547358391401E-2</v>
          </cell>
          <cell r="O3249">
            <v>1498</v>
          </cell>
          <cell r="P3249">
            <v>0.26</v>
          </cell>
          <cell r="Q3249">
            <v>1070</v>
          </cell>
        </row>
        <row r="3250">
          <cell r="B3250" t="str">
            <v>SUNOL 1101MR299</v>
          </cell>
          <cell r="C3250">
            <v>14241101</v>
          </cell>
          <cell r="D3250" t="str">
            <v>SUNOL 1101</v>
          </cell>
          <cell r="E3250" t="str">
            <v>MR299</v>
          </cell>
          <cell r="F3250" t="b">
            <v>0</v>
          </cell>
          <cell r="G3250">
            <v>7955.2461685553499</v>
          </cell>
          <cell r="H3250">
            <v>7955.2461685553499</v>
          </cell>
          <cell r="I3250">
            <v>58</v>
          </cell>
          <cell r="J3250">
            <v>9.0049417786789896E-5</v>
          </cell>
          <cell r="K3250">
            <v>1910</v>
          </cell>
          <cell r="L3250">
            <v>452.82215152796903</v>
          </cell>
          <cell r="M3250">
            <v>1243</v>
          </cell>
          <cell r="N3250">
            <v>4.2276384949335902E-2</v>
          </cell>
          <cell r="O3250">
            <v>1269</v>
          </cell>
          <cell r="P3250">
            <v>0.4</v>
          </cell>
          <cell r="Q3250">
            <v>946</v>
          </cell>
        </row>
        <row r="3251">
          <cell r="B3251" t="str">
            <v>SUNOL 1101MR387</v>
          </cell>
          <cell r="C3251">
            <v>14241101</v>
          </cell>
          <cell r="D3251" t="str">
            <v>SUNOL 1101</v>
          </cell>
          <cell r="E3251" t="str">
            <v>MR387</v>
          </cell>
          <cell r="F3251" t="b">
            <v>0</v>
          </cell>
          <cell r="G3251">
            <v>8072.5306794767803</v>
          </cell>
          <cell r="H3251">
            <v>8065.9096039097503</v>
          </cell>
          <cell r="I3251">
            <v>24</v>
          </cell>
          <cell r="J3251">
            <v>6.2944611984320194E-5</v>
          </cell>
          <cell r="K3251">
            <v>2681</v>
          </cell>
          <cell r="L3251">
            <v>3500.2914210673698</v>
          </cell>
          <cell r="M3251">
            <v>201</v>
          </cell>
          <cell r="N3251">
            <v>0.23775827898819099</v>
          </cell>
          <cell r="O3251">
            <v>241</v>
          </cell>
          <cell r="P3251">
            <v>0.06</v>
          </cell>
          <cell r="Q3251">
            <v>1882</v>
          </cell>
        </row>
        <row r="3252">
          <cell r="B3252" t="str">
            <v>SUNOL 1101MR650</v>
          </cell>
          <cell r="C3252">
            <v>14241101</v>
          </cell>
          <cell r="D3252" t="str">
            <v>SUNOL 1101</v>
          </cell>
          <cell r="E3252" t="str">
            <v>MR650</v>
          </cell>
          <cell r="F3252" t="b">
            <v>0</v>
          </cell>
          <cell r="G3252">
            <v>4320.1366242907998</v>
          </cell>
          <cell r="H3252">
            <v>2086.6412217441002</v>
          </cell>
          <cell r="I3252">
            <v>30</v>
          </cell>
          <cell r="J3252">
            <v>3.1219029354663903E-5</v>
          </cell>
          <cell r="K3252">
            <v>3411</v>
          </cell>
          <cell r="L3252">
            <v>6.4701820639288101</v>
          </cell>
          <cell r="M3252">
            <v>2696</v>
          </cell>
          <cell r="N3252">
            <v>2.9522749185742503E-4</v>
          </cell>
          <cell r="O3252">
            <v>2798</v>
          </cell>
          <cell r="P3252">
            <v>7.0000000000000007E-2</v>
          </cell>
          <cell r="Q3252">
            <v>1706</v>
          </cell>
        </row>
        <row r="3253">
          <cell r="B3253" t="str">
            <v>SWIFT 2102889948</v>
          </cell>
          <cell r="C3253">
            <v>83392102</v>
          </cell>
          <cell r="D3253" t="str">
            <v>SWIFT 2102</v>
          </cell>
          <cell r="E3253">
            <v>889948</v>
          </cell>
          <cell r="F3253" t="b">
            <v>1</v>
          </cell>
          <cell r="G3253">
            <v>2120.3673046100898</v>
          </cell>
          <cell r="H3253">
            <v>706.88773917304002</v>
          </cell>
          <cell r="I3253">
            <v>8</v>
          </cell>
          <cell r="J3253">
            <v>7.9649166374500503E-5</v>
          </cell>
          <cell r="K3253">
            <v>2217</v>
          </cell>
          <cell r="L3253">
            <v>479.81829310014098</v>
          </cell>
          <cell r="M3253">
            <v>1216</v>
          </cell>
          <cell r="N3253">
            <v>2.68857626411272E-2</v>
          </cell>
          <cell r="O3253">
            <v>1515</v>
          </cell>
          <cell r="Q3253">
            <v>3380</v>
          </cell>
        </row>
        <row r="3254">
          <cell r="B3254" t="str">
            <v>SWIFT 2107XR526</v>
          </cell>
          <cell r="C3254">
            <v>83392107</v>
          </cell>
          <cell r="D3254" t="str">
            <v>SWIFT 2107</v>
          </cell>
          <cell r="E3254" t="str">
            <v>XR526</v>
          </cell>
          <cell r="F3254" t="b">
            <v>0</v>
          </cell>
          <cell r="G3254">
            <v>8725.9017744535995</v>
          </cell>
          <cell r="H3254">
            <v>3365.6589223368301</v>
          </cell>
          <cell r="I3254">
            <v>64</v>
          </cell>
          <cell r="J3254">
            <v>8.9522004572017896E-5</v>
          </cell>
          <cell r="K3254">
            <v>1929</v>
          </cell>
          <cell r="L3254">
            <v>366.77395344767302</v>
          </cell>
          <cell r="M3254">
            <v>1343</v>
          </cell>
          <cell r="N3254">
            <v>3.7122081055595398E-2</v>
          </cell>
          <cell r="O3254">
            <v>1336</v>
          </cell>
          <cell r="P3254">
            <v>7.0000000000000007E-2</v>
          </cell>
          <cell r="Q3254">
            <v>1699</v>
          </cell>
        </row>
        <row r="3255">
          <cell r="B3255" t="str">
            <v>SWIFT 2109XR300</v>
          </cell>
          <cell r="C3255">
            <v>83392109</v>
          </cell>
          <cell r="D3255" t="str">
            <v>SWIFT 2109</v>
          </cell>
          <cell r="E3255" t="str">
            <v>XR300</v>
          </cell>
          <cell r="F3255" t="b">
            <v>1</v>
          </cell>
          <cell r="G3255">
            <v>1391.39331694418</v>
          </cell>
          <cell r="H3255">
            <v>526.75555974945996</v>
          </cell>
          <cell r="I3255">
            <v>14</v>
          </cell>
          <cell r="J3255">
            <v>2.1220880333722901E-5</v>
          </cell>
          <cell r="K3255">
            <v>3531</v>
          </cell>
          <cell r="L3255">
            <v>6.5330550074577304E-2</v>
          </cell>
          <cell r="M3255">
            <v>3446</v>
          </cell>
          <cell r="N3255">
            <v>1.3950552671614401E-6</v>
          </cell>
          <cell r="O3255">
            <v>3558</v>
          </cell>
          <cell r="P3255">
            <v>0.04</v>
          </cell>
          <cell r="Q3255">
            <v>2106</v>
          </cell>
        </row>
        <row r="3256">
          <cell r="B3256" t="str">
            <v>SWIFT 2110853720</v>
          </cell>
          <cell r="C3256">
            <v>83392110</v>
          </cell>
          <cell r="D3256" t="str">
            <v>SWIFT 2110</v>
          </cell>
          <cell r="E3256">
            <v>853720</v>
          </cell>
          <cell r="F3256" t="b">
            <v>0</v>
          </cell>
          <cell r="G3256">
            <v>50276.810788005401</v>
          </cell>
          <cell r="H3256">
            <v>50276.810788005401</v>
          </cell>
          <cell r="I3256">
            <v>140</v>
          </cell>
          <cell r="J3256">
            <v>6.2471438071009201E-5</v>
          </cell>
          <cell r="K3256">
            <v>2705</v>
          </cell>
          <cell r="L3256">
            <v>1012.61699632284</v>
          </cell>
          <cell r="M3256">
            <v>823</v>
          </cell>
          <cell r="N3256">
            <v>5.6625105175348397E-2</v>
          </cell>
          <cell r="O3256">
            <v>1100</v>
          </cell>
          <cell r="Q3256">
            <v>2684</v>
          </cell>
        </row>
        <row r="3257">
          <cell r="B3257" t="str">
            <v>SWIFT 2110XR254</v>
          </cell>
          <cell r="C3257">
            <v>83392110</v>
          </cell>
          <cell r="D3257" t="str">
            <v>SWIFT 2110</v>
          </cell>
          <cell r="E3257" t="str">
            <v>XR254</v>
          </cell>
          <cell r="F3257" t="b">
            <v>0</v>
          </cell>
          <cell r="G3257">
            <v>40510.534373798902</v>
          </cell>
          <cell r="H3257">
            <v>40510.534373798902</v>
          </cell>
          <cell r="I3257">
            <v>134</v>
          </cell>
          <cell r="J3257">
            <v>6.9418144018647301E-5</v>
          </cell>
          <cell r="K3257">
            <v>2490</v>
          </cell>
          <cell r="L3257">
            <v>745.04318048661605</v>
          </cell>
          <cell r="M3257">
            <v>979</v>
          </cell>
          <cell r="N3257">
            <v>4.5543518883075902E-2</v>
          </cell>
          <cell r="O3257">
            <v>1228</v>
          </cell>
          <cell r="P3257">
            <v>0.31</v>
          </cell>
          <cell r="Q3257">
            <v>1003</v>
          </cell>
        </row>
        <row r="3258">
          <cell r="B3258" t="str">
            <v>SWIFT 2110XR332</v>
          </cell>
          <cell r="C3258">
            <v>83392110</v>
          </cell>
          <cell r="D3258" t="str">
            <v>SWIFT 2110</v>
          </cell>
          <cell r="E3258" t="str">
            <v>XR332</v>
          </cell>
          <cell r="F3258" t="b">
            <v>0</v>
          </cell>
          <cell r="G3258">
            <v>29699.192182154198</v>
          </cell>
          <cell r="H3258">
            <v>29699.192182154198</v>
          </cell>
          <cell r="I3258">
            <v>83</v>
          </cell>
          <cell r="J3258">
            <v>7.3780354659902495E-5</v>
          </cell>
          <cell r="K3258">
            <v>2368</v>
          </cell>
          <cell r="L3258">
            <v>296.62387650228999</v>
          </cell>
          <cell r="M3258">
            <v>1452</v>
          </cell>
          <cell r="N3258">
            <v>1.55323336484148E-2</v>
          </cell>
          <cell r="O3258">
            <v>1769</v>
          </cell>
          <cell r="P3258">
            <v>0.12</v>
          </cell>
          <cell r="Q3258">
            <v>1374</v>
          </cell>
        </row>
        <row r="3259">
          <cell r="B3259" t="str">
            <v>SWIFT 2110XR366</v>
          </cell>
          <cell r="C3259">
            <v>83392110</v>
          </cell>
          <cell r="D3259" t="str">
            <v>SWIFT 2110</v>
          </cell>
          <cell r="E3259" t="str">
            <v>XR366</v>
          </cell>
          <cell r="F3259" t="b">
            <v>0</v>
          </cell>
          <cell r="G3259">
            <v>17766.113260770799</v>
          </cell>
          <cell r="H3259">
            <v>13567.802176974101</v>
          </cell>
          <cell r="I3259">
            <v>129</v>
          </cell>
          <cell r="J3259">
            <v>7.1305706597968297E-5</v>
          </cell>
          <cell r="K3259">
            <v>2437</v>
          </cell>
          <cell r="L3259">
            <v>1012.86480905309</v>
          </cell>
          <cell r="M3259">
            <v>822</v>
          </cell>
          <cell r="N3259">
            <v>8.2847898905133097E-2</v>
          </cell>
          <cell r="O3259">
            <v>877</v>
          </cell>
          <cell r="P3259">
            <v>0.21</v>
          </cell>
          <cell r="Q3259">
            <v>1134</v>
          </cell>
        </row>
        <row r="3260">
          <cell r="B3260" t="str">
            <v>SYCAMORE CREEK 1109CB</v>
          </cell>
          <cell r="C3260">
            <v>102971109</v>
          </cell>
          <cell r="D3260" t="str">
            <v>SYCAMORE CREEK 1109</v>
          </cell>
          <cell r="E3260" t="str">
            <v>CB</v>
          </cell>
          <cell r="F3260" t="b">
            <v>1</v>
          </cell>
          <cell r="G3260">
            <v>14599.8126189595</v>
          </cell>
          <cell r="H3260">
            <v>271.15113908191</v>
          </cell>
          <cell r="I3260">
            <v>108</v>
          </cell>
          <cell r="J3260">
            <v>1.33805049969211E-4</v>
          </cell>
          <cell r="K3260">
            <v>947</v>
          </cell>
          <cell r="L3260">
            <v>7.3352235602632307E-2</v>
          </cell>
          <cell r="M3260">
            <v>2938</v>
          </cell>
          <cell r="N3260">
            <v>9.84480262439599E-6</v>
          </cell>
          <cell r="O3260">
            <v>3071</v>
          </cell>
          <cell r="P3260">
            <v>0.04</v>
          </cell>
          <cell r="Q3260">
            <v>2189</v>
          </cell>
        </row>
        <row r="3261">
          <cell r="B3261" t="str">
            <v>SYCAMORE CREEK 1111153260</v>
          </cell>
          <cell r="C3261">
            <v>102971111</v>
          </cell>
          <cell r="D3261" t="str">
            <v>SYCAMORE CREEK 1111</v>
          </cell>
          <cell r="E3261">
            <v>153260</v>
          </cell>
          <cell r="F3261" t="b">
            <v>1</v>
          </cell>
          <cell r="G3261">
            <v>424.45920930618098</v>
          </cell>
          <cell r="H3261">
            <v>424.45920930618098</v>
          </cell>
          <cell r="I3261">
            <v>2</v>
          </cell>
          <cell r="J3261">
            <v>9.60218530963175E-5</v>
          </cell>
          <cell r="K3261">
            <v>1729</v>
          </cell>
          <cell r="L3261">
            <v>3917.3902834605801</v>
          </cell>
          <cell r="M3261">
            <v>154</v>
          </cell>
          <cell r="N3261">
            <v>0.32186296877701498</v>
          </cell>
          <cell r="O3261">
            <v>115</v>
          </cell>
          <cell r="Q3261">
            <v>3584</v>
          </cell>
        </row>
        <row r="3262">
          <cell r="B3262" t="str">
            <v>SYCAMORE CREEK 11112014</v>
          </cell>
          <cell r="C3262">
            <v>102971111</v>
          </cell>
          <cell r="D3262" t="str">
            <v>SYCAMORE CREEK 1111</v>
          </cell>
          <cell r="E3262">
            <v>2014</v>
          </cell>
          <cell r="F3262" t="b">
            <v>0</v>
          </cell>
          <cell r="G3262">
            <v>35984.1334924697</v>
          </cell>
          <cell r="H3262">
            <v>35984.1334924697</v>
          </cell>
          <cell r="I3262">
            <v>181</v>
          </cell>
          <cell r="J3262">
            <v>1.04182826109738E-4</v>
          </cell>
          <cell r="K3262">
            <v>1548</v>
          </cell>
          <cell r="L3262">
            <v>602.37668240606695</v>
          </cell>
          <cell r="M3262">
            <v>1097</v>
          </cell>
          <cell r="N3262">
            <v>5.37621808085769E-2</v>
          </cell>
          <cell r="O3262">
            <v>1137</v>
          </cell>
          <cell r="P3262">
            <v>0.2</v>
          </cell>
          <cell r="Q3262">
            <v>1157</v>
          </cell>
        </row>
        <row r="3263">
          <cell r="B3263" t="str">
            <v>SYCAMORE CREEK 11112268</v>
          </cell>
          <cell r="C3263">
            <v>102971111</v>
          </cell>
          <cell r="D3263" t="str">
            <v>SYCAMORE CREEK 1111</v>
          </cell>
          <cell r="E3263">
            <v>2268</v>
          </cell>
          <cell r="F3263" t="b">
            <v>0</v>
          </cell>
          <cell r="G3263">
            <v>35117.3515856222</v>
          </cell>
          <cell r="H3263">
            <v>35117.3515856222</v>
          </cell>
          <cell r="I3263">
            <v>217</v>
          </cell>
          <cell r="J3263">
            <v>8.4176694270580603E-5</v>
          </cell>
          <cell r="K3263">
            <v>2087</v>
          </cell>
          <cell r="L3263">
            <v>23.729445706955602</v>
          </cell>
          <cell r="M3263">
            <v>2408</v>
          </cell>
          <cell r="N3263">
            <v>1.60392534002932E-3</v>
          </cell>
          <cell r="O3263">
            <v>2537</v>
          </cell>
          <cell r="P3263">
            <v>69.930000000000007</v>
          </cell>
          <cell r="Q3263">
            <v>69</v>
          </cell>
        </row>
        <row r="3264">
          <cell r="B3264" t="str">
            <v>SYCAMORE CREEK 1111976428</v>
          </cell>
          <cell r="C3264">
            <v>102971111</v>
          </cell>
          <cell r="D3264" t="str">
            <v>SYCAMORE CREEK 1111</v>
          </cell>
          <cell r="E3264">
            <v>976428</v>
          </cell>
          <cell r="F3264" t="b">
            <v>0</v>
          </cell>
          <cell r="G3264">
            <v>16955.249878886501</v>
          </cell>
          <cell r="H3264">
            <v>14081.5811757513</v>
          </cell>
          <cell r="I3264">
            <v>82</v>
          </cell>
          <cell r="J3264">
            <v>1.37018650825555E-4</v>
          </cell>
          <cell r="K3264">
            <v>908</v>
          </cell>
          <cell r="L3264">
            <v>2148.1965174431102</v>
          </cell>
          <cell r="M3264">
            <v>412</v>
          </cell>
          <cell r="N3264">
            <v>0.30751859040672502</v>
          </cell>
          <cell r="O3264">
            <v>130</v>
          </cell>
          <cell r="Q3264">
            <v>3305</v>
          </cell>
        </row>
        <row r="3265">
          <cell r="B3265" t="str">
            <v>SYCAMORE CREEK 1111CB</v>
          </cell>
          <cell r="C3265">
            <v>102971111</v>
          </cell>
          <cell r="D3265" t="str">
            <v>SYCAMORE CREEK 1111</v>
          </cell>
          <cell r="E3265" t="str">
            <v>CB</v>
          </cell>
          <cell r="F3265" t="b">
            <v>1</v>
          </cell>
          <cell r="G3265">
            <v>11952.160818945</v>
          </cell>
          <cell r="H3265">
            <v>777.742287775367</v>
          </cell>
          <cell r="I3265">
            <v>85</v>
          </cell>
          <cell r="J3265">
            <v>1.1706993795832401E-4</v>
          </cell>
          <cell r="K3265">
            <v>1245</v>
          </cell>
          <cell r="L3265">
            <v>452.66690481549398</v>
          </cell>
          <cell r="M3265">
            <v>1244</v>
          </cell>
          <cell r="N3265">
            <v>6.0715205254001002E-2</v>
          </cell>
          <cell r="O3265">
            <v>1056</v>
          </cell>
          <cell r="P3265">
            <v>0.06</v>
          </cell>
          <cell r="Q3265">
            <v>1775</v>
          </cell>
        </row>
        <row r="3266">
          <cell r="B3266" t="str">
            <v>TAMARACK 1101CB</v>
          </cell>
          <cell r="C3266">
            <v>152291101</v>
          </cell>
          <cell r="D3266" t="str">
            <v>TAMARACK 1101</v>
          </cell>
          <cell r="E3266" t="str">
            <v>CB</v>
          </cell>
          <cell r="F3266" t="b">
            <v>0</v>
          </cell>
          <cell r="G3266">
            <v>28734.8817151599</v>
          </cell>
          <cell r="H3266">
            <v>28123.7557667293</v>
          </cell>
          <cell r="I3266">
            <v>148</v>
          </cell>
          <cell r="J3266">
            <v>7.1100368150426099E-5</v>
          </cell>
          <cell r="K3266">
            <v>2442</v>
          </cell>
          <cell r="L3266">
            <v>13.927384230526</v>
          </cell>
          <cell r="M3266">
            <v>2552</v>
          </cell>
          <cell r="N3266">
            <v>1.0064920673510001E-3</v>
          </cell>
          <cell r="O3266">
            <v>2630</v>
          </cell>
          <cell r="P3266">
            <v>0.36</v>
          </cell>
          <cell r="Q3266">
            <v>966</v>
          </cell>
        </row>
        <row r="3267">
          <cell r="B3267" t="str">
            <v>TAR FLAT 0401CB</v>
          </cell>
          <cell r="C3267">
            <v>163240401</v>
          </cell>
          <cell r="D3267" t="str">
            <v>TAR FLAT 0401</v>
          </cell>
          <cell r="E3267" t="str">
            <v>CB</v>
          </cell>
          <cell r="F3267" t="b">
            <v>0</v>
          </cell>
          <cell r="G3267">
            <v>5901.3043799277702</v>
          </cell>
          <cell r="H3267">
            <v>5623.7964397247397</v>
          </cell>
          <cell r="I3267">
            <v>45</v>
          </cell>
          <cell r="J3267">
            <v>1.14179638411668E-4</v>
          </cell>
          <cell r="K3267">
            <v>1316</v>
          </cell>
          <cell r="L3267">
            <v>6.6317694716983303E-2</v>
          </cell>
          <cell r="M3267">
            <v>3144</v>
          </cell>
          <cell r="N3267">
            <v>7.5759254419892303E-6</v>
          </cell>
          <cell r="O3267">
            <v>3142</v>
          </cell>
          <cell r="P3267">
            <v>0.06</v>
          </cell>
          <cell r="Q3267">
            <v>1823</v>
          </cell>
        </row>
        <row r="3268">
          <cell r="B3268" t="str">
            <v>TAR FLAT 04023144</v>
          </cell>
          <cell r="C3268">
            <v>163240402</v>
          </cell>
          <cell r="D3268" t="str">
            <v>TAR FLAT 0402</v>
          </cell>
          <cell r="E3268">
            <v>3144</v>
          </cell>
          <cell r="F3268" t="b">
            <v>0</v>
          </cell>
          <cell r="G3268">
            <v>8269.2516986043101</v>
          </cell>
          <cell r="H3268">
            <v>7828.9118603105599</v>
          </cell>
          <cell r="I3268">
            <v>58</v>
          </cell>
          <cell r="J3268">
            <v>1.5369201606392401E-4</v>
          </cell>
          <cell r="K3268">
            <v>715</v>
          </cell>
          <cell r="L3268">
            <v>19.138527846798802</v>
          </cell>
          <cell r="M3268">
            <v>2460</v>
          </cell>
          <cell r="N3268">
            <v>2.0461685493730901E-3</v>
          </cell>
          <cell r="O3268">
            <v>2472</v>
          </cell>
          <cell r="P3268">
            <v>0.09</v>
          </cell>
          <cell r="Q3268">
            <v>1549</v>
          </cell>
        </row>
        <row r="3269">
          <cell r="B3269" t="str">
            <v>TAR FLAT 0402CB</v>
          </cell>
          <cell r="C3269">
            <v>163240402</v>
          </cell>
          <cell r="D3269" t="str">
            <v>TAR FLAT 0402</v>
          </cell>
          <cell r="E3269" t="str">
            <v>CB</v>
          </cell>
          <cell r="F3269" t="b">
            <v>0</v>
          </cell>
          <cell r="G3269">
            <v>2354.3543490196598</v>
          </cell>
          <cell r="H3269">
            <v>1281.2411980769</v>
          </cell>
          <cell r="I3269">
            <v>18</v>
          </cell>
          <cell r="J3269">
            <v>1.14977347038802E-4</v>
          </cell>
          <cell r="K3269">
            <v>1299</v>
          </cell>
          <cell r="L3269">
            <v>6.5789449959993307E-2</v>
          </cell>
          <cell r="M3269">
            <v>3286</v>
          </cell>
          <cell r="N3269">
            <v>7.5881727818793404E-6</v>
          </cell>
          <cell r="O3269">
            <v>3141</v>
          </cell>
          <cell r="P3269">
            <v>0.02</v>
          </cell>
          <cell r="Q3269">
            <v>2484</v>
          </cell>
        </row>
        <row r="3270">
          <cell r="B3270" t="str">
            <v>TASSAJARA 2103557000</v>
          </cell>
          <cell r="C3270">
            <v>14662103</v>
          </cell>
          <cell r="D3270" t="str">
            <v>TASSAJARA 2103</v>
          </cell>
          <cell r="E3270">
            <v>557000</v>
          </cell>
          <cell r="F3270" t="b">
            <v>1</v>
          </cell>
          <cell r="G3270">
            <v>398.693333899452</v>
          </cell>
          <cell r="H3270">
            <v>335.03165975799402</v>
          </cell>
          <cell r="I3270">
            <v>3</v>
          </cell>
          <cell r="J3270">
            <v>1.29585767960331E-4</v>
          </cell>
          <cell r="K3270">
            <v>1015</v>
          </cell>
          <cell r="L3270">
            <v>348.937463637012</v>
          </cell>
          <cell r="M3270">
            <v>1373</v>
          </cell>
          <cell r="N3270">
            <v>2.2854596835654498E-2</v>
          </cell>
          <cell r="O3270">
            <v>1606</v>
          </cell>
          <cell r="Q3270">
            <v>3596</v>
          </cell>
        </row>
        <row r="3271">
          <cell r="B3271" t="str">
            <v>TASSAJARA 2103CB</v>
          </cell>
          <cell r="C3271">
            <v>14662103</v>
          </cell>
          <cell r="D3271" t="str">
            <v>TASSAJARA 2103</v>
          </cell>
          <cell r="E3271" t="str">
            <v>CB</v>
          </cell>
          <cell r="F3271" t="b">
            <v>1</v>
          </cell>
          <cell r="G3271">
            <v>28346.007709377402</v>
          </cell>
          <cell r="H3271">
            <v>787.86230400835802</v>
          </cell>
          <cell r="I3271">
            <v>259</v>
          </cell>
          <cell r="J3271">
            <v>8.1626902002472504E-5</v>
          </cell>
          <cell r="K3271">
            <v>2165</v>
          </cell>
          <cell r="L3271">
            <v>14.039259841679799</v>
          </cell>
          <cell r="M3271">
            <v>2549</v>
          </cell>
          <cell r="N3271">
            <v>1.8283361223964099E-3</v>
          </cell>
          <cell r="O3271">
            <v>2498</v>
          </cell>
          <cell r="P3271">
            <v>0.05</v>
          </cell>
          <cell r="Q3271">
            <v>1935</v>
          </cell>
        </row>
        <row r="3272">
          <cell r="B3272" t="str">
            <v>TASSAJARA 210419042</v>
          </cell>
          <cell r="C3272">
            <v>14662104</v>
          </cell>
          <cell r="D3272" t="str">
            <v>TASSAJARA 2104</v>
          </cell>
          <cell r="E3272">
            <v>19042</v>
          </cell>
          <cell r="F3272" t="b">
            <v>0</v>
          </cell>
          <cell r="G3272">
            <v>13701.0778009483</v>
          </cell>
          <cell r="H3272">
            <v>10069.7208648947</v>
          </cell>
          <cell r="I3272">
            <v>89</v>
          </cell>
          <cell r="J3272">
            <v>1.02586899650056E-4</v>
          </cell>
          <cell r="K3272">
            <v>1584</v>
          </cell>
          <cell r="L3272">
            <v>1548.81001690179</v>
          </cell>
          <cell r="M3272">
            <v>581</v>
          </cell>
          <cell r="N3272">
            <v>0.12861350341591801</v>
          </cell>
          <cell r="O3272">
            <v>611</v>
          </cell>
          <cell r="P3272">
            <v>0.17</v>
          </cell>
          <cell r="Q3272">
            <v>1229</v>
          </cell>
        </row>
        <row r="3273">
          <cell r="B3273" t="str">
            <v>TASSAJARA 2104CB</v>
          </cell>
          <cell r="C3273">
            <v>14662104</v>
          </cell>
          <cell r="D3273" t="str">
            <v>TASSAJARA 2104</v>
          </cell>
          <cell r="E3273" t="str">
            <v>CB</v>
          </cell>
          <cell r="F3273" t="b">
            <v>1</v>
          </cell>
          <cell r="G3273">
            <v>1951.9603396610901</v>
          </cell>
          <cell r="H3273">
            <v>159.164466792496</v>
          </cell>
          <cell r="I3273">
            <v>22</v>
          </cell>
          <cell r="J3273">
            <v>5.9141161944439902E-5</v>
          </cell>
          <cell r="K3273">
            <v>2802</v>
          </cell>
          <cell r="L3273">
            <v>153.24380286913799</v>
          </cell>
          <cell r="M3273">
            <v>1767</v>
          </cell>
          <cell r="N3273">
            <v>2.8017057071995099E-2</v>
          </cell>
          <cell r="O3273">
            <v>1496</v>
          </cell>
          <cell r="P3273">
            <v>0.28000000000000003</v>
          </cell>
          <cell r="Q3273">
            <v>1038</v>
          </cell>
        </row>
        <row r="3274">
          <cell r="B3274" t="str">
            <v>TASSAJARA 2106203380</v>
          </cell>
          <cell r="C3274">
            <v>14662106</v>
          </cell>
          <cell r="D3274" t="str">
            <v>TASSAJARA 2106</v>
          </cell>
          <cell r="E3274">
            <v>203380</v>
          </cell>
          <cell r="F3274" t="b">
            <v>1</v>
          </cell>
          <cell r="G3274">
            <v>3178.29906759805</v>
          </cell>
          <cell r="H3274">
            <v>809.595645700006</v>
          </cell>
          <cell r="I3274">
            <v>26</v>
          </cell>
          <cell r="J3274">
            <v>1.02394061686936E-4</v>
          </cell>
          <cell r="K3274">
            <v>1592</v>
          </cell>
          <cell r="L3274">
            <v>687.75339794709896</v>
          </cell>
          <cell r="M3274">
            <v>1032</v>
          </cell>
          <cell r="N3274">
            <v>6.2335232979249401E-2</v>
          </cell>
          <cell r="O3274">
            <v>1039</v>
          </cell>
          <cell r="Q3274">
            <v>3423</v>
          </cell>
        </row>
        <row r="3275">
          <cell r="B3275" t="str">
            <v>TASSAJARA 210812712</v>
          </cell>
          <cell r="C3275">
            <v>14662108</v>
          </cell>
          <cell r="D3275" t="str">
            <v>TASSAJARA 2108</v>
          </cell>
          <cell r="E3275">
            <v>12712</v>
          </cell>
          <cell r="F3275" t="b">
            <v>0</v>
          </cell>
          <cell r="G3275">
            <v>5357.93414548905</v>
          </cell>
          <cell r="H3275">
            <v>1227.8520803209201</v>
          </cell>
          <cell r="I3275">
            <v>46</v>
          </cell>
          <cell r="J3275">
            <v>8.0657818562897203E-5</v>
          </cell>
          <cell r="K3275">
            <v>2189</v>
          </cell>
          <cell r="L3275">
            <v>6.5483033813325806E-2</v>
          </cell>
          <cell r="M3275">
            <v>3376</v>
          </cell>
          <cell r="N3275">
            <v>5.2812658673285697E-6</v>
          </cell>
          <cell r="O3275">
            <v>3252</v>
          </cell>
          <cell r="P3275">
            <v>10.37</v>
          </cell>
          <cell r="Q3275">
            <v>397</v>
          </cell>
        </row>
        <row r="3276">
          <cell r="B3276" t="str">
            <v>TASSAJARA 2108189700</v>
          </cell>
          <cell r="C3276">
            <v>14662108</v>
          </cell>
          <cell r="D3276" t="str">
            <v>TASSAJARA 2108</v>
          </cell>
          <cell r="E3276">
            <v>189700</v>
          </cell>
          <cell r="F3276" t="b">
            <v>1</v>
          </cell>
          <cell r="G3276">
            <v>2164.8557580970701</v>
          </cell>
          <cell r="H3276">
            <v>306.72543422674801</v>
          </cell>
          <cell r="I3276">
            <v>22</v>
          </cell>
          <cell r="J3276">
            <v>8.5053567350509401E-5</v>
          </cell>
          <cell r="K3276">
            <v>2057</v>
          </cell>
          <cell r="L3276">
            <v>6.5264877829003198E-2</v>
          </cell>
          <cell r="M3276">
            <v>3473</v>
          </cell>
          <cell r="N3276">
            <v>5.5511956719000999E-6</v>
          </cell>
          <cell r="O3276">
            <v>3238</v>
          </cell>
          <cell r="Q3276">
            <v>3343</v>
          </cell>
        </row>
        <row r="3277">
          <cell r="B3277" t="str">
            <v>TASSAJARA 2108437582</v>
          </cell>
          <cell r="C3277">
            <v>14662108</v>
          </cell>
          <cell r="D3277" t="str">
            <v>TASSAJARA 2108</v>
          </cell>
          <cell r="E3277">
            <v>437582</v>
          </cell>
          <cell r="F3277" t="b">
            <v>0</v>
          </cell>
          <cell r="G3277">
            <v>3785.2973533240202</v>
          </cell>
          <cell r="H3277">
            <v>1172.62427767248</v>
          </cell>
          <cell r="I3277">
            <v>31</v>
          </cell>
          <cell r="J3277">
            <v>9.3713658134220098E-5</v>
          </cell>
          <cell r="K3277">
            <v>1803</v>
          </cell>
          <cell r="L3277">
            <v>36.8731513689388</v>
          </cell>
          <cell r="M3277">
            <v>2299</v>
          </cell>
          <cell r="N3277">
            <v>2.63894041565749E-3</v>
          </cell>
          <cell r="O3277">
            <v>2393</v>
          </cell>
          <cell r="Q3277">
            <v>2902</v>
          </cell>
        </row>
        <row r="3278">
          <cell r="B3278" t="str">
            <v>TASSAJARA 2108D520R</v>
          </cell>
          <cell r="C3278">
            <v>14662108</v>
          </cell>
          <cell r="D3278" t="str">
            <v>TASSAJARA 2108</v>
          </cell>
          <cell r="E3278" t="str">
            <v>D520R</v>
          </cell>
          <cell r="F3278" t="b">
            <v>1</v>
          </cell>
          <cell r="G3278">
            <v>5652.8622732386002</v>
          </cell>
          <cell r="H3278">
            <v>0</v>
          </cell>
          <cell r="I3278">
            <v>50</v>
          </cell>
          <cell r="J3278">
            <v>8.3586370086171204E-5</v>
          </cell>
          <cell r="K3278">
            <v>2109</v>
          </cell>
          <cell r="L3278">
            <v>6.5148189744365606E-2</v>
          </cell>
          <cell r="M3278">
            <v>3583</v>
          </cell>
          <cell r="N3278">
            <v>5.44550069841665E-6</v>
          </cell>
          <cell r="O3278">
            <v>3241</v>
          </cell>
          <cell r="Q3278">
            <v>2659</v>
          </cell>
        </row>
        <row r="3279">
          <cell r="B3279" t="str">
            <v>TASSAJARA 2109CB</v>
          </cell>
          <cell r="C3279">
            <v>14662109</v>
          </cell>
          <cell r="D3279" t="str">
            <v>TASSAJARA 2109</v>
          </cell>
          <cell r="E3279" t="str">
            <v>CB</v>
          </cell>
          <cell r="F3279" t="b">
            <v>0</v>
          </cell>
          <cell r="G3279">
            <v>3124.8791790978598</v>
          </cell>
          <cell r="H3279">
            <v>3111.1631426353101</v>
          </cell>
          <cell r="I3279">
            <v>12</v>
          </cell>
          <cell r="J3279">
            <v>1.68908964042202E-4</v>
          </cell>
          <cell r="K3279">
            <v>568</v>
          </cell>
          <cell r="L3279">
            <v>1033.5651053142799</v>
          </cell>
          <cell r="M3279">
            <v>803</v>
          </cell>
          <cell r="N3279">
            <v>0.17606792152977199</v>
          </cell>
          <cell r="O3279">
            <v>410</v>
          </cell>
          <cell r="P3279">
            <v>0.03</v>
          </cell>
          <cell r="Q3279">
            <v>2391</v>
          </cell>
        </row>
        <row r="3280">
          <cell r="B3280" t="str">
            <v>TASSAJARA 21123202</v>
          </cell>
          <cell r="C3280">
            <v>14662112</v>
          </cell>
          <cell r="D3280" t="str">
            <v>TASSAJARA 2112</v>
          </cell>
          <cell r="E3280">
            <v>3202</v>
          </cell>
          <cell r="F3280" t="b">
            <v>1</v>
          </cell>
          <cell r="G3280">
            <v>630.30213807825101</v>
          </cell>
          <cell r="H3280">
            <v>630.30213807825101</v>
          </cell>
          <cell r="I3280">
            <v>9</v>
          </cell>
          <cell r="J3280">
            <v>8.3994706074008705E-5</v>
          </cell>
          <cell r="K3280">
            <v>2093</v>
          </cell>
          <cell r="L3280">
            <v>6312.7783665402303</v>
          </cell>
          <cell r="M3280">
            <v>23</v>
          </cell>
          <cell r="N3280">
            <v>0.53730609592801504</v>
          </cell>
          <cell r="O3280">
            <v>28</v>
          </cell>
          <cell r="P3280">
            <v>9.6300000000000008</v>
          </cell>
          <cell r="Q3280">
            <v>406</v>
          </cell>
        </row>
        <row r="3281">
          <cell r="B3281" t="str">
            <v>TASSAJARA 211238868</v>
          </cell>
          <cell r="C3281">
            <v>14662112</v>
          </cell>
          <cell r="D3281" t="str">
            <v>TASSAJARA 2112</v>
          </cell>
          <cell r="E3281">
            <v>38868</v>
          </cell>
          <cell r="F3281" t="b">
            <v>0</v>
          </cell>
          <cell r="G3281">
            <v>6917.0796500685301</v>
          </cell>
          <cell r="H3281">
            <v>3119.12756395421</v>
          </cell>
          <cell r="I3281">
            <v>61</v>
          </cell>
          <cell r="J3281">
            <v>1.03710954499547E-4</v>
          </cell>
          <cell r="K3281">
            <v>1555</v>
          </cell>
          <cell r="L3281">
            <v>103.484643190564</v>
          </cell>
          <cell r="M3281">
            <v>1934</v>
          </cell>
          <cell r="N3281">
            <v>1.31500471675144E-2</v>
          </cell>
          <cell r="O3281">
            <v>1840</v>
          </cell>
          <cell r="P3281">
            <v>0.02</v>
          </cell>
          <cell r="Q3281">
            <v>2534</v>
          </cell>
        </row>
        <row r="3282">
          <cell r="B3282" t="str">
            <v>TASSAJARA 21126392</v>
          </cell>
          <cell r="C3282">
            <v>14662112</v>
          </cell>
          <cell r="D3282" t="str">
            <v>TASSAJARA 2112</v>
          </cell>
          <cell r="E3282">
            <v>6392</v>
          </cell>
          <cell r="F3282" t="b">
            <v>0</v>
          </cell>
          <cell r="G3282">
            <v>8838.9848129477305</v>
          </cell>
          <cell r="H3282">
            <v>8838.9848129477305</v>
          </cell>
          <cell r="I3282">
            <v>37</v>
          </cell>
          <cell r="J3282">
            <v>7.9657384048914496E-5</v>
          </cell>
          <cell r="K3282">
            <v>2215</v>
          </cell>
          <cell r="L3282">
            <v>1801.3357454101799</v>
          </cell>
          <cell r="M3282">
            <v>505</v>
          </cell>
          <cell r="N3282">
            <v>0.14161996906037899</v>
          </cell>
          <cell r="O3282">
            <v>564</v>
          </cell>
          <cell r="P3282">
            <v>16.899999999999999</v>
          </cell>
          <cell r="Q3282">
            <v>336</v>
          </cell>
        </row>
        <row r="3283">
          <cell r="B3283" t="str">
            <v>TASSAJARA 2112CB</v>
          </cell>
          <cell r="C3283">
            <v>14662112</v>
          </cell>
          <cell r="D3283" t="str">
            <v>TASSAJARA 2112</v>
          </cell>
          <cell r="E3283" t="str">
            <v>CB</v>
          </cell>
          <cell r="F3283" t="b">
            <v>1</v>
          </cell>
          <cell r="G3283">
            <v>2118.6497120680401</v>
          </cell>
          <cell r="H3283">
            <v>279.42973407494998</v>
          </cell>
          <cell r="I3283">
            <v>22</v>
          </cell>
          <cell r="J3283">
            <v>6.83061502968485E-5</v>
          </cell>
          <cell r="K3283">
            <v>2527</v>
          </cell>
          <cell r="L3283">
            <v>21.694850441323499</v>
          </cell>
          <cell r="M3283">
            <v>2429</v>
          </cell>
          <cell r="N3283">
            <v>2.5793664880695301E-3</v>
          </cell>
          <cell r="O3283">
            <v>2400</v>
          </cell>
          <cell r="P3283">
            <v>0.44</v>
          </cell>
          <cell r="Q3283">
            <v>921</v>
          </cell>
        </row>
        <row r="3284">
          <cell r="B3284" t="str">
            <v>TASSAJARA 2112D514R</v>
          </cell>
          <cell r="C3284">
            <v>14662112</v>
          </cell>
          <cell r="D3284" t="str">
            <v>TASSAJARA 2112</v>
          </cell>
          <cell r="E3284" t="str">
            <v>D514R</v>
          </cell>
          <cell r="F3284" t="b">
            <v>0</v>
          </cell>
          <cell r="G3284">
            <v>7698.3806844168002</v>
          </cell>
          <cell r="H3284">
            <v>5032.0091454953599</v>
          </cell>
          <cell r="I3284">
            <v>73</v>
          </cell>
          <cell r="J3284">
            <v>1.12806557086041E-4</v>
          </cell>
          <cell r="K3284">
            <v>1348</v>
          </cell>
          <cell r="L3284">
            <v>304.64287096203799</v>
          </cell>
          <cell r="M3284">
            <v>1441</v>
          </cell>
          <cell r="N3284">
            <v>3.7277981654866899E-2</v>
          </cell>
          <cell r="O3284">
            <v>1335</v>
          </cell>
          <cell r="P3284">
            <v>0.15</v>
          </cell>
          <cell r="Q3284">
            <v>1282</v>
          </cell>
        </row>
        <row r="3285">
          <cell r="B3285" t="str">
            <v>TASSAJARA 2113MR276</v>
          </cell>
          <cell r="C3285">
            <v>14662113</v>
          </cell>
          <cell r="D3285" t="str">
            <v>TASSAJARA 2113</v>
          </cell>
          <cell r="E3285" t="str">
            <v>MR276</v>
          </cell>
          <cell r="F3285" t="b">
            <v>0</v>
          </cell>
          <cell r="G3285">
            <v>6265.9534949725303</v>
          </cell>
          <cell r="H3285">
            <v>6199.9698055271901</v>
          </cell>
          <cell r="I3285">
            <v>42</v>
          </cell>
          <cell r="J3285">
            <v>1.1010813464054001E-4</v>
          </cell>
          <cell r="K3285">
            <v>1409</v>
          </cell>
          <cell r="L3285">
            <v>507.33873226768497</v>
          </cell>
          <cell r="M3285">
            <v>1193</v>
          </cell>
          <cell r="N3285">
            <v>4.8683972734926403E-2</v>
          </cell>
          <cell r="O3285">
            <v>1190</v>
          </cell>
          <cell r="P3285">
            <v>0.45</v>
          </cell>
          <cell r="Q3285">
            <v>920</v>
          </cell>
        </row>
        <row r="3286">
          <cell r="B3286" t="str">
            <v>TEJON 11022455</v>
          </cell>
          <cell r="C3286">
            <v>252931102</v>
          </cell>
          <cell r="D3286" t="str">
            <v>TEJON 1102</v>
          </cell>
          <cell r="E3286">
            <v>2455</v>
          </cell>
          <cell r="F3286" t="b">
            <v>0</v>
          </cell>
          <cell r="G3286">
            <v>10165.576369468899</v>
          </cell>
          <cell r="H3286">
            <v>10165.576369468899</v>
          </cell>
          <cell r="I3286">
            <v>84</v>
          </cell>
          <cell r="J3286">
            <v>3.5174766340094802E-5</v>
          </cell>
          <cell r="K3286">
            <v>3348</v>
          </cell>
          <cell r="L3286">
            <v>3535.71985200789</v>
          </cell>
          <cell r="M3286">
            <v>196</v>
          </cell>
          <cell r="N3286">
            <v>0.120336034295469</v>
          </cell>
          <cell r="O3286">
            <v>642</v>
          </cell>
          <cell r="P3286">
            <v>0.08</v>
          </cell>
          <cell r="Q3286">
            <v>1657</v>
          </cell>
        </row>
        <row r="3287">
          <cell r="B3287" t="str">
            <v>TEJON 11023751</v>
          </cell>
          <cell r="C3287">
            <v>252931102</v>
          </cell>
          <cell r="D3287" t="str">
            <v>TEJON 1102</v>
          </cell>
          <cell r="E3287">
            <v>3751</v>
          </cell>
          <cell r="F3287" t="b">
            <v>0</v>
          </cell>
          <cell r="G3287">
            <v>16451.173741306899</v>
          </cell>
          <cell r="H3287">
            <v>15802.8651205846</v>
          </cell>
          <cell r="I3287">
            <v>65</v>
          </cell>
          <cell r="J3287">
            <v>4.4895714665926701E-5</v>
          </cell>
          <cell r="K3287">
            <v>3163</v>
          </cell>
          <cell r="L3287">
            <v>3153.81170425234</v>
          </cell>
          <cell r="M3287">
            <v>247</v>
          </cell>
          <cell r="N3287">
            <v>0.11269280051163499</v>
          </cell>
          <cell r="O3287">
            <v>691</v>
          </cell>
          <cell r="P3287">
            <v>0.03</v>
          </cell>
          <cell r="Q3287">
            <v>2272</v>
          </cell>
        </row>
        <row r="3288">
          <cell r="B3288" t="str">
            <v>TEJON 11023760</v>
          </cell>
          <cell r="C3288">
            <v>252931102</v>
          </cell>
          <cell r="D3288" t="str">
            <v>TEJON 1102</v>
          </cell>
          <cell r="E3288">
            <v>3760</v>
          </cell>
          <cell r="F3288" t="b">
            <v>0</v>
          </cell>
          <cell r="G3288">
            <v>10446.6342991126</v>
          </cell>
          <cell r="H3288">
            <v>10415.8966891776</v>
          </cell>
          <cell r="I3288">
            <v>6</v>
          </cell>
          <cell r="J3288">
            <v>4.6243870656326099E-5</v>
          </cell>
          <cell r="K3288">
            <v>3131</v>
          </cell>
          <cell r="L3288">
            <v>4483.95008895107</v>
          </cell>
          <cell r="M3288">
            <v>110</v>
          </cell>
          <cell r="N3288">
            <v>7.6506061151027802E-2</v>
          </cell>
          <cell r="O3288">
            <v>931</v>
          </cell>
          <cell r="P3288">
            <v>0.03</v>
          </cell>
          <cell r="Q3288">
            <v>2370</v>
          </cell>
        </row>
        <row r="3289">
          <cell r="B3289" t="str">
            <v>TEJON 1102732836</v>
          </cell>
          <cell r="C3289">
            <v>252931102</v>
          </cell>
          <cell r="D3289" t="str">
            <v>TEJON 1102</v>
          </cell>
          <cell r="E3289">
            <v>732836</v>
          </cell>
          <cell r="F3289" t="b">
            <v>0</v>
          </cell>
          <cell r="G3289">
            <v>24952.577557155899</v>
          </cell>
          <cell r="H3289">
            <v>18788.629298731099</v>
          </cell>
          <cell r="I3289">
            <v>154</v>
          </cell>
          <cell r="J3289">
            <v>4.1312241075336797E-5</v>
          </cell>
          <cell r="K3289">
            <v>3239</v>
          </cell>
          <cell r="L3289">
            <v>3303.5878836378602</v>
          </cell>
          <cell r="M3289">
            <v>224</v>
          </cell>
          <cell r="N3289">
            <v>0.135301364780995</v>
          </cell>
          <cell r="O3289">
            <v>583</v>
          </cell>
          <cell r="Q3289">
            <v>2673</v>
          </cell>
        </row>
        <row r="3290">
          <cell r="B3290" t="str">
            <v>TEJON 1103286542</v>
          </cell>
          <cell r="C3290">
            <v>252931103</v>
          </cell>
          <cell r="D3290" t="str">
            <v>TEJON 1103</v>
          </cell>
          <cell r="E3290">
            <v>286542</v>
          </cell>
          <cell r="F3290" t="b">
            <v>0</v>
          </cell>
          <cell r="G3290">
            <v>9381.8687095197693</v>
          </cell>
          <cell r="H3290">
            <v>3501.85590580794</v>
          </cell>
          <cell r="I3290">
            <v>25</v>
          </cell>
          <cell r="J3290">
            <v>2.36339617269247E-5</v>
          </cell>
          <cell r="K3290">
            <v>3508</v>
          </cell>
          <cell r="L3290">
            <v>2087.69421117298</v>
          </cell>
          <cell r="M3290">
            <v>432</v>
          </cell>
          <cell r="N3290">
            <v>5.0527261464971197E-2</v>
          </cell>
          <cell r="O3290">
            <v>1173</v>
          </cell>
          <cell r="Q3290">
            <v>3581</v>
          </cell>
        </row>
        <row r="3291">
          <cell r="B3291" t="str">
            <v>TEMPLETON 2108A40</v>
          </cell>
          <cell r="C3291">
            <v>183052108</v>
          </cell>
          <cell r="D3291" t="str">
            <v>TEMPLETON 2108</v>
          </cell>
          <cell r="E3291" t="str">
            <v>A40</v>
          </cell>
          <cell r="F3291" t="b">
            <v>0</v>
          </cell>
          <cell r="G3291">
            <v>20639.890253563601</v>
          </cell>
          <cell r="H3291">
            <v>6084.3101431607201</v>
          </cell>
          <cell r="I3291">
            <v>174</v>
          </cell>
          <cell r="J3291">
            <v>4.3443846947663997E-5</v>
          </cell>
          <cell r="K3291">
            <v>3202</v>
          </cell>
          <cell r="L3291">
            <v>1.4309789296453701</v>
          </cell>
          <cell r="M3291">
            <v>2870</v>
          </cell>
          <cell r="N3291">
            <v>1.5078816228257199E-4</v>
          </cell>
          <cell r="O3291">
            <v>2855</v>
          </cell>
          <cell r="P3291">
            <v>0.03</v>
          </cell>
          <cell r="Q3291">
            <v>2254</v>
          </cell>
        </row>
        <row r="3292">
          <cell r="B3292" t="str">
            <v>TEMPLETON 2108A64</v>
          </cell>
          <cell r="C3292">
            <v>183052108</v>
          </cell>
          <cell r="D3292" t="str">
            <v>TEMPLETON 2108</v>
          </cell>
          <cell r="E3292" t="str">
            <v>A64</v>
          </cell>
          <cell r="F3292" t="b">
            <v>0</v>
          </cell>
          <cell r="G3292">
            <v>18905.942431251799</v>
          </cell>
          <cell r="H3292">
            <v>3242.50145226528</v>
          </cell>
          <cell r="I3292">
            <v>150</v>
          </cell>
          <cell r="J3292">
            <v>7.5966382018116994E-5</v>
          </cell>
          <cell r="K3292">
            <v>2309</v>
          </cell>
          <cell r="L3292">
            <v>88.483699750453198</v>
          </cell>
          <cell r="M3292">
            <v>2011</v>
          </cell>
          <cell r="N3292">
            <v>6.52930918902712E-3</v>
          </cell>
          <cell r="O3292">
            <v>2119</v>
          </cell>
          <cell r="P3292">
            <v>0.02</v>
          </cell>
          <cell r="Q3292">
            <v>2493</v>
          </cell>
        </row>
        <row r="3293">
          <cell r="B3293" t="str">
            <v>TEMPLETON 2110307832</v>
          </cell>
          <cell r="C3293">
            <v>183052110</v>
          </cell>
          <cell r="D3293" t="str">
            <v>TEMPLETON 2110</v>
          </cell>
          <cell r="E3293">
            <v>307832</v>
          </cell>
          <cell r="F3293" t="b">
            <v>0</v>
          </cell>
          <cell r="G3293">
            <v>22986.440969404</v>
          </cell>
          <cell r="H3293">
            <v>2614.1135843624202</v>
          </cell>
          <cell r="I3293">
            <v>133</v>
          </cell>
          <cell r="J3293">
            <v>5.4141593444691902E-5</v>
          </cell>
          <cell r="K3293">
            <v>2940</v>
          </cell>
          <cell r="L3293">
            <v>52.299570890577598</v>
          </cell>
          <cell r="M3293">
            <v>2199</v>
          </cell>
          <cell r="N3293">
            <v>1.7437682694500501E-3</v>
          </cell>
          <cell r="O3293">
            <v>2511</v>
          </cell>
          <cell r="Q3293">
            <v>2750</v>
          </cell>
        </row>
        <row r="3294">
          <cell r="B3294" t="str">
            <v>TEMPLETON 2110317796</v>
          </cell>
          <cell r="C3294">
            <v>183052110</v>
          </cell>
          <cell r="D3294" t="str">
            <v>TEMPLETON 2110</v>
          </cell>
          <cell r="E3294">
            <v>317796</v>
          </cell>
          <cell r="F3294" t="b">
            <v>0</v>
          </cell>
          <cell r="G3294">
            <v>11760.0743754045</v>
          </cell>
          <cell r="H3294">
            <v>8148.5565564478702</v>
          </cell>
          <cell r="I3294">
            <v>65</v>
          </cell>
          <cell r="J3294">
            <v>7.0178171625912E-5</v>
          </cell>
          <cell r="K3294">
            <v>2466</v>
          </cell>
          <cell r="L3294">
            <v>1382.51933117153</v>
          </cell>
          <cell r="M3294">
            <v>647</v>
          </cell>
          <cell r="N3294">
            <v>0.11086653599824101</v>
          </cell>
          <cell r="O3294">
            <v>708</v>
          </cell>
          <cell r="Q3294">
            <v>3222</v>
          </cell>
        </row>
        <row r="3295">
          <cell r="B3295" t="str">
            <v>TEMPLETON 2110901690</v>
          </cell>
          <cell r="C3295">
            <v>183052110</v>
          </cell>
          <cell r="D3295" t="str">
            <v>TEMPLETON 2110</v>
          </cell>
          <cell r="E3295">
            <v>901690</v>
          </cell>
          <cell r="F3295" t="b">
            <v>0</v>
          </cell>
          <cell r="G3295">
            <v>63574.449635389698</v>
          </cell>
          <cell r="H3295">
            <v>60028.263067619999</v>
          </cell>
          <cell r="I3295">
            <v>306</v>
          </cell>
          <cell r="J3295">
            <v>5.6692223181112397E-5</v>
          </cell>
          <cell r="K3295">
            <v>2868</v>
          </cell>
          <cell r="L3295">
            <v>1011.62782914464</v>
          </cell>
          <cell r="M3295">
            <v>825</v>
          </cell>
          <cell r="N3295">
            <v>5.6926770663083999E-2</v>
          </cell>
          <cell r="O3295">
            <v>1098</v>
          </cell>
          <cell r="P3295">
            <v>0.62</v>
          </cell>
          <cell r="Q3295">
            <v>841</v>
          </cell>
        </row>
        <row r="3296">
          <cell r="B3296" t="str">
            <v>TEMPLETON 2110N30</v>
          </cell>
          <cell r="C3296">
            <v>183052110</v>
          </cell>
          <cell r="D3296" t="str">
            <v>TEMPLETON 2110</v>
          </cell>
          <cell r="E3296" t="str">
            <v>N30</v>
          </cell>
          <cell r="F3296" t="b">
            <v>0</v>
          </cell>
          <cell r="G3296">
            <v>32768.323772588497</v>
          </cell>
          <cell r="H3296">
            <v>32768.323772588497</v>
          </cell>
          <cell r="I3296">
            <v>120</v>
          </cell>
          <cell r="J3296">
            <v>6.3150507735877502E-5</v>
          </cell>
          <cell r="K3296">
            <v>2674</v>
          </cell>
          <cell r="L3296">
            <v>927.19429273692197</v>
          </cell>
          <cell r="M3296">
            <v>870</v>
          </cell>
          <cell r="N3296">
            <v>6.31516681352772E-2</v>
          </cell>
          <cell r="O3296">
            <v>1032</v>
          </cell>
          <cell r="P3296">
            <v>0.09</v>
          </cell>
          <cell r="Q3296">
            <v>1530</v>
          </cell>
        </row>
        <row r="3297">
          <cell r="B3297" t="str">
            <v>TEMPLETON 2110N32</v>
          </cell>
          <cell r="C3297">
            <v>183052110</v>
          </cell>
          <cell r="D3297" t="str">
            <v>TEMPLETON 2110</v>
          </cell>
          <cell r="E3297" t="str">
            <v>N32</v>
          </cell>
          <cell r="F3297" t="b">
            <v>0</v>
          </cell>
          <cell r="G3297">
            <v>47644.410489400201</v>
          </cell>
          <cell r="H3297">
            <v>47470.959716091202</v>
          </cell>
          <cell r="I3297">
            <v>251</v>
          </cell>
          <cell r="J3297">
            <v>5.7033655055084199E-5</v>
          </cell>
          <cell r="K3297">
            <v>2860</v>
          </cell>
          <cell r="L3297">
            <v>298.19927598633899</v>
          </cell>
          <cell r="M3297">
            <v>1451</v>
          </cell>
          <cell r="N3297">
            <v>1.67650411086997E-2</v>
          </cell>
          <cell r="O3297">
            <v>1745</v>
          </cell>
          <cell r="P3297">
            <v>0.14000000000000001</v>
          </cell>
          <cell r="Q3297">
            <v>1326</v>
          </cell>
        </row>
        <row r="3298">
          <cell r="B3298" t="str">
            <v>TEMPLETON 2110R90</v>
          </cell>
          <cell r="C3298">
            <v>183052110</v>
          </cell>
          <cell r="D3298" t="str">
            <v>TEMPLETON 2110</v>
          </cell>
          <cell r="E3298" t="str">
            <v>R90</v>
          </cell>
          <cell r="F3298" t="b">
            <v>0</v>
          </cell>
          <cell r="G3298">
            <v>56951.178407305997</v>
          </cell>
          <cell r="H3298">
            <v>48580.678139080497</v>
          </cell>
          <cell r="I3298">
            <v>259</v>
          </cell>
          <cell r="J3298">
            <v>6.3209112682642606E-5</v>
          </cell>
          <cell r="K3298">
            <v>2672</v>
          </cell>
          <cell r="L3298">
            <v>705.45859061938097</v>
          </cell>
          <cell r="M3298">
            <v>1018</v>
          </cell>
          <cell r="N3298">
            <v>3.8279459043254097E-2</v>
          </cell>
          <cell r="O3298">
            <v>1328</v>
          </cell>
          <cell r="P3298">
            <v>0.16</v>
          </cell>
          <cell r="Q3298">
            <v>1275</v>
          </cell>
        </row>
        <row r="3299">
          <cell r="B3299" t="str">
            <v>TEMPLETON 2110R94</v>
          </cell>
          <cell r="C3299">
            <v>183052110</v>
          </cell>
          <cell r="D3299" t="str">
            <v>TEMPLETON 2110</v>
          </cell>
          <cell r="E3299" t="str">
            <v>R94</v>
          </cell>
          <cell r="F3299" t="b">
            <v>0</v>
          </cell>
          <cell r="G3299">
            <v>33827.900910598</v>
          </cell>
          <cell r="H3299">
            <v>22380.658579505998</v>
          </cell>
          <cell r="I3299">
            <v>179</v>
          </cell>
          <cell r="J3299">
            <v>5.5341369065823703E-5</v>
          </cell>
          <cell r="K3299">
            <v>2903</v>
          </cell>
          <cell r="L3299">
            <v>687.19500046985104</v>
          </cell>
          <cell r="M3299">
            <v>1033</v>
          </cell>
          <cell r="N3299">
            <v>3.5945800708997597E-2</v>
          </cell>
          <cell r="O3299">
            <v>1355</v>
          </cell>
          <cell r="P3299">
            <v>0.08</v>
          </cell>
          <cell r="Q3299">
            <v>1614</v>
          </cell>
        </row>
        <row r="3300">
          <cell r="B3300" t="str">
            <v>TEMPLETON 2111A66</v>
          </cell>
          <cell r="C3300">
            <v>183052111</v>
          </cell>
          <cell r="D3300" t="str">
            <v>TEMPLETON 2111</v>
          </cell>
          <cell r="E3300" t="str">
            <v>A66</v>
          </cell>
          <cell r="F3300" t="b">
            <v>0</v>
          </cell>
          <cell r="G3300">
            <v>54313.838061549097</v>
          </cell>
          <cell r="H3300">
            <v>54313.838061549097</v>
          </cell>
          <cell r="I3300">
            <v>429</v>
          </cell>
          <cell r="J3300">
            <v>6.1473753771308106E-5</v>
          </cell>
          <cell r="K3300">
            <v>2734</v>
          </cell>
          <cell r="L3300">
            <v>473.967858020606</v>
          </cell>
          <cell r="M3300">
            <v>1218</v>
          </cell>
          <cell r="N3300">
            <v>2.76394349404969E-2</v>
          </cell>
          <cell r="O3300">
            <v>1502</v>
          </cell>
          <cell r="P3300">
            <v>0.27</v>
          </cell>
          <cell r="Q3300">
            <v>1052</v>
          </cell>
        </row>
        <row r="3301">
          <cell r="B3301" t="str">
            <v>TEMPLETON 2111CB</v>
          </cell>
          <cell r="C3301">
            <v>183052111</v>
          </cell>
          <cell r="D3301" t="str">
            <v>TEMPLETON 2111</v>
          </cell>
          <cell r="E3301" t="str">
            <v>CB</v>
          </cell>
          <cell r="F3301" t="b">
            <v>0</v>
          </cell>
          <cell r="G3301">
            <v>17908.511816465299</v>
          </cell>
          <cell r="H3301">
            <v>3627.2584493637301</v>
          </cell>
          <cell r="I3301">
            <v>118</v>
          </cell>
          <cell r="J3301">
            <v>9.0617941479540897E-5</v>
          </cell>
          <cell r="K3301">
            <v>1894</v>
          </cell>
          <cell r="L3301">
            <v>263.19566813508999</v>
          </cell>
          <cell r="M3301">
            <v>1514</v>
          </cell>
          <cell r="N3301">
            <v>1.7802432281832401E-2</v>
          </cell>
          <cell r="O3301">
            <v>1713</v>
          </cell>
          <cell r="P3301">
            <v>0.7</v>
          </cell>
          <cell r="Q3301">
            <v>809</v>
          </cell>
        </row>
        <row r="3302">
          <cell r="B3302" t="str">
            <v>TEMPLETON 2111R86</v>
          </cell>
          <cell r="C3302">
            <v>183052111</v>
          </cell>
          <cell r="D3302" t="str">
            <v>TEMPLETON 2111</v>
          </cell>
          <cell r="E3302" t="str">
            <v>R86</v>
          </cell>
          <cell r="F3302" t="b">
            <v>0</v>
          </cell>
          <cell r="G3302">
            <v>23197.454736549302</v>
          </cell>
          <cell r="H3302">
            <v>17574.2947040039</v>
          </cell>
          <cell r="I3302">
            <v>160</v>
          </cell>
          <cell r="J3302">
            <v>5.7552895462854299E-5</v>
          </cell>
          <cell r="K3302">
            <v>2847</v>
          </cell>
          <cell r="L3302">
            <v>490.649588243989</v>
          </cell>
          <cell r="M3302">
            <v>1209</v>
          </cell>
          <cell r="N3302">
            <v>2.8406663010544699E-2</v>
          </cell>
          <cell r="O3302">
            <v>1491</v>
          </cell>
          <cell r="P3302">
            <v>0.08</v>
          </cell>
          <cell r="Q3302">
            <v>1637</v>
          </cell>
        </row>
        <row r="3303">
          <cell r="B3303" t="str">
            <v>TEMPLETON 2112116402</v>
          </cell>
          <cell r="C3303">
            <v>183052112</v>
          </cell>
          <cell r="D3303" t="str">
            <v>TEMPLETON 2112</v>
          </cell>
          <cell r="E3303">
            <v>116402</v>
          </cell>
          <cell r="F3303" t="b">
            <v>0</v>
          </cell>
          <cell r="G3303">
            <v>11255.0357287526</v>
          </cell>
          <cell r="H3303">
            <v>3810.8828482018098</v>
          </cell>
          <cell r="I3303">
            <v>64</v>
          </cell>
          <cell r="J3303">
            <v>5.74365697332268E-5</v>
          </cell>
          <cell r="K3303">
            <v>2850</v>
          </cell>
          <cell r="L3303">
            <v>1320.28560450754</v>
          </cell>
          <cell r="M3303">
            <v>674</v>
          </cell>
          <cell r="N3303">
            <v>6.2979424290305494E-2</v>
          </cell>
          <cell r="O3303">
            <v>1034</v>
          </cell>
          <cell r="Q3303">
            <v>2740</v>
          </cell>
        </row>
        <row r="3304">
          <cell r="B3304" t="str">
            <v>TEMPLETON 2112238418</v>
          </cell>
          <cell r="C3304">
            <v>183052112</v>
          </cell>
          <cell r="D3304" t="str">
            <v>TEMPLETON 2112</v>
          </cell>
          <cell r="E3304">
            <v>238418</v>
          </cell>
          <cell r="F3304" t="b">
            <v>1</v>
          </cell>
          <cell r="G3304">
            <v>1291.25204704408</v>
          </cell>
          <cell r="H3304">
            <v>331.23840147292901</v>
          </cell>
          <cell r="I3304">
            <v>6</v>
          </cell>
          <cell r="J3304">
            <v>5.4642914771344898E-5</v>
          </cell>
          <cell r="K3304">
            <v>2928</v>
          </cell>
          <cell r="L3304">
            <v>6.5361143400271701E-2</v>
          </cell>
          <cell r="M3304">
            <v>3433</v>
          </cell>
          <cell r="N3304">
            <v>3.5615307952114899E-6</v>
          </cell>
          <cell r="O3304">
            <v>3364</v>
          </cell>
          <cell r="Q3304">
            <v>2935</v>
          </cell>
        </row>
        <row r="3305">
          <cell r="B3305" t="str">
            <v>TEMPLETON 21132949</v>
          </cell>
          <cell r="C3305">
            <v>183052113</v>
          </cell>
          <cell r="D3305" t="str">
            <v>TEMPLETON 2113</v>
          </cell>
          <cell r="E3305">
            <v>2949</v>
          </cell>
          <cell r="F3305" t="b">
            <v>1</v>
          </cell>
          <cell r="G3305">
            <v>766.57185354347905</v>
          </cell>
          <cell r="H3305">
            <v>766.57185354347905</v>
          </cell>
          <cell r="I3305">
            <v>6</v>
          </cell>
          <cell r="J3305">
            <v>4.9947056443973703E-5</v>
          </cell>
          <cell r="K3305">
            <v>3039</v>
          </cell>
          <cell r="L3305">
            <v>6323.2739343345102</v>
          </cell>
          <cell r="M3305">
            <v>22</v>
          </cell>
          <cell r="N3305">
            <v>0.28415523075114202</v>
          </cell>
          <cell r="O3305">
            <v>149</v>
          </cell>
          <cell r="P3305">
            <v>2.67</v>
          </cell>
          <cell r="Q3305">
            <v>590</v>
          </cell>
        </row>
        <row r="3306">
          <cell r="B3306" t="str">
            <v>TEMPLETON 2113641367</v>
          </cell>
          <cell r="C3306">
            <v>183052113</v>
          </cell>
          <cell r="D3306" t="str">
            <v>TEMPLETON 2113</v>
          </cell>
          <cell r="E3306">
            <v>641367</v>
          </cell>
          <cell r="F3306" t="b">
            <v>0</v>
          </cell>
          <cell r="G3306">
            <v>63879.290090131399</v>
          </cell>
          <cell r="H3306">
            <v>63879.290090131399</v>
          </cell>
          <cell r="I3306">
            <v>278</v>
          </cell>
          <cell r="J3306">
            <v>6.9782217365897895E-5</v>
          </cell>
          <cell r="K3306">
            <v>2482</v>
          </cell>
          <cell r="L3306">
            <v>2628.7283852638702</v>
          </cell>
          <cell r="M3306">
            <v>324</v>
          </cell>
          <cell r="N3306">
            <v>0.18079402956740401</v>
          </cell>
          <cell r="O3306">
            <v>399</v>
          </cell>
          <cell r="Q3306">
            <v>3081</v>
          </cell>
        </row>
        <row r="3307">
          <cell r="B3307" t="str">
            <v>TEMPLETON 2113A08</v>
          </cell>
          <cell r="C3307">
            <v>183052113</v>
          </cell>
          <cell r="D3307" t="str">
            <v>TEMPLETON 2113</v>
          </cell>
          <cell r="E3307" t="str">
            <v>A08</v>
          </cell>
          <cell r="F3307" t="b">
            <v>0</v>
          </cell>
          <cell r="G3307">
            <v>39406.659701079501</v>
          </cell>
          <cell r="H3307">
            <v>16842.518635528599</v>
          </cell>
          <cell r="I3307">
            <v>257</v>
          </cell>
          <cell r="J3307">
            <v>7.6017939483174701E-5</v>
          </cell>
          <cell r="K3307">
            <v>2308</v>
          </cell>
          <cell r="L3307">
            <v>953.54182751743394</v>
          </cell>
          <cell r="M3307">
            <v>857</v>
          </cell>
          <cell r="N3307">
            <v>7.9335055477688293E-2</v>
          </cell>
          <cell r="O3307">
            <v>907</v>
          </cell>
          <cell r="P3307">
            <v>0.05</v>
          </cell>
          <cell r="Q3307">
            <v>2006</v>
          </cell>
        </row>
        <row r="3308">
          <cell r="B3308" t="str">
            <v>TEMPLETON 2113A10</v>
          </cell>
          <cell r="C3308">
            <v>183052113</v>
          </cell>
          <cell r="D3308" t="str">
            <v>TEMPLETON 2113</v>
          </cell>
          <cell r="E3308" t="str">
            <v>A10</v>
          </cell>
          <cell r="F3308" t="b">
            <v>0</v>
          </cell>
          <cell r="G3308">
            <v>49945.6996420863</v>
          </cell>
          <cell r="H3308">
            <v>49945.6996420863</v>
          </cell>
          <cell r="I3308">
            <v>264</v>
          </cell>
          <cell r="J3308">
            <v>7.3621667859173799E-5</v>
          </cell>
          <cell r="K3308">
            <v>2377</v>
          </cell>
          <cell r="L3308">
            <v>1325.7938850175101</v>
          </cell>
          <cell r="M3308">
            <v>671</v>
          </cell>
          <cell r="N3308">
            <v>9.8001981587385698E-2</v>
          </cell>
          <cell r="O3308">
            <v>776</v>
          </cell>
          <cell r="P3308">
            <v>7.4</v>
          </cell>
          <cell r="Q3308">
            <v>446</v>
          </cell>
        </row>
        <row r="3309">
          <cell r="B3309" t="str">
            <v>TEMPLETON 2113A12</v>
          </cell>
          <cell r="C3309">
            <v>183052113</v>
          </cell>
          <cell r="D3309" t="str">
            <v>TEMPLETON 2113</v>
          </cell>
          <cell r="E3309" t="str">
            <v>A12</v>
          </cell>
          <cell r="F3309" t="b">
            <v>0</v>
          </cell>
          <cell r="G3309">
            <v>64854.514391525903</v>
          </cell>
          <cell r="H3309">
            <v>64854.514391525903</v>
          </cell>
          <cell r="I3309">
            <v>180</v>
          </cell>
          <cell r="J3309">
            <v>9.1245185302241905E-5</v>
          </cell>
          <cell r="K3309">
            <v>1867</v>
          </cell>
          <cell r="L3309">
            <v>3289.44333093964</v>
          </cell>
          <cell r="M3309">
            <v>226</v>
          </cell>
          <cell r="N3309">
            <v>0.30414037921415499</v>
          </cell>
          <cell r="O3309">
            <v>133</v>
          </cell>
          <cell r="P3309">
            <v>0.11</v>
          </cell>
          <cell r="Q3309">
            <v>1446</v>
          </cell>
        </row>
        <row r="3310">
          <cell r="B3310" t="str">
            <v>TEMPLETON 2113A20</v>
          </cell>
          <cell r="C3310">
            <v>183052113</v>
          </cell>
          <cell r="D3310" t="str">
            <v>TEMPLETON 2113</v>
          </cell>
          <cell r="E3310" t="str">
            <v>A20</v>
          </cell>
          <cell r="F3310" t="b">
            <v>0</v>
          </cell>
          <cell r="G3310">
            <v>12666.422828729799</v>
          </cell>
          <cell r="H3310">
            <v>11999.0834893215</v>
          </cell>
          <cell r="I3310">
            <v>92</v>
          </cell>
          <cell r="J3310">
            <v>8.3458172807497803E-5</v>
          </cell>
          <cell r="K3310">
            <v>2117</v>
          </cell>
          <cell r="L3310">
            <v>4208.4040825074599</v>
          </cell>
          <cell r="M3310">
            <v>137</v>
          </cell>
          <cell r="N3310">
            <v>0.31789818913392498</v>
          </cell>
          <cell r="O3310">
            <v>121</v>
          </cell>
          <cell r="P3310">
            <v>0.09</v>
          </cell>
          <cell r="Q3310">
            <v>1561</v>
          </cell>
        </row>
        <row r="3311">
          <cell r="B3311" t="str">
            <v>TEMPLETON 2113A30</v>
          </cell>
          <cell r="C3311">
            <v>183052113</v>
          </cell>
          <cell r="D3311" t="str">
            <v>TEMPLETON 2113</v>
          </cell>
          <cell r="E3311" t="str">
            <v>A30</v>
          </cell>
          <cell r="F3311" t="b">
            <v>1</v>
          </cell>
          <cell r="G3311">
            <v>2568.4190050533698</v>
          </cell>
          <cell r="H3311">
            <v>401.10460428001801</v>
          </cell>
          <cell r="I3311">
            <v>25</v>
          </cell>
          <cell r="J3311">
            <v>5.8028777330036901E-5</v>
          </cell>
          <cell r="K3311">
            <v>2834</v>
          </cell>
          <cell r="L3311">
            <v>6.3990101924538596</v>
          </cell>
          <cell r="M3311">
            <v>2699</v>
          </cell>
          <cell r="N3311">
            <v>6.2089052269761601E-4</v>
          </cell>
          <cell r="O3311">
            <v>2702</v>
          </cell>
          <cell r="P3311">
            <v>0.02</v>
          </cell>
          <cell r="Q3311">
            <v>2500</v>
          </cell>
        </row>
        <row r="3312">
          <cell r="B3312" t="str">
            <v>TEMPLETON 2113A32</v>
          </cell>
          <cell r="C3312">
            <v>183052113</v>
          </cell>
          <cell r="D3312" t="str">
            <v>TEMPLETON 2113</v>
          </cell>
          <cell r="E3312" t="str">
            <v>A32</v>
          </cell>
          <cell r="F3312" t="b">
            <v>0</v>
          </cell>
          <cell r="G3312">
            <v>9519.6112701278107</v>
          </cell>
          <cell r="H3312">
            <v>2633.38047003561</v>
          </cell>
          <cell r="I3312">
            <v>76</v>
          </cell>
          <cell r="J3312">
            <v>6.2624965147207098E-5</v>
          </cell>
          <cell r="K3312">
            <v>2697</v>
          </cell>
          <cell r="L3312">
            <v>14.4505118259081</v>
          </cell>
          <cell r="M3312">
            <v>2541</v>
          </cell>
          <cell r="N3312">
            <v>9.3807267255841095E-4</v>
          </cell>
          <cell r="O3312">
            <v>2650</v>
          </cell>
          <cell r="P3312">
            <v>0.03</v>
          </cell>
          <cell r="Q3312">
            <v>2314</v>
          </cell>
        </row>
        <row r="3313">
          <cell r="B3313" t="str">
            <v>TEMPLETON 2113A60</v>
          </cell>
          <cell r="C3313">
            <v>183052113</v>
          </cell>
          <cell r="D3313" t="str">
            <v>TEMPLETON 2113</v>
          </cell>
          <cell r="E3313" t="str">
            <v>A60</v>
          </cell>
          <cell r="F3313" t="b">
            <v>0</v>
          </cell>
          <cell r="G3313">
            <v>14423.323330270099</v>
          </cell>
          <cell r="H3313">
            <v>11709.095351596199</v>
          </cell>
          <cell r="I3313">
            <v>88</v>
          </cell>
          <cell r="J3313">
            <v>8.0146739171802598E-5</v>
          </cell>
          <cell r="K3313">
            <v>2202</v>
          </cell>
          <cell r="L3313">
            <v>2043.3402036602799</v>
          </cell>
          <cell r="M3313">
            <v>447</v>
          </cell>
          <cell r="N3313">
            <v>0.14391363350081601</v>
          </cell>
          <cell r="O3313">
            <v>552</v>
          </cell>
          <cell r="P3313">
            <v>1.69</v>
          </cell>
          <cell r="Q3313">
            <v>651</v>
          </cell>
        </row>
        <row r="3314">
          <cell r="B3314" t="str">
            <v>TEMPLETON 2113A70</v>
          </cell>
          <cell r="C3314">
            <v>183052113</v>
          </cell>
          <cell r="D3314" t="str">
            <v>TEMPLETON 2113</v>
          </cell>
          <cell r="E3314" t="str">
            <v>A70</v>
          </cell>
          <cell r="F3314" t="b">
            <v>0</v>
          </cell>
          <cell r="G3314">
            <v>107377.73314761699</v>
          </cell>
          <cell r="H3314">
            <v>39764.028504659596</v>
          </cell>
          <cell r="I3314">
            <v>659</v>
          </cell>
          <cell r="J3314">
            <v>6.9564973611145495E-5</v>
          </cell>
          <cell r="K3314">
            <v>2486</v>
          </cell>
          <cell r="L3314">
            <v>1197.40897756359</v>
          </cell>
          <cell r="M3314">
            <v>731</v>
          </cell>
          <cell r="N3314">
            <v>7.3157141463196004E-2</v>
          </cell>
          <cell r="O3314">
            <v>955</v>
          </cell>
          <cell r="P3314">
            <v>3.57</v>
          </cell>
          <cell r="Q3314">
            <v>542</v>
          </cell>
        </row>
        <row r="3315">
          <cell r="B3315" t="str">
            <v>TEMPLETON 2113CB</v>
          </cell>
          <cell r="C3315">
            <v>183052113</v>
          </cell>
          <cell r="D3315" t="str">
            <v>TEMPLETON 2113</v>
          </cell>
          <cell r="E3315" t="str">
            <v>CB</v>
          </cell>
          <cell r="F3315" t="b">
            <v>0</v>
          </cell>
          <cell r="G3315">
            <v>41366.512127152499</v>
          </cell>
          <cell r="H3315">
            <v>1446.4902917504201</v>
          </cell>
          <cell r="I3315">
            <v>288</v>
          </cell>
          <cell r="J3315">
            <v>7.2635250595519296E-5</v>
          </cell>
          <cell r="K3315">
            <v>2400</v>
          </cell>
          <cell r="L3315">
            <v>424.91704977942697</v>
          </cell>
          <cell r="M3315">
            <v>1268</v>
          </cell>
          <cell r="N3315">
            <v>2.8499093347410999E-2</v>
          </cell>
          <cell r="O3315">
            <v>1489</v>
          </cell>
          <cell r="P3315">
            <v>0.17</v>
          </cell>
          <cell r="Q3315">
            <v>1224</v>
          </cell>
        </row>
        <row r="3316">
          <cell r="B3316" t="str">
            <v>TEMPLETON 2113R82</v>
          </cell>
          <cell r="C3316">
            <v>183052113</v>
          </cell>
          <cell r="D3316" t="str">
            <v>TEMPLETON 2113</v>
          </cell>
          <cell r="E3316" t="str">
            <v>R82</v>
          </cell>
          <cell r="F3316" t="b">
            <v>0</v>
          </cell>
          <cell r="G3316">
            <v>111857.956298973</v>
          </cell>
          <cell r="H3316">
            <v>61789.4024993325</v>
          </cell>
          <cell r="I3316">
            <v>563</v>
          </cell>
          <cell r="J3316">
            <v>6.8189957252613704E-5</v>
          </cell>
          <cell r="K3316">
            <v>2530</v>
          </cell>
          <cell r="L3316">
            <v>1317.1207316918801</v>
          </cell>
          <cell r="M3316">
            <v>675</v>
          </cell>
          <cell r="N3316">
            <v>8.4912999925361804E-2</v>
          </cell>
          <cell r="O3316">
            <v>864</v>
          </cell>
          <cell r="P3316">
            <v>0.03</v>
          </cell>
          <cell r="Q3316">
            <v>2235</v>
          </cell>
        </row>
        <row r="3317">
          <cell r="B3317" t="str">
            <v>TIDEWATER 210614072</v>
          </cell>
          <cell r="C3317">
            <v>14652106</v>
          </cell>
          <cell r="D3317" t="str">
            <v>TIDEWATER 2106</v>
          </cell>
          <cell r="E3317">
            <v>14072</v>
          </cell>
          <cell r="F3317" t="b">
            <v>0</v>
          </cell>
          <cell r="G3317">
            <v>6206.8729110448803</v>
          </cell>
          <cell r="H3317">
            <v>5897.31174498563</v>
          </cell>
          <cell r="I3317">
            <v>30</v>
          </cell>
          <cell r="J3317">
            <v>1.30602393192961E-4</v>
          </cell>
          <cell r="K3317">
            <v>999</v>
          </cell>
          <cell r="L3317">
            <v>5236.6889824233604</v>
          </cell>
          <cell r="M3317">
            <v>59</v>
          </cell>
          <cell r="N3317">
            <v>0.65331191648807796</v>
          </cell>
          <cell r="O3317">
            <v>18</v>
          </cell>
          <cell r="P3317">
            <v>0.05</v>
          </cell>
          <cell r="Q3317">
            <v>2003</v>
          </cell>
        </row>
        <row r="3318">
          <cell r="B3318" t="str">
            <v>TIDEWATER 210657926</v>
          </cell>
          <cell r="C3318">
            <v>14652106</v>
          </cell>
          <cell r="D3318" t="str">
            <v>TIDEWATER 2106</v>
          </cell>
          <cell r="E3318">
            <v>57926</v>
          </cell>
          <cell r="F3318" t="b">
            <v>1</v>
          </cell>
          <cell r="G3318">
            <v>18926.972373261098</v>
          </cell>
          <cell r="H3318">
            <v>200.791596720439</v>
          </cell>
          <cell r="I3318">
            <v>97</v>
          </cell>
          <cell r="J3318">
            <v>5.4965329552062898E-5</v>
          </cell>
          <cell r="K3318">
            <v>2914</v>
          </cell>
          <cell r="L3318">
            <v>62.5543201872227</v>
          </cell>
          <cell r="M3318">
            <v>2139</v>
          </cell>
          <cell r="N3318">
            <v>5.3560716989051599E-3</v>
          </cell>
          <cell r="O3318">
            <v>2190</v>
          </cell>
          <cell r="Q3318">
            <v>2900</v>
          </cell>
        </row>
        <row r="3319">
          <cell r="B3319" t="str">
            <v>TIDEWATER 210665866</v>
          </cell>
          <cell r="C3319">
            <v>14652106</v>
          </cell>
          <cell r="D3319" t="str">
            <v>TIDEWATER 2106</v>
          </cell>
          <cell r="E3319">
            <v>65866</v>
          </cell>
          <cell r="F3319" t="b">
            <v>0</v>
          </cell>
          <cell r="G3319">
            <v>13028.5461495703</v>
          </cell>
          <cell r="H3319">
            <v>5501.1432040187201</v>
          </cell>
          <cell r="I3319">
            <v>65</v>
          </cell>
          <cell r="J3319">
            <v>4.66215265153853E-5</v>
          </cell>
          <cell r="K3319">
            <v>3122</v>
          </cell>
          <cell r="L3319">
            <v>158.51628225082399</v>
          </cell>
          <cell r="M3319">
            <v>1752</v>
          </cell>
          <cell r="N3319">
            <v>1.49183987519813E-2</v>
          </cell>
          <cell r="O3319">
            <v>1784</v>
          </cell>
          <cell r="P3319">
            <v>0.04</v>
          </cell>
          <cell r="Q3319">
            <v>2201</v>
          </cell>
        </row>
        <row r="3320">
          <cell r="B3320" t="str">
            <v>TIDEWATER 2106745811</v>
          </cell>
          <cell r="C3320">
            <v>14652106</v>
          </cell>
          <cell r="D3320" t="str">
            <v>TIDEWATER 2106</v>
          </cell>
          <cell r="E3320">
            <v>745811</v>
          </cell>
          <cell r="F3320" t="b">
            <v>1</v>
          </cell>
          <cell r="G3320">
            <v>780.42601939451004</v>
          </cell>
          <cell r="H3320">
            <v>641.291639286394</v>
          </cell>
          <cell r="I3320">
            <v>8</v>
          </cell>
          <cell r="J3320">
            <v>7.9022286172403201E-5</v>
          </cell>
          <cell r="K3320">
            <v>2235</v>
          </cell>
          <cell r="L3320">
            <v>1106.1185489931399</v>
          </cell>
          <cell r="M3320">
            <v>773</v>
          </cell>
          <cell r="N3320">
            <v>0.11505883865232699</v>
          </cell>
          <cell r="O3320">
            <v>672</v>
          </cell>
          <cell r="Q3320">
            <v>3113</v>
          </cell>
        </row>
        <row r="3321">
          <cell r="B3321" t="str">
            <v>TIDEWATER 2106781445</v>
          </cell>
          <cell r="C3321">
            <v>14652106</v>
          </cell>
          <cell r="D3321" t="str">
            <v>TIDEWATER 2106</v>
          </cell>
          <cell r="E3321">
            <v>781445</v>
          </cell>
          <cell r="F3321" t="b">
            <v>1</v>
          </cell>
          <cell r="G3321">
            <v>577.88771487984002</v>
          </cell>
          <cell r="H3321">
            <v>405.53649089548401</v>
          </cell>
          <cell r="I3321">
            <v>6</v>
          </cell>
          <cell r="J3321">
            <v>1.05458206962794E-4</v>
          </cell>
          <cell r="K3321">
            <v>1508</v>
          </cell>
          <cell r="L3321">
            <v>1075.6000626100999</v>
          </cell>
          <cell r="M3321">
            <v>784</v>
          </cell>
          <cell r="N3321">
            <v>0.121450936452061</v>
          </cell>
          <cell r="O3321">
            <v>638</v>
          </cell>
          <cell r="Q3321">
            <v>3291</v>
          </cell>
        </row>
        <row r="3322">
          <cell r="B3322" t="str">
            <v>TIGER CREEK 0201CB</v>
          </cell>
          <cell r="C3322">
            <v>161380201</v>
          </cell>
          <cell r="D3322" t="str">
            <v>TIGER CREEK 0201</v>
          </cell>
          <cell r="E3322" t="str">
            <v>CB</v>
          </cell>
          <cell r="F3322" t="b">
            <v>0</v>
          </cell>
          <cell r="G3322">
            <v>6022.6717613153896</v>
          </cell>
          <cell r="H3322">
            <v>6022.6717613153896</v>
          </cell>
          <cell r="I3322">
            <v>20</v>
          </cell>
          <cell r="J3322">
            <v>1.11377906202841E-4</v>
          </cell>
          <cell r="K3322">
            <v>1387</v>
          </cell>
          <cell r="L3322">
            <v>174.789778911296</v>
          </cell>
          <cell r="M3322">
            <v>1698</v>
          </cell>
          <cell r="N3322">
            <v>1.68013620459611E-2</v>
          </cell>
          <cell r="O3322">
            <v>1744</v>
          </cell>
          <cell r="P3322">
            <v>22.21</v>
          </cell>
          <cell r="Q3322">
            <v>295</v>
          </cell>
        </row>
        <row r="3323">
          <cell r="B3323" t="str">
            <v>TIVY VALLEY 110737522</v>
          </cell>
          <cell r="C3323">
            <v>252941107</v>
          </cell>
          <cell r="D3323" t="str">
            <v>TIVY VALLEY 1107</v>
          </cell>
          <cell r="E3323">
            <v>37522</v>
          </cell>
          <cell r="F3323" t="b">
            <v>1</v>
          </cell>
          <cell r="G3323">
            <v>4999.56715901395</v>
          </cell>
          <cell r="H3323">
            <v>833.62965746589896</v>
          </cell>
          <cell r="I3323">
            <v>43</v>
          </cell>
          <cell r="J3323">
            <v>3.7338892514864797E-5</v>
          </cell>
          <cell r="K3323">
            <v>3307</v>
          </cell>
          <cell r="L3323">
            <v>997.94638258825205</v>
          </cell>
          <cell r="M3323">
            <v>835</v>
          </cell>
          <cell r="N3323">
            <v>2.5221467251741899E-2</v>
          </cell>
          <cell r="O3323">
            <v>1553</v>
          </cell>
          <cell r="P3323">
            <v>0.42</v>
          </cell>
          <cell r="Q3323">
            <v>937</v>
          </cell>
        </row>
        <row r="3324">
          <cell r="B3324" t="str">
            <v>TIVY VALLEY 1107584840</v>
          </cell>
          <cell r="C3324">
            <v>252941107</v>
          </cell>
          <cell r="D3324" t="str">
            <v>TIVY VALLEY 1107</v>
          </cell>
          <cell r="E3324">
            <v>584840</v>
          </cell>
          <cell r="F3324" t="b">
            <v>0</v>
          </cell>
          <cell r="G3324">
            <v>72531.106408262494</v>
          </cell>
          <cell r="H3324">
            <v>72531.106408262494</v>
          </cell>
          <cell r="I3324">
            <v>449</v>
          </cell>
          <cell r="J3324">
            <v>3.4014402151169702E-5</v>
          </cell>
          <cell r="K3324">
            <v>3370</v>
          </cell>
          <cell r="L3324">
            <v>5963.8827051325497</v>
          </cell>
          <cell r="M3324">
            <v>31</v>
          </cell>
          <cell r="N3324">
            <v>0.19445660339698101</v>
          </cell>
          <cell r="O3324">
            <v>349</v>
          </cell>
          <cell r="P3324">
            <v>0.16</v>
          </cell>
          <cell r="Q3324">
            <v>1267</v>
          </cell>
        </row>
        <row r="3325">
          <cell r="B3325" t="str">
            <v>TIVY VALLEY 1107599142</v>
          </cell>
          <cell r="C3325">
            <v>252941107</v>
          </cell>
          <cell r="D3325" t="str">
            <v>TIVY VALLEY 1107</v>
          </cell>
          <cell r="E3325">
            <v>599142</v>
          </cell>
          <cell r="F3325" t="b">
            <v>1</v>
          </cell>
          <cell r="G3325">
            <v>3668.63376483715</v>
          </cell>
          <cell r="H3325">
            <v>573.31047687403998</v>
          </cell>
          <cell r="I3325">
            <v>19</v>
          </cell>
          <cell r="J3325">
            <v>2.2881071775995398E-5</v>
          </cell>
          <cell r="K3325">
            <v>3512</v>
          </cell>
          <cell r="L3325">
            <v>2022.5530779267599</v>
          </cell>
          <cell r="M3325">
            <v>452</v>
          </cell>
          <cell r="N3325">
            <v>3.2739548599425503E-2</v>
          </cell>
          <cell r="O3325">
            <v>1411</v>
          </cell>
          <cell r="Q3325">
            <v>3488</v>
          </cell>
        </row>
        <row r="3326">
          <cell r="B3326" t="str">
            <v>TIVY VALLEY 11077380</v>
          </cell>
          <cell r="C3326">
            <v>252941107</v>
          </cell>
          <cell r="D3326" t="str">
            <v>TIVY VALLEY 1107</v>
          </cell>
          <cell r="E3326">
            <v>7380</v>
          </cell>
          <cell r="F3326" t="b">
            <v>0</v>
          </cell>
          <cell r="G3326">
            <v>45386.741567837198</v>
          </cell>
          <cell r="H3326">
            <v>20845.5532679346</v>
          </cell>
          <cell r="I3326">
            <v>240</v>
          </cell>
          <cell r="J3326">
            <v>4.45099671478259E-5</v>
          </cell>
          <cell r="K3326">
            <v>3175</v>
          </cell>
          <cell r="L3326">
            <v>2480.8682507128401</v>
          </cell>
          <cell r="M3326">
            <v>345</v>
          </cell>
          <cell r="N3326">
            <v>8.6217801970795899E-2</v>
          </cell>
          <cell r="O3326">
            <v>850</v>
          </cell>
          <cell r="P3326">
            <v>7.0000000000000007E-2</v>
          </cell>
          <cell r="Q3326">
            <v>1707</v>
          </cell>
        </row>
        <row r="3327">
          <cell r="B3327" t="str">
            <v>TIVY VALLEY 1107822606</v>
          </cell>
          <cell r="C3327">
            <v>252941107</v>
          </cell>
          <cell r="D3327" t="str">
            <v>TIVY VALLEY 1107</v>
          </cell>
          <cell r="E3327">
            <v>822606</v>
          </cell>
          <cell r="F3327" t="b">
            <v>0</v>
          </cell>
          <cell r="G3327">
            <v>29230.095385437799</v>
          </cell>
          <cell r="H3327">
            <v>21701.946605641398</v>
          </cell>
          <cell r="I3327">
            <v>144</v>
          </cell>
          <cell r="J3327">
            <v>3.2056754412544302E-5</v>
          </cell>
          <cell r="K3327">
            <v>3400</v>
          </cell>
          <cell r="L3327">
            <v>3717.2295840820202</v>
          </cell>
          <cell r="M3327">
            <v>181</v>
          </cell>
          <cell r="N3327">
            <v>0.11894120597662899</v>
          </cell>
          <cell r="O3327">
            <v>652</v>
          </cell>
          <cell r="Q3327">
            <v>2678</v>
          </cell>
        </row>
        <row r="3328">
          <cell r="B3328" t="str">
            <v>TIVY VALLEY 1107869946</v>
          </cell>
          <cell r="C3328">
            <v>252941107</v>
          </cell>
          <cell r="D3328" t="str">
            <v>TIVY VALLEY 1107</v>
          </cell>
          <cell r="E3328">
            <v>869946</v>
          </cell>
          <cell r="F3328" t="b">
            <v>0</v>
          </cell>
          <cell r="G3328">
            <v>47850.899969511098</v>
          </cell>
          <cell r="H3328">
            <v>47850.899969511098</v>
          </cell>
          <cell r="I3328">
            <v>197</v>
          </cell>
          <cell r="J3328">
            <v>2.1688984806663301E-5</v>
          </cell>
          <cell r="K3328">
            <v>3527</v>
          </cell>
          <cell r="L3328">
            <v>7360.2382975595101</v>
          </cell>
          <cell r="M3328">
            <v>8</v>
          </cell>
          <cell r="N3328">
            <v>0.15534203127935001</v>
          </cell>
          <cell r="O3328">
            <v>491</v>
          </cell>
          <cell r="P3328">
            <v>4.76</v>
          </cell>
          <cell r="Q3328">
            <v>507</v>
          </cell>
        </row>
        <row r="3329">
          <cell r="B3329" t="str">
            <v>TIVY VALLEY 1107CB</v>
          </cell>
          <cell r="C3329">
            <v>252941107</v>
          </cell>
          <cell r="D3329" t="str">
            <v>TIVY VALLEY 1107</v>
          </cell>
          <cell r="E3329" t="str">
            <v>CB</v>
          </cell>
          <cell r="F3329" t="b">
            <v>1</v>
          </cell>
          <cell r="G3329">
            <v>35309.480146135698</v>
          </cell>
          <cell r="H3329">
            <v>290.05308060245699</v>
          </cell>
          <cell r="I3329">
            <v>155</v>
          </cell>
          <cell r="J3329">
            <v>3.6069673414155903E-5</v>
          </cell>
          <cell r="K3329">
            <v>3336</v>
          </cell>
          <cell r="L3329">
            <v>256.81827312933802</v>
          </cell>
          <cell r="M3329">
            <v>1529</v>
          </cell>
          <cell r="N3329">
            <v>4.4835304828874899E-3</v>
          </cell>
          <cell r="O3329">
            <v>2232</v>
          </cell>
          <cell r="Q3329">
            <v>3056</v>
          </cell>
        </row>
        <row r="3330">
          <cell r="B3330" t="str">
            <v>TIVY VALLEY 1107R1817</v>
          </cell>
          <cell r="C3330">
            <v>252941107</v>
          </cell>
          <cell r="D3330" t="str">
            <v>TIVY VALLEY 1107</v>
          </cell>
          <cell r="E3330" t="str">
            <v>R1817</v>
          </cell>
          <cell r="F3330" t="b">
            <v>0</v>
          </cell>
          <cell r="G3330">
            <v>31029.218735535</v>
          </cell>
          <cell r="H3330">
            <v>31029.218735535</v>
          </cell>
          <cell r="I3330">
            <v>145</v>
          </cell>
          <cell r="J3330">
            <v>3.1982136602766397E-5</v>
          </cell>
          <cell r="K3330">
            <v>3401</v>
          </cell>
          <cell r="L3330">
            <v>5976.69811726032</v>
          </cell>
          <cell r="M3330">
            <v>30</v>
          </cell>
          <cell r="N3330">
            <v>0.17887788367448801</v>
          </cell>
          <cell r="O3330">
            <v>404</v>
          </cell>
          <cell r="P3330">
            <v>0.08</v>
          </cell>
          <cell r="Q3330">
            <v>1648</v>
          </cell>
        </row>
        <row r="3331">
          <cell r="B3331" t="str">
            <v>TOCALOMA 0241CB</v>
          </cell>
          <cell r="C3331">
            <v>43150241</v>
          </cell>
          <cell r="D3331" t="str">
            <v>TOCALOMA 0241</v>
          </cell>
          <cell r="E3331" t="str">
            <v>CB</v>
          </cell>
          <cell r="F3331" t="b">
            <v>1</v>
          </cell>
          <cell r="G3331">
            <v>26.5151306552813</v>
          </cell>
          <cell r="H3331">
            <v>26.5151306552813</v>
          </cell>
          <cell r="I3331">
            <v>1</v>
          </cell>
          <cell r="J3331">
            <v>7.8863224189262797E-5</v>
          </cell>
          <cell r="K3331">
            <v>2240</v>
          </cell>
          <cell r="L3331">
            <v>166.41172790527301</v>
          </cell>
          <cell r="M3331">
            <v>1731</v>
          </cell>
          <cell r="N3331">
            <v>1.3123765405516101E-2</v>
          </cell>
          <cell r="O3331">
            <v>1841</v>
          </cell>
          <cell r="P3331">
            <v>0.04</v>
          </cell>
          <cell r="Q3331">
            <v>2184</v>
          </cell>
        </row>
        <row r="3332">
          <cell r="B3332" t="str">
            <v>TRES PINOS 1111203126</v>
          </cell>
          <cell r="C3332">
            <v>183221111</v>
          </cell>
          <cell r="D3332" t="str">
            <v>TRES PINOS 1111</v>
          </cell>
          <cell r="E3332">
            <v>203126</v>
          </cell>
          <cell r="F3332" t="b">
            <v>1</v>
          </cell>
          <cell r="G3332">
            <v>10848.700135978301</v>
          </cell>
          <cell r="H3332">
            <v>107.461119208684</v>
          </cell>
          <cell r="I3332">
            <v>58</v>
          </cell>
          <cell r="J3332">
            <v>6.8096949125274705E-5</v>
          </cell>
          <cell r="K3332">
            <v>2533</v>
          </cell>
          <cell r="L3332">
            <v>54.253105536360103</v>
          </cell>
          <cell r="M3332">
            <v>2186</v>
          </cell>
          <cell r="N3332">
            <v>3.44185625711496E-3</v>
          </cell>
          <cell r="O3332">
            <v>2300</v>
          </cell>
          <cell r="Q3332">
            <v>3261</v>
          </cell>
        </row>
        <row r="3333">
          <cell r="B3333" t="str">
            <v>TRIDAM POWERHOUSE 2101CB</v>
          </cell>
          <cell r="C3333">
            <v>168152101</v>
          </cell>
          <cell r="D3333" t="str">
            <v>TRIDAM POWERHOUSE 2101</v>
          </cell>
          <cell r="E3333" t="str">
            <v>CB</v>
          </cell>
          <cell r="F3333" t="b">
            <v>1</v>
          </cell>
          <cell r="G3333">
            <v>80.995405193164402</v>
          </cell>
          <cell r="H3333">
            <v>80.995405193164402</v>
          </cell>
          <cell r="I3333">
            <v>3</v>
          </cell>
          <cell r="J3333">
            <v>1.12560502505706E-4</v>
          </cell>
          <cell r="K3333">
            <v>1354</v>
          </cell>
          <cell r="L3333">
            <v>6.6431229729116206E-2</v>
          </cell>
          <cell r="M3333">
            <v>3089</v>
          </cell>
          <cell r="N3333">
            <v>7.4775326003813203E-6</v>
          </cell>
          <cell r="O3333">
            <v>3145</v>
          </cell>
          <cell r="P3333">
            <v>0.03</v>
          </cell>
          <cell r="Q3333">
            <v>2362</v>
          </cell>
        </row>
        <row r="3334">
          <cell r="B3334" t="str">
            <v>TULE POWER HOUSE 1101CB</v>
          </cell>
          <cell r="C3334">
            <v>258591101</v>
          </cell>
          <cell r="D3334" t="str">
            <v>TULE POWER HOUSE 1101</v>
          </cell>
          <cell r="E3334" t="str">
            <v>CB</v>
          </cell>
          <cell r="F3334" t="b">
            <v>0</v>
          </cell>
          <cell r="G3334">
            <v>6570.8000181588704</v>
          </cell>
          <cell r="H3334">
            <v>6570.8000181588704</v>
          </cell>
          <cell r="I3334">
            <v>11</v>
          </cell>
          <cell r="J3334">
            <v>6.9646416159230195E-5</v>
          </cell>
          <cell r="K3334">
            <v>2484</v>
          </cell>
          <cell r="L3334">
            <v>248.95376662243501</v>
          </cell>
          <cell r="M3334">
            <v>1542</v>
          </cell>
          <cell r="N3334">
            <v>4.2328508161485401E-4</v>
          </cell>
          <cell r="O3334">
            <v>2756</v>
          </cell>
          <cell r="P3334">
            <v>0.02</v>
          </cell>
          <cell r="Q3334">
            <v>2523</v>
          </cell>
        </row>
        <row r="3335">
          <cell r="B3335" t="str">
            <v>TULUCAY 1101504524</v>
          </cell>
          <cell r="C3335">
            <v>42301101</v>
          </cell>
          <cell r="D3335" t="str">
            <v>TULUCAY 1101</v>
          </cell>
          <cell r="E3335">
            <v>504524</v>
          </cell>
          <cell r="F3335" t="b">
            <v>1</v>
          </cell>
          <cell r="G3335">
            <v>2446.5239604860499</v>
          </cell>
          <cell r="H3335">
            <v>610.09910824704605</v>
          </cell>
          <cell r="I3335">
            <v>15</v>
          </cell>
          <cell r="J3335">
            <v>4.7542496689017599E-5</v>
          </cell>
          <cell r="K3335">
            <v>3101</v>
          </cell>
          <cell r="L3335">
            <v>6.5321881075147706E-2</v>
          </cell>
          <cell r="M3335">
            <v>3452</v>
          </cell>
          <cell r="N3335">
            <v>3.1215543045934302E-6</v>
          </cell>
          <cell r="O3335">
            <v>3401</v>
          </cell>
          <cell r="Q3335">
            <v>3262</v>
          </cell>
        </row>
        <row r="3336">
          <cell r="B3336" t="str">
            <v>TULUCAY 1101628</v>
          </cell>
          <cell r="C3336">
            <v>42301101</v>
          </cell>
          <cell r="D3336" t="str">
            <v>TULUCAY 1101</v>
          </cell>
          <cell r="E3336">
            <v>628</v>
          </cell>
          <cell r="F3336" t="b">
            <v>0</v>
          </cell>
          <cell r="G3336">
            <v>14091.110488017999</v>
          </cell>
          <cell r="H3336">
            <v>6713.6414156599603</v>
          </cell>
          <cell r="I3336">
            <v>98</v>
          </cell>
          <cell r="J3336">
            <v>1.02937370928012E-4</v>
          </cell>
          <cell r="K3336">
            <v>1570</v>
          </cell>
          <cell r="L3336">
            <v>2036.6121665644</v>
          </cell>
          <cell r="M3336">
            <v>448</v>
          </cell>
          <cell r="N3336">
            <v>0.196860503530873</v>
          </cell>
          <cell r="O3336">
            <v>338</v>
          </cell>
          <cell r="P3336">
            <v>0.05</v>
          </cell>
          <cell r="Q3336">
            <v>2063</v>
          </cell>
        </row>
        <row r="3337">
          <cell r="B3337" t="str">
            <v>TYLER 11051536</v>
          </cell>
          <cell r="C3337">
            <v>103571105</v>
          </cell>
          <cell r="D3337" t="str">
            <v>TYLER 1105</v>
          </cell>
          <cell r="E3337">
            <v>1536</v>
          </cell>
          <cell r="F3337" t="b">
            <v>0</v>
          </cell>
          <cell r="G3337">
            <v>29066.107631232499</v>
          </cell>
          <cell r="H3337">
            <v>28603.814933089001</v>
          </cell>
          <cell r="I3337">
            <v>79</v>
          </cell>
          <cell r="J3337">
            <v>4.6575392077915897E-5</v>
          </cell>
          <cell r="K3337">
            <v>3124</v>
          </cell>
          <cell r="L3337">
            <v>4923.7257220694</v>
          </cell>
          <cell r="M3337">
            <v>83</v>
          </cell>
          <cell r="N3337">
            <v>0.21607933500826801</v>
          </cell>
          <cell r="O3337">
            <v>292</v>
          </cell>
          <cell r="P3337">
            <v>7.0000000000000007E-2</v>
          </cell>
          <cell r="Q3337">
            <v>1705</v>
          </cell>
        </row>
        <row r="3338">
          <cell r="B3338" t="str">
            <v>TYLER 1105816852</v>
          </cell>
          <cell r="C3338">
            <v>103571105</v>
          </cell>
          <cell r="D3338" t="str">
            <v>TYLER 1105</v>
          </cell>
          <cell r="E3338">
            <v>816852</v>
          </cell>
          <cell r="F3338" t="b">
            <v>0</v>
          </cell>
          <cell r="G3338">
            <v>70141.746645085805</v>
          </cell>
          <cell r="H3338">
            <v>20545.687609765999</v>
          </cell>
          <cell r="I3338">
            <v>423</v>
          </cell>
          <cell r="J3338">
            <v>4.2631320530701799E-5</v>
          </cell>
          <cell r="K3338">
            <v>3214</v>
          </cell>
          <cell r="L3338">
            <v>1516.9462843466899</v>
          </cell>
          <cell r="M3338">
            <v>587</v>
          </cell>
          <cell r="N3338">
            <v>5.7548618167454803E-2</v>
          </cell>
          <cell r="O3338">
            <v>1083</v>
          </cell>
          <cell r="Q3338">
            <v>2655</v>
          </cell>
        </row>
        <row r="3339">
          <cell r="B3339" t="str">
            <v>TYLER 110585132</v>
          </cell>
          <cell r="C3339">
            <v>103571105</v>
          </cell>
          <cell r="D3339" t="str">
            <v>TYLER 1105</v>
          </cell>
          <cell r="E3339">
            <v>85132</v>
          </cell>
          <cell r="F3339" t="b">
            <v>0</v>
          </cell>
          <cell r="G3339">
            <v>50093.018916872497</v>
          </cell>
          <cell r="H3339">
            <v>50093.018916872497</v>
          </cell>
          <cell r="I3339">
            <v>217</v>
          </cell>
          <cell r="J3339">
            <v>4.2569679433688502E-5</v>
          </cell>
          <cell r="K3339">
            <v>3216</v>
          </cell>
          <cell r="L3339">
            <v>4662.7246576460002</v>
          </cell>
          <cell r="M3339">
            <v>101</v>
          </cell>
          <cell r="N3339">
            <v>0.18633250433927101</v>
          </cell>
          <cell r="O3339">
            <v>383</v>
          </cell>
          <cell r="P3339">
            <v>0.13</v>
          </cell>
          <cell r="Q3339">
            <v>1354</v>
          </cell>
        </row>
        <row r="3340">
          <cell r="B3340" t="str">
            <v>UKIAH 1111168892</v>
          </cell>
          <cell r="C3340">
            <v>42771111</v>
          </cell>
          <cell r="D3340" t="str">
            <v>UKIAH 1111</v>
          </cell>
          <cell r="E3340">
            <v>168892</v>
          </cell>
          <cell r="F3340" t="b">
            <v>1</v>
          </cell>
          <cell r="G3340">
            <v>1078.2209172952801</v>
          </cell>
          <cell r="H3340">
            <v>264.32074702938098</v>
          </cell>
          <cell r="I3340">
            <v>8</v>
          </cell>
          <cell r="J3340">
            <v>7.0493959875810594E-5</v>
          </cell>
          <cell r="K3340">
            <v>2456</v>
          </cell>
          <cell r="L3340">
            <v>277.19760517988101</v>
          </cell>
          <cell r="M3340">
            <v>1478</v>
          </cell>
          <cell r="N3340">
            <v>4.00992643997862E-2</v>
          </cell>
          <cell r="O3340">
            <v>1305</v>
          </cell>
          <cell r="Q3340">
            <v>3240</v>
          </cell>
        </row>
        <row r="3341">
          <cell r="B3341" t="str">
            <v>UKIAH 1111534</v>
          </cell>
          <cell r="C3341">
            <v>42771111</v>
          </cell>
          <cell r="D3341" t="str">
            <v>UKIAH 1111</v>
          </cell>
          <cell r="E3341">
            <v>534</v>
          </cell>
          <cell r="F3341" t="b">
            <v>0</v>
          </cell>
          <cell r="G3341">
            <v>33775.849653717501</v>
          </cell>
          <cell r="H3341">
            <v>30432.339923334399</v>
          </cell>
          <cell r="I3341">
            <v>142</v>
          </cell>
          <cell r="J3341">
            <v>8.2307307010968497E-5</v>
          </cell>
          <cell r="K3341">
            <v>2145</v>
          </cell>
          <cell r="L3341">
            <v>3212.6445065555599</v>
          </cell>
          <cell r="M3341">
            <v>237</v>
          </cell>
          <cell r="N3341">
            <v>0.25576694869213201</v>
          </cell>
          <cell r="O3341">
            <v>205</v>
          </cell>
          <cell r="P3341">
            <v>0.12</v>
          </cell>
          <cell r="Q3341">
            <v>1397</v>
          </cell>
        </row>
        <row r="3342">
          <cell r="B3342" t="str">
            <v>UKIAH 1111807988</v>
          </cell>
          <cell r="C3342">
            <v>42771111</v>
          </cell>
          <cell r="D3342" t="str">
            <v>UKIAH 1111</v>
          </cell>
          <cell r="E3342">
            <v>807988</v>
          </cell>
          <cell r="F3342" t="b">
            <v>0</v>
          </cell>
          <cell r="G3342">
            <v>6722.2778725561202</v>
          </cell>
          <cell r="H3342">
            <v>6706.24770917961</v>
          </cell>
          <cell r="I3342">
            <v>15</v>
          </cell>
          <cell r="J3342">
            <v>1.0986687630065701E-4</v>
          </cell>
          <cell r="K3342">
            <v>1413</v>
          </cell>
          <cell r="L3342">
            <v>855.23605273314899</v>
          </cell>
          <cell r="M3342">
            <v>912</v>
          </cell>
          <cell r="N3342">
            <v>8.0023312028722607E-2</v>
          </cell>
          <cell r="O3342">
            <v>899</v>
          </cell>
          <cell r="Q3342">
            <v>3415</v>
          </cell>
        </row>
        <row r="3343">
          <cell r="B3343" t="str">
            <v>UKIAH 1113548420</v>
          </cell>
          <cell r="C3343">
            <v>42771113</v>
          </cell>
          <cell r="D3343" t="str">
            <v>UKIAH 1113</v>
          </cell>
          <cell r="E3343">
            <v>548420</v>
          </cell>
          <cell r="F3343" t="b">
            <v>0</v>
          </cell>
          <cell r="G3343">
            <v>8380.7958162259092</v>
          </cell>
          <cell r="H3343">
            <v>8369.7684400997896</v>
          </cell>
          <cell r="I3343">
            <v>54</v>
          </cell>
          <cell r="J3343">
            <v>8.6035006259205799E-5</v>
          </cell>
          <cell r="K3343">
            <v>2034</v>
          </cell>
          <cell r="L3343">
            <v>589.62176122463495</v>
          </cell>
          <cell r="M3343">
            <v>1114</v>
          </cell>
          <cell r="N3343">
            <v>3.5260798566083197E-2</v>
          </cell>
          <cell r="O3343">
            <v>1369</v>
          </cell>
          <cell r="Q3343">
            <v>3251</v>
          </cell>
        </row>
        <row r="3344">
          <cell r="B3344" t="str">
            <v>UKIAH 1113658899</v>
          </cell>
          <cell r="C3344">
            <v>42771113</v>
          </cell>
          <cell r="D3344" t="str">
            <v>UKIAH 1113</v>
          </cell>
          <cell r="E3344">
            <v>658899</v>
          </cell>
          <cell r="F3344" t="b">
            <v>1</v>
          </cell>
          <cell r="G3344">
            <v>987.268210059137</v>
          </cell>
          <cell r="H3344">
            <v>941.37585403561002</v>
          </cell>
          <cell r="I3344">
            <v>8</v>
          </cell>
          <cell r="J3344">
            <v>1.12658020043454E-4</v>
          </cell>
          <cell r="K3344">
            <v>1349</v>
          </cell>
          <cell r="L3344">
            <v>6.6271339141845201E-2</v>
          </cell>
          <cell r="M3344">
            <v>3156</v>
          </cell>
          <cell r="N3344">
            <v>7.4660851935885299E-6</v>
          </cell>
          <cell r="O3344">
            <v>3146</v>
          </cell>
          <cell r="Q3344">
            <v>2819</v>
          </cell>
        </row>
        <row r="3345">
          <cell r="B3345" t="str">
            <v>UKIAH 1113691436</v>
          </cell>
          <cell r="C3345">
            <v>42771113</v>
          </cell>
          <cell r="D3345" t="str">
            <v>UKIAH 1113</v>
          </cell>
          <cell r="E3345">
            <v>691436</v>
          </cell>
          <cell r="F3345" t="b">
            <v>0</v>
          </cell>
          <cell r="G3345">
            <v>3576.81472177772</v>
          </cell>
          <cell r="H3345">
            <v>1680.7069266471201</v>
          </cell>
          <cell r="I3345">
            <v>28</v>
          </cell>
          <cell r="J3345">
            <v>1.20892076016129E-4</v>
          </cell>
          <cell r="K3345">
            <v>1165</v>
          </cell>
          <cell r="L3345">
            <v>323.14637681924302</v>
          </cell>
          <cell r="M3345">
            <v>1409</v>
          </cell>
          <cell r="N3345">
            <v>4.3449372012167302E-2</v>
          </cell>
          <cell r="O3345">
            <v>1249</v>
          </cell>
          <cell r="Q3345">
            <v>3034</v>
          </cell>
        </row>
        <row r="3346">
          <cell r="B3346" t="str">
            <v>UKIAH 1113968652</v>
          </cell>
          <cell r="C3346">
            <v>42771113</v>
          </cell>
          <cell r="D3346" t="str">
            <v>UKIAH 1113</v>
          </cell>
          <cell r="E3346">
            <v>968652</v>
          </cell>
          <cell r="F3346" t="b">
            <v>0</v>
          </cell>
          <cell r="G3346">
            <v>3017.7923211549601</v>
          </cell>
          <cell r="H3346">
            <v>1606.18342729562</v>
          </cell>
          <cell r="I3346">
            <v>25</v>
          </cell>
          <cell r="J3346">
            <v>1.04657376286922E-4</v>
          </cell>
          <cell r="K3346">
            <v>1539</v>
          </cell>
          <cell r="L3346">
            <v>114.147361006864</v>
          </cell>
          <cell r="M3346">
            <v>1898</v>
          </cell>
          <cell r="N3346">
            <v>1.16839342644068E-2</v>
          </cell>
          <cell r="O3346">
            <v>1892</v>
          </cell>
          <cell r="Q3346">
            <v>2946</v>
          </cell>
        </row>
        <row r="3347">
          <cell r="B3347" t="str">
            <v>UKIAH 1113CB</v>
          </cell>
          <cell r="C3347">
            <v>42771113</v>
          </cell>
          <cell r="D3347" t="str">
            <v>UKIAH 1113</v>
          </cell>
          <cell r="E3347" t="str">
            <v>CB</v>
          </cell>
          <cell r="F3347" t="b">
            <v>1</v>
          </cell>
          <cell r="G3347">
            <v>9680.9790191117809</v>
          </cell>
          <cell r="H3347">
            <v>75.437934213857602</v>
          </cell>
          <cell r="I3347">
            <v>69</v>
          </cell>
          <cell r="J3347">
            <v>8.4474251172436804E-5</v>
          </cell>
          <cell r="K3347">
            <v>2078</v>
          </cell>
          <cell r="L3347">
            <v>195.86326942942699</v>
          </cell>
          <cell r="M3347">
            <v>1653</v>
          </cell>
          <cell r="N3347">
            <v>3.1266304770647999E-2</v>
          </cell>
          <cell r="O3347">
            <v>1438</v>
          </cell>
          <cell r="P3347">
            <v>3.69</v>
          </cell>
          <cell r="Q3347">
            <v>536</v>
          </cell>
        </row>
        <row r="3348">
          <cell r="B3348" t="str">
            <v>UKIAH 1114296894</v>
          </cell>
          <cell r="C3348">
            <v>42771114</v>
          </cell>
          <cell r="D3348" t="str">
            <v>UKIAH 1114</v>
          </cell>
          <cell r="E3348">
            <v>296894</v>
          </cell>
          <cell r="F3348" t="b">
            <v>1</v>
          </cell>
          <cell r="G3348">
            <v>465.53217286589899</v>
          </cell>
          <cell r="H3348">
            <v>278.16355279618199</v>
          </cell>
          <cell r="I3348">
            <v>6</v>
          </cell>
          <cell r="J3348">
            <v>1.12524681026116E-4</v>
          </cell>
          <cell r="K3348">
            <v>1355</v>
          </cell>
          <cell r="L3348">
            <v>6.5577170120416903E-2</v>
          </cell>
          <cell r="M3348">
            <v>3344</v>
          </cell>
          <cell r="N3348">
            <v>7.3980037863418499E-6</v>
          </cell>
          <cell r="O3348">
            <v>3151</v>
          </cell>
          <cell r="Q3348">
            <v>3312</v>
          </cell>
        </row>
        <row r="3349">
          <cell r="B3349" t="str">
            <v>UKIAH 11143606</v>
          </cell>
          <cell r="C3349">
            <v>42771114</v>
          </cell>
          <cell r="D3349" t="str">
            <v>UKIAH 1114</v>
          </cell>
          <cell r="E3349">
            <v>3606</v>
          </cell>
          <cell r="F3349" t="b">
            <v>0</v>
          </cell>
          <cell r="G3349">
            <v>26641.175295291199</v>
          </cell>
          <cell r="H3349">
            <v>17219.5096299416</v>
          </cell>
          <cell r="I3349">
            <v>129</v>
          </cell>
          <cell r="J3349">
            <v>8.6418769129181701E-5</v>
          </cell>
          <cell r="K3349">
            <v>2025</v>
          </cell>
          <cell r="L3349">
            <v>738.46994170351104</v>
          </cell>
          <cell r="M3349">
            <v>985</v>
          </cell>
          <cell r="N3349">
            <v>4.5178096714007E-2</v>
          </cell>
          <cell r="O3349">
            <v>1231</v>
          </cell>
          <cell r="P3349">
            <v>0.09</v>
          </cell>
          <cell r="Q3349">
            <v>1541</v>
          </cell>
        </row>
        <row r="3350">
          <cell r="B3350" t="str">
            <v>UKIAH 1114408</v>
          </cell>
          <cell r="C3350">
            <v>42771114</v>
          </cell>
          <cell r="D3350" t="str">
            <v>UKIAH 1114</v>
          </cell>
          <cell r="E3350">
            <v>408</v>
          </cell>
          <cell r="F3350" t="b">
            <v>0</v>
          </cell>
          <cell r="G3350">
            <v>61335.399233296703</v>
          </cell>
          <cell r="H3350">
            <v>60046.2208895402</v>
          </cell>
          <cell r="I3350">
            <v>280</v>
          </cell>
          <cell r="J3350">
            <v>1.1339318795459501E-4</v>
          </cell>
          <cell r="K3350">
            <v>1336</v>
          </cell>
          <cell r="L3350">
            <v>1624.3846264234301</v>
          </cell>
          <cell r="M3350">
            <v>553</v>
          </cell>
          <cell r="N3350">
            <v>0.15401298724524601</v>
          </cell>
          <cell r="O3350">
            <v>496</v>
          </cell>
          <cell r="P3350">
            <v>0.16</v>
          </cell>
          <cell r="Q3350">
            <v>1258</v>
          </cell>
        </row>
        <row r="3351">
          <cell r="B3351" t="str">
            <v>UKIAH 1114528</v>
          </cell>
          <cell r="C3351">
            <v>42771114</v>
          </cell>
          <cell r="D3351" t="str">
            <v>UKIAH 1114</v>
          </cell>
          <cell r="E3351">
            <v>528</v>
          </cell>
          <cell r="F3351" t="b">
            <v>0</v>
          </cell>
          <cell r="G3351">
            <v>19817.3234021809</v>
          </cell>
          <cell r="H3351">
            <v>6048.4546811548898</v>
          </cell>
          <cell r="I3351">
            <v>110</v>
          </cell>
          <cell r="J3351">
            <v>1.3970944266309901E-4</v>
          </cell>
          <cell r="K3351">
            <v>873</v>
          </cell>
          <cell r="L3351">
            <v>614.50507099004199</v>
          </cell>
          <cell r="M3351">
            <v>1089</v>
          </cell>
          <cell r="N3351">
            <v>8.9060428692779303E-2</v>
          </cell>
          <cell r="O3351">
            <v>832</v>
          </cell>
          <cell r="P3351">
            <v>0.03</v>
          </cell>
          <cell r="Q3351">
            <v>2395</v>
          </cell>
        </row>
        <row r="3352">
          <cell r="B3352" t="str">
            <v>UKIAH 1114544</v>
          </cell>
          <cell r="C3352">
            <v>42771114</v>
          </cell>
          <cell r="D3352" t="str">
            <v>UKIAH 1114</v>
          </cell>
          <cell r="E3352">
            <v>544</v>
          </cell>
          <cell r="F3352" t="b">
            <v>1</v>
          </cell>
          <cell r="G3352">
            <v>16214.8056021458</v>
          </cell>
          <cell r="H3352">
            <v>786.26762843950996</v>
          </cell>
          <cell r="I3352">
            <v>98</v>
          </cell>
          <cell r="J3352">
            <v>8.9778960240697103E-5</v>
          </cell>
          <cell r="K3352">
            <v>1918</v>
          </cell>
          <cell r="L3352">
            <v>761.78730883793503</v>
          </cell>
          <cell r="M3352">
            <v>963</v>
          </cell>
          <cell r="N3352">
            <v>6.8781237715516697E-2</v>
          </cell>
          <cell r="O3352">
            <v>987</v>
          </cell>
          <cell r="Q3352">
            <v>2803</v>
          </cell>
        </row>
        <row r="3353">
          <cell r="B3353" t="str">
            <v>UKIAH 111472990</v>
          </cell>
          <cell r="C3353">
            <v>42771114</v>
          </cell>
          <cell r="D3353" t="str">
            <v>UKIAH 1114</v>
          </cell>
          <cell r="E3353">
            <v>72990</v>
          </cell>
          <cell r="F3353" t="b">
            <v>0</v>
          </cell>
          <cell r="G3353">
            <v>5262.4562367621502</v>
          </cell>
          <cell r="H3353">
            <v>1175.666312587</v>
          </cell>
          <cell r="I3353">
            <v>38</v>
          </cell>
          <cell r="J3353">
            <v>1.02334883554009E-4</v>
          </cell>
          <cell r="K3353">
            <v>1594</v>
          </cell>
          <cell r="L3353">
            <v>6.5487237291729894E-2</v>
          </cell>
          <cell r="M3353">
            <v>3374</v>
          </cell>
          <cell r="N3353">
            <v>6.7147332774779203E-6</v>
          </cell>
          <cell r="O3353">
            <v>3178</v>
          </cell>
          <cell r="P3353">
            <v>0.03</v>
          </cell>
          <cell r="Q3353">
            <v>2293</v>
          </cell>
        </row>
        <row r="3354">
          <cell r="B3354" t="str">
            <v>UKIAH 1114844294</v>
          </cell>
          <cell r="C3354">
            <v>42771114</v>
          </cell>
          <cell r="D3354" t="str">
            <v>UKIAH 1114</v>
          </cell>
          <cell r="E3354">
            <v>844294</v>
          </cell>
          <cell r="F3354" t="b">
            <v>0</v>
          </cell>
          <cell r="G3354">
            <v>9847.8884282323797</v>
          </cell>
          <cell r="H3354">
            <v>3879.7840072761401</v>
          </cell>
          <cell r="I3354">
            <v>55</v>
          </cell>
          <cell r="J3354">
            <v>1.06695528908555E-4</v>
          </cell>
          <cell r="K3354">
            <v>1485</v>
          </cell>
          <cell r="L3354">
            <v>276.80565797011297</v>
          </cell>
          <cell r="M3354">
            <v>1480</v>
          </cell>
          <cell r="N3354">
            <v>2.52415032137366E-2</v>
          </cell>
          <cell r="O3354">
            <v>1552</v>
          </cell>
          <cell r="Q3354">
            <v>2882</v>
          </cell>
        </row>
        <row r="3355">
          <cell r="B3355" t="str">
            <v>UKIAH 1114CB</v>
          </cell>
          <cell r="C3355">
            <v>42771114</v>
          </cell>
          <cell r="D3355" t="str">
            <v>UKIAH 1114</v>
          </cell>
          <cell r="E3355" t="str">
            <v>CB</v>
          </cell>
          <cell r="F3355" t="b">
            <v>0</v>
          </cell>
          <cell r="G3355">
            <v>14024.7064085902</v>
          </cell>
          <cell r="H3355">
            <v>1067.2010392791001</v>
          </cell>
          <cell r="I3355">
            <v>93</v>
          </cell>
          <cell r="J3355">
            <v>1.4666052922383699E-4</v>
          </cell>
          <cell r="K3355">
            <v>778</v>
          </cell>
          <cell r="L3355">
            <v>560.41869342000496</v>
          </cell>
          <cell r="M3355">
            <v>1134</v>
          </cell>
          <cell r="N3355">
            <v>9.4346165842994795E-2</v>
          </cell>
          <cell r="O3355">
            <v>798</v>
          </cell>
          <cell r="P3355">
            <v>0.02</v>
          </cell>
          <cell r="Q3355">
            <v>2531</v>
          </cell>
        </row>
        <row r="3356">
          <cell r="B3356" t="str">
            <v>UKIAH 11151216</v>
          </cell>
          <cell r="C3356">
            <v>42771115</v>
          </cell>
          <cell r="D3356" t="str">
            <v>UKIAH 1115</v>
          </cell>
          <cell r="E3356">
            <v>1216</v>
          </cell>
          <cell r="F3356" t="b">
            <v>0</v>
          </cell>
          <cell r="G3356">
            <v>30877.232876602699</v>
          </cell>
          <cell r="H3356">
            <v>21628.5531385551</v>
          </cell>
          <cell r="I3356">
            <v>182</v>
          </cell>
          <cell r="J3356">
            <v>1.2872900392216601E-4</v>
          </cell>
          <cell r="K3356">
            <v>1035</v>
          </cell>
          <cell r="L3356">
            <v>525.61834712118502</v>
          </cell>
          <cell r="M3356">
            <v>1178</v>
          </cell>
          <cell r="N3356">
            <v>6.3522092327845295E-2</v>
          </cell>
          <cell r="O3356">
            <v>1030</v>
          </cell>
          <cell r="P3356">
            <v>7.0000000000000007E-2</v>
          </cell>
          <cell r="Q3356">
            <v>1733</v>
          </cell>
        </row>
        <row r="3357">
          <cell r="B3357" t="str">
            <v>UKIAH 1115CB</v>
          </cell>
          <cell r="C3357">
            <v>42771115</v>
          </cell>
          <cell r="D3357" t="str">
            <v>UKIAH 1115</v>
          </cell>
          <cell r="E3357" t="str">
            <v>CB</v>
          </cell>
          <cell r="F3357" t="b">
            <v>0</v>
          </cell>
          <cell r="G3357">
            <v>10025.157719950899</v>
          </cell>
          <cell r="H3357">
            <v>6936.1203193497904</v>
          </cell>
          <cell r="I3357">
            <v>73</v>
          </cell>
          <cell r="J3357">
            <v>1.31268359098981E-4</v>
          </cell>
          <cell r="K3357">
            <v>993</v>
          </cell>
          <cell r="L3357">
            <v>100.61911479912099</v>
          </cell>
          <cell r="M3357">
            <v>1952</v>
          </cell>
          <cell r="N3357">
            <v>1.9905626946220101E-2</v>
          </cell>
          <cell r="O3357">
            <v>1671</v>
          </cell>
          <cell r="P3357">
            <v>0.05</v>
          </cell>
          <cell r="Q3357">
            <v>1978</v>
          </cell>
        </row>
        <row r="3358">
          <cell r="B3358" t="str">
            <v>UPPER LAKE 11011276</v>
          </cell>
          <cell r="C3358">
            <v>42871101</v>
          </cell>
          <cell r="D3358" t="str">
            <v>UPPER LAKE 1101</v>
          </cell>
          <cell r="E3358">
            <v>1276</v>
          </cell>
          <cell r="F3358" t="b">
            <v>0</v>
          </cell>
          <cell r="G3358">
            <v>20806.912094399599</v>
          </cell>
          <cell r="H3358">
            <v>20806.912094399599</v>
          </cell>
          <cell r="I3358">
            <v>116</v>
          </cell>
          <cell r="J3358">
            <v>9.81556811539685E-5</v>
          </cell>
          <cell r="K3358">
            <v>1687</v>
          </cell>
          <cell r="L3358">
            <v>2220.1239957155499</v>
          </cell>
          <cell r="M3358">
            <v>397</v>
          </cell>
          <cell r="N3358">
            <v>0.19793758390130101</v>
          </cell>
          <cell r="O3358">
            <v>335</v>
          </cell>
          <cell r="P3358">
            <v>0.05</v>
          </cell>
          <cell r="Q3358">
            <v>1931</v>
          </cell>
        </row>
        <row r="3359">
          <cell r="B3359" t="str">
            <v>UPPER LAKE 1101412</v>
          </cell>
          <cell r="C3359">
            <v>42871101</v>
          </cell>
          <cell r="D3359" t="str">
            <v>UPPER LAKE 1101</v>
          </cell>
          <cell r="E3359">
            <v>412</v>
          </cell>
          <cell r="F3359" t="b">
            <v>0</v>
          </cell>
          <cell r="G3359">
            <v>27547.352777003201</v>
          </cell>
          <cell r="H3359">
            <v>16599.981731723201</v>
          </cell>
          <cell r="I3359">
            <v>152</v>
          </cell>
          <cell r="J3359">
            <v>9.7196056482349094E-5</v>
          </cell>
          <cell r="K3359">
            <v>1709</v>
          </cell>
          <cell r="L3359">
            <v>2705.0186936740902</v>
          </cell>
          <cell r="M3359">
            <v>311</v>
          </cell>
          <cell r="N3359">
            <v>0.23008159291201499</v>
          </cell>
          <cell r="O3359">
            <v>259</v>
          </cell>
          <cell r="P3359">
            <v>0.04</v>
          </cell>
          <cell r="Q3359">
            <v>2122</v>
          </cell>
        </row>
        <row r="3360">
          <cell r="B3360" t="str">
            <v>UPPER LAKE 1101452</v>
          </cell>
          <cell r="C3360">
            <v>42871101</v>
          </cell>
          <cell r="D3360" t="str">
            <v>UPPER LAKE 1101</v>
          </cell>
          <cell r="E3360">
            <v>452</v>
          </cell>
          <cell r="F3360" t="b">
            <v>0</v>
          </cell>
          <cell r="G3360">
            <v>31530.7427424204</v>
          </cell>
          <cell r="H3360">
            <v>8129.0760078600797</v>
          </cell>
          <cell r="I3360">
            <v>207</v>
          </cell>
          <cell r="J3360">
            <v>1.02256689370353E-4</v>
          </cell>
          <cell r="K3360">
            <v>1598</v>
          </cell>
          <cell r="L3360">
            <v>743.36901833766603</v>
          </cell>
          <cell r="M3360">
            <v>981</v>
          </cell>
          <cell r="N3360">
            <v>6.0708260564655302E-2</v>
          </cell>
          <cell r="O3360">
            <v>1057</v>
          </cell>
          <cell r="P3360">
            <v>0.67</v>
          </cell>
          <cell r="Q3360">
            <v>816</v>
          </cell>
        </row>
        <row r="3361">
          <cell r="B3361" t="str">
            <v>UPPER LAKE 1101472084</v>
          </cell>
          <cell r="C3361">
            <v>42871101</v>
          </cell>
          <cell r="D3361" t="str">
            <v>UPPER LAKE 1101</v>
          </cell>
          <cell r="E3361">
            <v>472084</v>
          </cell>
          <cell r="F3361" t="b">
            <v>0</v>
          </cell>
          <cell r="G3361">
            <v>11718.479490506101</v>
          </cell>
          <cell r="H3361">
            <v>7454.7110012222001</v>
          </cell>
          <cell r="I3361">
            <v>66</v>
          </cell>
          <cell r="J3361">
            <v>1.4287108136895301E-4</v>
          </cell>
          <cell r="K3361">
            <v>829</v>
          </cell>
          <cell r="L3361">
            <v>1759.75853577257</v>
          </cell>
          <cell r="M3361">
            <v>512</v>
          </cell>
          <cell r="N3361">
            <v>0.21228530448375699</v>
          </cell>
          <cell r="O3361">
            <v>303</v>
          </cell>
          <cell r="P3361">
            <v>0.03</v>
          </cell>
          <cell r="Q3361">
            <v>2360</v>
          </cell>
        </row>
        <row r="3362">
          <cell r="B3362" t="str">
            <v>UPPER LAKE 1101660</v>
          </cell>
          <cell r="C3362">
            <v>42871101</v>
          </cell>
          <cell r="D3362" t="str">
            <v>UPPER LAKE 1101</v>
          </cell>
          <cell r="E3362">
            <v>660</v>
          </cell>
          <cell r="F3362" t="b">
            <v>0</v>
          </cell>
          <cell r="G3362">
            <v>15616.948590780101</v>
          </cell>
          <cell r="H3362">
            <v>9914.5590436700204</v>
          </cell>
          <cell r="I3362">
            <v>91</v>
          </cell>
          <cell r="J3362">
            <v>1.12194631785516E-4</v>
          </cell>
          <cell r="K3362">
            <v>1361</v>
          </cell>
          <cell r="L3362">
            <v>2640.3197756781001</v>
          </cell>
          <cell r="M3362">
            <v>322</v>
          </cell>
          <cell r="N3362">
            <v>0.25882545067888901</v>
          </cell>
          <cell r="O3362">
            <v>202</v>
          </cell>
          <cell r="P3362">
            <v>0.02</v>
          </cell>
          <cell r="Q3362">
            <v>2506</v>
          </cell>
        </row>
        <row r="3363">
          <cell r="B3363" t="str">
            <v>UPPER LAKE 11016663</v>
          </cell>
          <cell r="C3363">
            <v>42871101</v>
          </cell>
          <cell r="D3363" t="str">
            <v>UPPER LAKE 1101</v>
          </cell>
          <cell r="E3363">
            <v>6663</v>
          </cell>
          <cell r="F3363" t="b">
            <v>0</v>
          </cell>
          <cell r="G3363">
            <v>3787.4900083236298</v>
          </cell>
          <cell r="H3363">
            <v>3787.4900083236298</v>
          </cell>
          <cell r="I3363">
            <v>17</v>
          </cell>
          <cell r="J3363">
            <v>7.5146066485424806E-5</v>
          </cell>
          <cell r="K3363">
            <v>2328</v>
          </cell>
          <cell r="L3363">
            <v>97.310068462817696</v>
          </cell>
          <cell r="M3363">
            <v>1972</v>
          </cell>
          <cell r="N3363">
            <v>7.9953178439956894E-3</v>
          </cell>
          <cell r="O3363">
            <v>2047</v>
          </cell>
          <cell r="P3363">
            <v>1.1299999999999999</v>
          </cell>
          <cell r="Q3363">
            <v>713</v>
          </cell>
        </row>
        <row r="3364">
          <cell r="B3364" t="str">
            <v>UPPER LAKE 110175370</v>
          </cell>
          <cell r="C3364">
            <v>42871101</v>
          </cell>
          <cell r="D3364" t="str">
            <v>UPPER LAKE 1101</v>
          </cell>
          <cell r="E3364">
            <v>75370</v>
          </cell>
          <cell r="F3364" t="b">
            <v>0</v>
          </cell>
          <cell r="G3364">
            <v>23702.8229077502</v>
          </cell>
          <cell r="H3364">
            <v>17823.7139182102</v>
          </cell>
          <cell r="I3364">
            <v>133</v>
          </cell>
          <cell r="J3364">
            <v>1.12900115230954E-4</v>
          </cell>
          <cell r="K3364">
            <v>1346</v>
          </cell>
          <cell r="L3364">
            <v>1122.59528525054</v>
          </cell>
          <cell r="M3364">
            <v>767</v>
          </cell>
          <cell r="N3364">
            <v>0.111609897752773</v>
          </cell>
          <cell r="O3364">
            <v>705</v>
          </cell>
          <cell r="P3364">
            <v>0.05</v>
          </cell>
          <cell r="Q3364">
            <v>2009</v>
          </cell>
        </row>
        <row r="3365">
          <cell r="B3365" t="str">
            <v>UPPER LAKE 1101CB</v>
          </cell>
          <cell r="C3365">
            <v>42871101</v>
          </cell>
          <cell r="D3365" t="str">
            <v>UPPER LAKE 1101</v>
          </cell>
          <cell r="E3365" t="str">
            <v>CB</v>
          </cell>
          <cell r="F3365" t="b">
            <v>0</v>
          </cell>
          <cell r="G3365">
            <v>1791.2622293775701</v>
          </cell>
          <cell r="H3365">
            <v>1791.2622293775701</v>
          </cell>
          <cell r="I3365">
            <v>3</v>
          </cell>
          <cell r="J3365">
            <v>2.5110451921743E-4</v>
          </cell>
          <cell r="K3365">
            <v>214</v>
          </cell>
          <cell r="L3365">
            <v>4819.6954132707697</v>
          </cell>
          <cell r="M3365">
            <v>90</v>
          </cell>
          <cell r="N3365">
            <v>1.25585214828787</v>
          </cell>
          <cell r="O3365">
            <v>6</v>
          </cell>
          <cell r="P3365">
            <v>0.09</v>
          </cell>
          <cell r="Q3365">
            <v>1534</v>
          </cell>
        </row>
        <row r="3366">
          <cell r="B3366" t="str">
            <v>VACA DIXON 1101126774</v>
          </cell>
          <cell r="C3366">
            <v>63591101</v>
          </cell>
          <cell r="D3366" t="str">
            <v>VACA DIXON 1101</v>
          </cell>
          <cell r="E3366">
            <v>126774</v>
          </cell>
          <cell r="F3366" t="b">
            <v>0</v>
          </cell>
          <cell r="G3366">
            <v>1267.3385902693301</v>
          </cell>
          <cell r="H3366">
            <v>1267.3385902693301</v>
          </cell>
          <cell r="I3366">
            <v>11</v>
          </cell>
          <cell r="J3366">
            <v>9.35976541685787E-5</v>
          </cell>
          <cell r="K3366">
            <v>1808</v>
          </cell>
          <cell r="L3366">
            <v>6310.2508277817997</v>
          </cell>
          <cell r="M3366">
            <v>24</v>
          </cell>
          <cell r="N3366">
            <v>0.62028997572283695</v>
          </cell>
          <cell r="O3366">
            <v>20</v>
          </cell>
          <cell r="Q3366">
            <v>3568</v>
          </cell>
        </row>
        <row r="3367">
          <cell r="B3367" t="str">
            <v>VACA DIXON 110118292</v>
          </cell>
          <cell r="C3367">
            <v>63591101</v>
          </cell>
          <cell r="D3367" t="str">
            <v>VACA DIXON 1101</v>
          </cell>
          <cell r="E3367">
            <v>18292</v>
          </cell>
          <cell r="F3367" t="b">
            <v>1</v>
          </cell>
          <cell r="G3367">
            <v>8145.5430482598304</v>
          </cell>
          <cell r="H3367">
            <v>73.034434675655703</v>
          </cell>
          <cell r="I3367">
            <v>73</v>
          </cell>
          <cell r="J3367">
            <v>1.07659614788071E-4</v>
          </cell>
          <cell r="K3367">
            <v>1460</v>
          </cell>
          <cell r="L3367">
            <v>2089.0546547265299</v>
          </cell>
          <cell r="M3367">
            <v>431</v>
          </cell>
          <cell r="N3367">
            <v>0.26014653850555602</v>
          </cell>
          <cell r="O3367">
            <v>197</v>
          </cell>
          <cell r="P3367">
            <v>4.97</v>
          </cell>
          <cell r="Q3367">
            <v>499</v>
          </cell>
        </row>
        <row r="3368">
          <cell r="B3368" t="str">
            <v>VACA DIXON 110540092</v>
          </cell>
          <cell r="C3368">
            <v>63591105</v>
          </cell>
          <cell r="D3368" t="str">
            <v>VACA DIXON 1105</v>
          </cell>
          <cell r="E3368">
            <v>40092</v>
          </cell>
          <cell r="F3368" t="b">
            <v>0</v>
          </cell>
          <cell r="G3368">
            <v>68288.942721118205</v>
          </cell>
          <cell r="H3368">
            <v>37272.955572857099</v>
          </cell>
          <cell r="I3368">
            <v>464</v>
          </cell>
          <cell r="J3368">
            <v>1.0078807092433001E-4</v>
          </cell>
          <cell r="K3368">
            <v>1627</v>
          </cell>
          <cell r="L3368">
            <v>4668.9584766077596</v>
          </cell>
          <cell r="M3368">
            <v>100</v>
          </cell>
          <cell r="N3368">
            <v>0.46771973449419602</v>
          </cell>
          <cell r="O3368">
            <v>37</v>
          </cell>
          <cell r="P3368">
            <v>5.23</v>
          </cell>
          <cell r="Q3368">
            <v>493</v>
          </cell>
        </row>
        <row r="3369">
          <cell r="B3369" t="str">
            <v>VACA DIXON 1105965390</v>
          </cell>
          <cell r="C3369">
            <v>63591105</v>
          </cell>
          <cell r="D3369" t="str">
            <v>VACA DIXON 1105</v>
          </cell>
          <cell r="E3369">
            <v>965390</v>
          </cell>
          <cell r="F3369" t="b">
            <v>0</v>
          </cell>
          <cell r="G3369">
            <v>2587.1085144376498</v>
          </cell>
          <cell r="H3369">
            <v>1209.10922335348</v>
          </cell>
          <cell r="I3369">
            <v>21</v>
          </cell>
          <cell r="J3369">
            <v>9.9489844398617294E-5</v>
          </cell>
          <cell r="K3369">
            <v>1657</v>
          </cell>
          <cell r="L3369">
            <v>4819.4840283970498</v>
          </cell>
          <cell r="M3369">
            <v>91</v>
          </cell>
          <cell r="N3369">
            <v>0.41414771704982301</v>
          </cell>
          <cell r="O3369">
            <v>53</v>
          </cell>
          <cell r="Q3369">
            <v>3088</v>
          </cell>
        </row>
        <row r="3370">
          <cell r="B3370" t="str">
            <v>VACA DIXON 11059792</v>
          </cell>
          <cell r="C3370">
            <v>63591105</v>
          </cell>
          <cell r="D3370" t="str">
            <v>VACA DIXON 1105</v>
          </cell>
          <cell r="E3370">
            <v>9792</v>
          </cell>
          <cell r="F3370" t="b">
            <v>0</v>
          </cell>
          <cell r="G3370">
            <v>44037.034292153301</v>
          </cell>
          <cell r="H3370">
            <v>1255.36755698763</v>
          </cell>
          <cell r="I3370">
            <v>329</v>
          </cell>
          <cell r="J3370">
            <v>1.04692523544564E-4</v>
          </cell>
          <cell r="K3370">
            <v>1536</v>
          </cell>
          <cell r="L3370">
            <v>1266.1791137272601</v>
          </cell>
          <cell r="M3370">
            <v>692</v>
          </cell>
          <cell r="N3370">
            <v>0.10321912308235399</v>
          </cell>
          <cell r="O3370">
            <v>746</v>
          </cell>
          <cell r="P3370">
            <v>1.85</v>
          </cell>
          <cell r="Q3370">
            <v>639</v>
          </cell>
        </row>
        <row r="3371">
          <cell r="B3371" t="str">
            <v>VACAVILLE 11046542</v>
          </cell>
          <cell r="C3371">
            <v>63601104</v>
          </cell>
          <cell r="D3371" t="str">
            <v>VACAVILLE 1104</v>
          </cell>
          <cell r="E3371">
            <v>6542</v>
          </cell>
          <cell r="F3371" t="b">
            <v>0</v>
          </cell>
          <cell r="G3371">
            <v>23588.198937648001</v>
          </cell>
          <cell r="H3371">
            <v>23588.198937648001</v>
          </cell>
          <cell r="I3371">
            <v>140</v>
          </cell>
          <cell r="J3371">
            <v>1.01089996691631E-4</v>
          </cell>
          <cell r="K3371">
            <v>1623</v>
          </cell>
          <cell r="L3371">
            <v>4849.1895534470896</v>
          </cell>
          <cell r="M3371">
            <v>86</v>
          </cell>
          <cell r="N3371">
            <v>0.446418209036824</v>
          </cell>
          <cell r="O3371">
            <v>42</v>
          </cell>
          <cell r="P3371">
            <v>0.1</v>
          </cell>
          <cell r="Q3371">
            <v>1469</v>
          </cell>
        </row>
        <row r="3372">
          <cell r="B3372" t="str">
            <v>VACAVILLE 1104874798</v>
          </cell>
          <cell r="C3372">
            <v>63601104</v>
          </cell>
          <cell r="D3372" t="str">
            <v>VACAVILLE 1104</v>
          </cell>
          <cell r="E3372">
            <v>874798</v>
          </cell>
          <cell r="F3372" t="b">
            <v>1</v>
          </cell>
          <cell r="G3372">
            <v>662.24002084037602</v>
          </cell>
          <cell r="H3372">
            <v>662.24002084037602</v>
          </cell>
          <cell r="I3372">
            <v>3</v>
          </cell>
          <cell r="J3372">
            <v>6.6044951684792299E-5</v>
          </cell>
          <cell r="K3372">
            <v>2587</v>
          </cell>
          <cell r="L3372">
            <v>6079.8606450442403</v>
          </cell>
          <cell r="M3372">
            <v>27</v>
          </cell>
          <cell r="N3372">
            <v>0.33622905014489202</v>
          </cell>
          <cell r="O3372">
            <v>102</v>
          </cell>
          <cell r="Q3372">
            <v>3523</v>
          </cell>
        </row>
        <row r="3373">
          <cell r="B3373" t="str">
            <v>VACAVILLE 1104CB</v>
          </cell>
          <cell r="C3373">
            <v>63601104</v>
          </cell>
          <cell r="D3373" t="str">
            <v>VACAVILLE 1104</v>
          </cell>
          <cell r="E3373" t="str">
            <v>CB</v>
          </cell>
          <cell r="F3373" t="b">
            <v>1</v>
          </cell>
          <cell r="G3373">
            <v>4213.0060118814299</v>
          </cell>
          <cell r="H3373">
            <v>696.68372418458102</v>
          </cell>
          <cell r="I3373">
            <v>36</v>
          </cell>
          <cell r="J3373">
            <v>6.8095970217494606E-5</v>
          </cell>
          <cell r="K3373">
            <v>2534</v>
          </cell>
          <cell r="L3373">
            <v>412.18781275911601</v>
          </cell>
          <cell r="M3373">
            <v>1283</v>
          </cell>
          <cell r="N3373">
            <v>7.2220122614919002E-2</v>
          </cell>
          <cell r="O3373">
            <v>962</v>
          </cell>
          <cell r="P3373">
            <v>0.06</v>
          </cell>
          <cell r="Q3373">
            <v>1816</v>
          </cell>
        </row>
        <row r="3374">
          <cell r="B3374" t="str">
            <v>VACAVILLE 110838316</v>
          </cell>
          <cell r="C3374">
            <v>63601108</v>
          </cell>
          <cell r="D3374" t="str">
            <v>VACAVILLE 1108</v>
          </cell>
          <cell r="E3374">
            <v>38316</v>
          </cell>
          <cell r="F3374" t="b">
            <v>0</v>
          </cell>
          <cell r="G3374">
            <v>36512.812279026701</v>
          </cell>
          <cell r="H3374">
            <v>25616.7425944733</v>
          </cell>
          <cell r="I3374">
            <v>232</v>
          </cell>
          <cell r="J3374">
            <v>7.2586643850686293E-5</v>
          </cell>
          <cell r="K3374">
            <v>2403</v>
          </cell>
          <cell r="L3374">
            <v>4684.5530816266601</v>
          </cell>
          <cell r="M3374">
            <v>99</v>
          </cell>
          <cell r="N3374">
            <v>0.316722249172529</v>
          </cell>
          <cell r="O3374">
            <v>122</v>
          </cell>
          <cell r="P3374">
            <v>3</v>
          </cell>
          <cell r="Q3374">
            <v>569</v>
          </cell>
        </row>
        <row r="3375">
          <cell r="B3375" t="str">
            <v>VACAVILLE 110847860</v>
          </cell>
          <cell r="C3375">
            <v>63601108</v>
          </cell>
          <cell r="D3375" t="str">
            <v>VACAVILLE 1108</v>
          </cell>
          <cell r="E3375">
            <v>47860</v>
          </cell>
          <cell r="F3375" t="b">
            <v>1</v>
          </cell>
          <cell r="G3375">
            <v>6236.9476472678098</v>
          </cell>
          <cell r="H3375">
            <v>466.01916296808201</v>
          </cell>
          <cell r="I3375">
            <v>54</v>
          </cell>
          <cell r="J3375">
            <v>7.3661490799223594E-5</v>
          </cell>
          <cell r="K3375">
            <v>2372</v>
          </cell>
          <cell r="L3375">
            <v>319.76145141166597</v>
          </cell>
          <cell r="M3375">
            <v>1416</v>
          </cell>
          <cell r="N3375">
            <v>4.3573327836002797E-2</v>
          </cell>
          <cell r="O3375">
            <v>1247</v>
          </cell>
          <cell r="P3375">
            <v>0.02</v>
          </cell>
          <cell r="Q3375">
            <v>2411</v>
          </cell>
        </row>
        <row r="3376">
          <cell r="B3376" t="str">
            <v>VACAVILLE 11088762</v>
          </cell>
          <cell r="C3376">
            <v>63601108</v>
          </cell>
          <cell r="D3376" t="str">
            <v>VACAVILLE 1108</v>
          </cell>
          <cell r="E3376">
            <v>8762</v>
          </cell>
          <cell r="F3376" t="b">
            <v>0</v>
          </cell>
          <cell r="G3376">
            <v>26274.688433830401</v>
          </cell>
          <cell r="H3376">
            <v>22259.6162477875</v>
          </cell>
          <cell r="I3376">
            <v>147</v>
          </cell>
          <cell r="J3376">
            <v>7.8661152006783799E-5</v>
          </cell>
          <cell r="K3376">
            <v>2244</v>
          </cell>
          <cell r="L3376">
            <v>4502.8739209922796</v>
          </cell>
          <cell r="M3376">
            <v>108</v>
          </cell>
          <cell r="N3376">
            <v>0.391378894866317</v>
          </cell>
          <cell r="O3376">
            <v>64</v>
          </cell>
          <cell r="P3376">
            <v>0.12</v>
          </cell>
          <cell r="Q3376">
            <v>1395</v>
          </cell>
        </row>
        <row r="3377">
          <cell r="B3377" t="str">
            <v>VACAVILLE 1109799940</v>
          </cell>
          <cell r="C3377">
            <v>63601109</v>
          </cell>
          <cell r="D3377" t="str">
            <v>VACAVILLE 1109</v>
          </cell>
          <cell r="E3377">
            <v>799940</v>
          </cell>
          <cell r="F3377" t="b">
            <v>1</v>
          </cell>
          <cell r="G3377">
            <v>1340.3375180973901</v>
          </cell>
          <cell r="H3377">
            <v>954.77013148252001</v>
          </cell>
          <cell r="I3377">
            <v>9</v>
          </cell>
          <cell r="J3377">
            <v>9.2052768094516801E-5</v>
          </cell>
          <cell r="K3377">
            <v>1842</v>
          </cell>
          <cell r="L3377">
            <v>3744.3748453865501</v>
          </cell>
          <cell r="M3377">
            <v>176</v>
          </cell>
          <cell r="N3377">
            <v>0.35843694380425201</v>
          </cell>
          <cell r="O3377">
            <v>91</v>
          </cell>
          <cell r="Q3377">
            <v>3537</v>
          </cell>
        </row>
        <row r="3378">
          <cell r="B3378" t="str">
            <v>VACAVILLE 111112342</v>
          </cell>
          <cell r="C3378">
            <v>63601111</v>
          </cell>
          <cell r="D3378" t="str">
            <v>VACAVILLE 1111</v>
          </cell>
          <cell r="E3378">
            <v>12342</v>
          </cell>
          <cell r="F3378" t="b">
            <v>1</v>
          </cell>
          <cell r="G3378">
            <v>1750.1360318864999</v>
          </cell>
          <cell r="H3378">
            <v>352.094916629056</v>
          </cell>
          <cell r="I3378">
            <v>16</v>
          </cell>
          <cell r="J3378">
            <v>1.3409441661289199E-4</v>
          </cell>
          <cell r="K3378">
            <v>942</v>
          </cell>
          <cell r="L3378">
            <v>663.76882777275102</v>
          </cell>
          <cell r="M3378">
            <v>1049</v>
          </cell>
          <cell r="N3378">
            <v>6.2292603154155197E-2</v>
          </cell>
          <cell r="O3378">
            <v>1040</v>
          </cell>
          <cell r="P3378">
            <v>0.32</v>
          </cell>
          <cell r="Q3378">
            <v>996</v>
          </cell>
        </row>
        <row r="3379">
          <cell r="B3379" t="str">
            <v>VACAVILLE 111113652</v>
          </cell>
          <cell r="C3379">
            <v>63601111</v>
          </cell>
          <cell r="D3379" t="str">
            <v>VACAVILLE 1111</v>
          </cell>
          <cell r="E3379">
            <v>13652</v>
          </cell>
          <cell r="F3379" t="b">
            <v>0</v>
          </cell>
          <cell r="G3379">
            <v>6914.8484993561497</v>
          </cell>
          <cell r="H3379">
            <v>6914.8484993561497</v>
          </cell>
          <cell r="I3379">
            <v>58</v>
          </cell>
          <cell r="J3379">
            <v>1.14313378084073E-4</v>
          </cell>
          <cell r="K3379">
            <v>1311</v>
          </cell>
          <cell r="L3379">
            <v>2370.7576184180598</v>
          </cell>
          <cell r="M3379">
            <v>367</v>
          </cell>
          <cell r="N3379">
            <v>0.263393683040268</v>
          </cell>
          <cell r="O3379">
            <v>190</v>
          </cell>
          <cell r="P3379">
            <v>4.8899999999999997</v>
          </cell>
          <cell r="Q3379">
            <v>502</v>
          </cell>
        </row>
        <row r="3380">
          <cell r="B3380" t="str">
            <v>VACAVILLE 1111772224</v>
          </cell>
          <cell r="C3380">
            <v>63601111</v>
          </cell>
          <cell r="D3380" t="str">
            <v>VACAVILLE 1111</v>
          </cell>
          <cell r="E3380">
            <v>772224</v>
          </cell>
          <cell r="F3380" t="b">
            <v>1</v>
          </cell>
          <cell r="G3380">
            <v>126.249112970562</v>
          </cell>
          <cell r="H3380">
            <v>91.958348784931303</v>
          </cell>
          <cell r="I3380">
            <v>2</v>
          </cell>
          <cell r="J3380">
            <v>6.4042471421998898E-5</v>
          </cell>
          <cell r="K3380">
            <v>2644</v>
          </cell>
          <cell r="L3380">
            <v>6.5790498459751795E-2</v>
          </cell>
          <cell r="M3380">
            <v>3275</v>
          </cell>
          <cell r="N3380">
            <v>4.2158208846692004E-6</v>
          </cell>
          <cell r="O3380">
            <v>3317</v>
          </cell>
          <cell r="Q3380">
            <v>3588</v>
          </cell>
        </row>
        <row r="3381">
          <cell r="B3381" t="str">
            <v>VACAVILLE 1111CB</v>
          </cell>
          <cell r="C3381">
            <v>63601111</v>
          </cell>
          <cell r="D3381" t="str">
            <v>VACAVILLE 1111</v>
          </cell>
          <cell r="E3381" t="str">
            <v>CB</v>
          </cell>
          <cell r="F3381" t="b">
            <v>0</v>
          </cell>
          <cell r="G3381">
            <v>19525.023785855301</v>
          </cell>
          <cell r="H3381">
            <v>11777.3852204583</v>
          </cell>
          <cell r="I3381">
            <v>154</v>
          </cell>
          <cell r="J3381">
            <v>1.02620884582712E-4</v>
          </cell>
          <cell r="K3381">
            <v>1582</v>
          </cell>
          <cell r="L3381">
            <v>1549.2866659244601</v>
          </cell>
          <cell r="M3381">
            <v>579</v>
          </cell>
          <cell r="N3381">
            <v>0.153362069546949</v>
          </cell>
          <cell r="O3381">
            <v>500</v>
          </cell>
          <cell r="P3381">
            <v>0.1</v>
          </cell>
          <cell r="Q3381">
            <v>1453</v>
          </cell>
        </row>
        <row r="3382">
          <cell r="B3382" t="str">
            <v>VACAVILLE 1112CB</v>
          </cell>
          <cell r="C3382">
            <v>63601112</v>
          </cell>
          <cell r="D3382" t="str">
            <v>VACAVILLE 1112</v>
          </cell>
          <cell r="E3382" t="str">
            <v>CB</v>
          </cell>
          <cell r="F3382" t="b">
            <v>1</v>
          </cell>
          <cell r="G3382">
            <v>5313.0282447794398</v>
          </cell>
          <cell r="H3382">
            <v>378.60796563659198</v>
          </cell>
          <cell r="I3382">
            <v>52</v>
          </cell>
          <cell r="J3382">
            <v>7.4297287104248697E-5</v>
          </cell>
          <cell r="K3382">
            <v>2349</v>
          </cell>
          <cell r="L3382">
            <v>6.5198705452276504E-2</v>
          </cell>
          <cell r="M3382">
            <v>3510</v>
          </cell>
          <cell r="N3382">
            <v>4.8470074207106197E-6</v>
          </cell>
          <cell r="O3382">
            <v>3273</v>
          </cell>
          <cell r="Q3382">
            <v>2771</v>
          </cell>
        </row>
        <row r="3383">
          <cell r="B3383" t="str">
            <v>VALLEY VIEW 1103218424</v>
          </cell>
          <cell r="C3383">
            <v>14341103</v>
          </cell>
          <cell r="D3383" t="str">
            <v>VALLEY VIEW 1103</v>
          </cell>
          <cell r="E3383">
            <v>218424</v>
          </cell>
          <cell r="F3383" t="b">
            <v>1</v>
          </cell>
          <cell r="G3383">
            <v>877.61671357636601</v>
          </cell>
          <cell r="H3383">
            <v>866.51246608827205</v>
          </cell>
          <cell r="I3383">
            <v>4</v>
          </cell>
          <cell r="J3383">
            <v>6.9394236561493003E-5</v>
          </cell>
          <cell r="K3383">
            <v>2493</v>
          </cell>
          <cell r="L3383">
            <v>17.890242448405601</v>
          </cell>
          <cell r="M3383">
            <v>2485</v>
          </cell>
          <cell r="N3383">
            <v>1.1371986577039001E-3</v>
          </cell>
          <cell r="O3383">
            <v>2611</v>
          </cell>
          <cell r="Q3383">
            <v>3498</v>
          </cell>
        </row>
        <row r="3384">
          <cell r="B3384" t="str">
            <v>VALLEY VIEW 1103CB</v>
          </cell>
          <cell r="C3384">
            <v>14341103</v>
          </cell>
          <cell r="D3384" t="str">
            <v>VALLEY VIEW 1103</v>
          </cell>
          <cell r="E3384" t="str">
            <v>CB</v>
          </cell>
          <cell r="F3384" t="b">
            <v>1</v>
          </cell>
          <cell r="G3384">
            <v>10480.891056524901</v>
          </cell>
          <cell r="H3384">
            <v>272.54588104588203</v>
          </cell>
          <cell r="I3384">
            <v>83</v>
          </cell>
          <cell r="J3384">
            <v>4.1439114699930598E-5</v>
          </cell>
          <cell r="K3384">
            <v>3235</v>
          </cell>
          <cell r="L3384">
            <v>0.25768771214022002</v>
          </cell>
          <cell r="M3384">
            <v>2926</v>
          </cell>
          <cell r="N3384">
            <v>2.5206356685453199E-5</v>
          </cell>
          <cell r="O3384">
            <v>2951</v>
          </cell>
          <cell r="P3384">
            <v>5.67</v>
          </cell>
          <cell r="Q3384">
            <v>480</v>
          </cell>
        </row>
        <row r="3385">
          <cell r="B3385" t="str">
            <v>VALLEY VIEW 1103P160</v>
          </cell>
          <cell r="C3385">
            <v>14341103</v>
          </cell>
          <cell r="D3385" t="str">
            <v>VALLEY VIEW 1103</v>
          </cell>
          <cell r="E3385" t="str">
            <v>P160</v>
          </cell>
          <cell r="F3385" t="b">
            <v>1</v>
          </cell>
          <cell r="G3385">
            <v>10321.201302776401</v>
          </cell>
          <cell r="H3385">
            <v>0</v>
          </cell>
          <cell r="I3385">
            <v>96</v>
          </cell>
          <cell r="J3385">
            <v>3.6431106840801001E-5</v>
          </cell>
          <cell r="K3385">
            <v>3324</v>
          </cell>
          <cell r="L3385">
            <v>6.5148189744365703E-2</v>
          </cell>
          <cell r="M3385">
            <v>3582</v>
          </cell>
          <cell r="N3385">
            <v>2.37342066106176E-6</v>
          </cell>
          <cell r="O3385">
            <v>3475</v>
          </cell>
          <cell r="P3385">
            <v>2.76</v>
          </cell>
          <cell r="Q3385">
            <v>583</v>
          </cell>
        </row>
        <row r="3386">
          <cell r="B3386" t="str">
            <v>VALLEY VIEW 1105305072</v>
          </cell>
          <cell r="C3386">
            <v>14341105</v>
          </cell>
          <cell r="D3386" t="str">
            <v>VALLEY VIEW 1105</v>
          </cell>
          <cell r="E3386">
            <v>305072</v>
          </cell>
          <cell r="F3386" t="b">
            <v>0</v>
          </cell>
          <cell r="G3386">
            <v>6216.89432106403</v>
          </cell>
          <cell r="H3386">
            <v>5044.0424750027896</v>
          </cell>
          <cell r="I3386">
            <v>45</v>
          </cell>
          <cell r="J3386">
            <v>7.4673264468098403E-5</v>
          </cell>
          <cell r="K3386">
            <v>2341</v>
          </cell>
          <cell r="L3386">
            <v>6.6117997381131693E-2</v>
          </cell>
          <cell r="M3386">
            <v>3185</v>
          </cell>
          <cell r="N3386">
            <v>4.9532459802630501E-6</v>
          </cell>
          <cell r="O3386">
            <v>3269</v>
          </cell>
          <cell r="Q3386">
            <v>2933</v>
          </cell>
        </row>
        <row r="3387">
          <cell r="B3387" t="str">
            <v>VALLEY VIEW 1105CB</v>
          </cell>
          <cell r="C3387">
            <v>14341105</v>
          </cell>
          <cell r="D3387" t="str">
            <v>VALLEY VIEW 1105</v>
          </cell>
          <cell r="E3387" t="str">
            <v>CB</v>
          </cell>
          <cell r="F3387" t="b">
            <v>1</v>
          </cell>
          <cell r="G3387">
            <v>7478.2552098180204</v>
          </cell>
          <cell r="H3387">
            <v>0</v>
          </cell>
          <cell r="I3387">
            <v>59</v>
          </cell>
          <cell r="J3387">
            <v>1.5580220367725902E-5</v>
          </cell>
          <cell r="K3387">
            <v>3582</v>
          </cell>
          <cell r="L3387">
            <v>6.5169945149975997E-2</v>
          </cell>
          <cell r="M3387">
            <v>3542</v>
          </cell>
          <cell r="N3387">
            <v>1.01685833176975E-6</v>
          </cell>
          <cell r="O3387">
            <v>3591</v>
          </cell>
          <cell r="P3387">
            <v>0.04</v>
          </cell>
          <cell r="Q3387">
            <v>2225</v>
          </cell>
        </row>
        <row r="3388">
          <cell r="B3388" t="str">
            <v>VALLEY VIEW 1105P124</v>
          </cell>
          <cell r="C3388">
            <v>14341105</v>
          </cell>
          <cell r="D3388" t="str">
            <v>VALLEY VIEW 1105</v>
          </cell>
          <cell r="E3388" t="str">
            <v>P124</v>
          </cell>
          <cell r="F3388" t="b">
            <v>1</v>
          </cell>
          <cell r="G3388">
            <v>5089.5347214719604</v>
          </cell>
          <cell r="H3388">
            <v>0</v>
          </cell>
          <cell r="I3388">
            <v>43</v>
          </cell>
          <cell r="J3388">
            <v>1.3877811630891299E-5</v>
          </cell>
          <cell r="K3388">
            <v>3594</v>
          </cell>
          <cell r="L3388">
            <v>6.5148189744365606E-2</v>
          </cell>
          <cell r="M3388">
            <v>3584</v>
          </cell>
          <cell r="N3388">
            <v>9.0411430536587002E-7</v>
          </cell>
          <cell r="O3388">
            <v>3599</v>
          </cell>
          <cell r="P3388">
            <v>0.02</v>
          </cell>
          <cell r="Q3388">
            <v>2525</v>
          </cell>
        </row>
        <row r="3389">
          <cell r="B3389" t="str">
            <v>VALLEY VIEW 1105P126</v>
          </cell>
          <cell r="C3389">
            <v>14341105</v>
          </cell>
          <cell r="D3389" t="str">
            <v>VALLEY VIEW 1105</v>
          </cell>
          <cell r="E3389" t="str">
            <v>P126</v>
          </cell>
          <cell r="F3389" t="b">
            <v>0</v>
          </cell>
          <cell r="G3389">
            <v>3297.3508278403801</v>
          </cell>
          <cell r="H3389">
            <v>1680.83631404429</v>
          </cell>
          <cell r="I3389">
            <v>25</v>
          </cell>
          <cell r="J3389">
            <v>4.8344499494608798E-5</v>
          </cell>
          <cell r="K3389">
            <v>3085</v>
          </cell>
          <cell r="L3389">
            <v>6.57129600740117E-2</v>
          </cell>
          <cell r="M3389">
            <v>3304</v>
          </cell>
          <cell r="N3389">
            <v>3.1848333813088399E-6</v>
          </cell>
          <cell r="O3389">
            <v>3392</v>
          </cell>
          <cell r="P3389">
            <v>0.03</v>
          </cell>
          <cell r="Q3389">
            <v>2259</v>
          </cell>
        </row>
        <row r="3390">
          <cell r="B3390" t="str">
            <v>VALLEY VIEW 1105P190</v>
          </cell>
          <cell r="C3390">
            <v>14341105</v>
          </cell>
          <cell r="D3390" t="str">
            <v>VALLEY VIEW 1105</v>
          </cell>
          <cell r="E3390" t="str">
            <v>P190</v>
          </cell>
          <cell r="F3390" t="b">
            <v>1</v>
          </cell>
          <cell r="G3390">
            <v>3318.5959192464502</v>
          </cell>
          <cell r="H3390">
            <v>0</v>
          </cell>
          <cell r="I3390">
            <v>28</v>
          </cell>
          <cell r="J3390">
            <v>1.6177464057623801E-5</v>
          </cell>
          <cell r="K3390">
            <v>3576</v>
          </cell>
          <cell r="L3390">
            <v>6.5148189744365495E-2</v>
          </cell>
          <cell r="M3390">
            <v>3590</v>
          </cell>
          <cell r="N3390">
            <v>1.0539324980087301E-6</v>
          </cell>
          <cell r="O3390">
            <v>3589</v>
          </cell>
          <cell r="P3390">
            <v>0.06</v>
          </cell>
          <cell r="Q3390">
            <v>1830</v>
          </cell>
        </row>
        <row r="3391">
          <cell r="B3391" t="str">
            <v>VALLEY VIEW 1106602871</v>
          </cell>
          <cell r="C3391">
            <v>14341106</v>
          </cell>
          <cell r="D3391" t="str">
            <v>VALLEY VIEW 1106</v>
          </cell>
          <cell r="E3391">
            <v>602871</v>
          </cell>
          <cell r="F3391" t="b">
            <v>0</v>
          </cell>
          <cell r="G3391">
            <v>1324.4477903301499</v>
          </cell>
          <cell r="H3391">
            <v>1324.4477903301499</v>
          </cell>
          <cell r="I3391">
            <v>14</v>
          </cell>
          <cell r="J3391">
            <v>6.8400151056786297E-5</v>
          </cell>
          <cell r="K3391">
            <v>2525</v>
          </cell>
          <cell r="L3391">
            <v>6.6340075180307101E-2</v>
          </cell>
          <cell r="M3391">
            <v>3137</v>
          </cell>
          <cell r="N3391">
            <v>4.5364880392285803E-6</v>
          </cell>
          <cell r="O3391">
            <v>3294</v>
          </cell>
          <cell r="Q3391">
            <v>3232</v>
          </cell>
        </row>
        <row r="3392">
          <cell r="B3392" t="str">
            <v>VALLEY VIEW 1106CB</v>
          </cell>
          <cell r="C3392">
            <v>14341106</v>
          </cell>
          <cell r="D3392" t="str">
            <v>VALLEY VIEW 1106</v>
          </cell>
          <cell r="E3392" t="str">
            <v>CB</v>
          </cell>
          <cell r="F3392" t="b">
            <v>0</v>
          </cell>
          <cell r="G3392">
            <v>8114.1348096620704</v>
          </cell>
          <cell r="H3392">
            <v>6042.2887545788999</v>
          </cell>
          <cell r="I3392">
            <v>50</v>
          </cell>
          <cell r="J3392">
            <v>1.11892995537345E-4</v>
          </cell>
          <cell r="K3392">
            <v>1369</v>
          </cell>
          <cell r="L3392">
            <v>66.010321501544695</v>
          </cell>
          <cell r="M3392">
            <v>2115</v>
          </cell>
          <cell r="N3392">
            <v>6.0781272289878903E-3</v>
          </cell>
          <cell r="O3392">
            <v>2150</v>
          </cell>
          <cell r="P3392">
            <v>0.06</v>
          </cell>
          <cell r="Q3392">
            <v>1817</v>
          </cell>
        </row>
        <row r="3393">
          <cell r="B3393" t="str">
            <v>VALLEY VIEW 1106P128</v>
          </cell>
          <cell r="C3393">
            <v>14341106</v>
          </cell>
          <cell r="D3393" t="str">
            <v>VALLEY VIEW 1106</v>
          </cell>
          <cell r="E3393" t="str">
            <v>P128</v>
          </cell>
          <cell r="F3393" t="b">
            <v>1</v>
          </cell>
          <cell r="G3393">
            <v>4067.7933837007199</v>
          </cell>
          <cell r="H3393">
            <v>190.90907529748901</v>
          </cell>
          <cell r="I3393">
            <v>31</v>
          </cell>
          <cell r="J3393">
            <v>3.4671517119756E-5</v>
          </cell>
          <cell r="K3393">
            <v>3357</v>
          </cell>
          <cell r="L3393">
            <v>6.5272406092528198E-2</v>
          </cell>
          <cell r="M3393">
            <v>3471</v>
          </cell>
          <cell r="N3393">
            <v>2.2677608331282902E-6</v>
          </cell>
          <cell r="O3393">
            <v>3485</v>
          </cell>
          <cell r="P3393">
            <v>0.03</v>
          </cell>
          <cell r="Q3393">
            <v>2403</v>
          </cell>
        </row>
        <row r="3394">
          <cell r="B3394" t="str">
            <v>VALLEY VIEW 1106P166</v>
          </cell>
          <cell r="C3394">
            <v>14341106</v>
          </cell>
          <cell r="D3394" t="str">
            <v>VALLEY VIEW 1106</v>
          </cell>
          <cell r="E3394" t="str">
            <v>P166</v>
          </cell>
          <cell r="F3394" t="b">
            <v>0</v>
          </cell>
          <cell r="G3394">
            <v>7343.1284616802004</v>
          </cell>
          <cell r="H3394">
            <v>7068.5221957274898</v>
          </cell>
          <cell r="I3394">
            <v>27</v>
          </cell>
          <cell r="J3394">
            <v>1.4291850776418E-4</v>
          </cell>
          <cell r="K3394">
            <v>827</v>
          </cell>
          <cell r="L3394">
            <v>10.628737087012899</v>
          </cell>
          <cell r="M3394">
            <v>2617</v>
          </cell>
          <cell r="N3394">
            <v>1.5975050574603899E-3</v>
          </cell>
          <cell r="O3394">
            <v>2541</v>
          </cell>
          <cell r="P3394">
            <v>0.97</v>
          </cell>
          <cell r="Q3394">
            <v>738</v>
          </cell>
        </row>
        <row r="3395">
          <cell r="B3395" t="str">
            <v>VALLEY VIEW 1106P176</v>
          </cell>
          <cell r="C3395">
            <v>14341106</v>
          </cell>
          <cell r="D3395" t="str">
            <v>VALLEY VIEW 1106</v>
          </cell>
          <cell r="E3395" t="str">
            <v>P176</v>
          </cell>
          <cell r="F3395" t="b">
            <v>1</v>
          </cell>
          <cell r="G3395">
            <v>5384.4602329211802</v>
          </cell>
          <cell r="H3395">
            <v>354.468744050716</v>
          </cell>
          <cell r="I3395">
            <v>44</v>
          </cell>
          <cell r="J3395">
            <v>4.74437487851405E-5</v>
          </cell>
          <cell r="K3395">
            <v>3104</v>
          </cell>
          <cell r="L3395">
            <v>6.6098353805644994E-2</v>
          </cell>
          <cell r="M3395">
            <v>3199</v>
          </cell>
          <cell r="N3395">
            <v>3.1267860060515099E-6</v>
          </cell>
          <cell r="O3395">
            <v>3399</v>
          </cell>
          <cell r="P3395">
            <v>0.06</v>
          </cell>
          <cell r="Q3395">
            <v>1778</v>
          </cell>
        </row>
        <row r="3396">
          <cell r="B3396" t="str">
            <v>VASCO 1102886522</v>
          </cell>
          <cell r="C3396">
            <v>13751102</v>
          </cell>
          <cell r="D3396" t="str">
            <v>VASCO 1102</v>
          </cell>
          <cell r="E3396">
            <v>886522</v>
          </cell>
          <cell r="F3396" t="b">
            <v>0</v>
          </cell>
          <cell r="G3396">
            <v>30828.655156638</v>
          </cell>
          <cell r="H3396">
            <v>10908.526975684101</v>
          </cell>
          <cell r="I3396">
            <v>154</v>
          </cell>
          <cell r="J3396">
            <v>6.1457714387439698E-5</v>
          </cell>
          <cell r="K3396">
            <v>2736</v>
          </cell>
          <cell r="L3396">
            <v>2215.6632110064002</v>
          </cell>
          <cell r="M3396">
            <v>400</v>
          </cell>
          <cell r="N3396">
            <v>0.12898942662245</v>
          </cell>
          <cell r="O3396">
            <v>608</v>
          </cell>
          <cell r="Q3396">
            <v>2965</v>
          </cell>
        </row>
        <row r="3397">
          <cell r="B3397" t="str">
            <v>VASCO 1102MR176</v>
          </cell>
          <cell r="C3397">
            <v>13751102</v>
          </cell>
          <cell r="D3397" t="str">
            <v>VASCO 1102</v>
          </cell>
          <cell r="E3397" t="str">
            <v>MR176</v>
          </cell>
          <cell r="F3397" t="b">
            <v>0</v>
          </cell>
          <cell r="G3397">
            <v>68684.323642028598</v>
          </cell>
          <cell r="H3397">
            <v>62474.180252438397</v>
          </cell>
          <cell r="I3397">
            <v>256</v>
          </cell>
          <cell r="J3397">
            <v>5.5783378601433303E-5</v>
          </cell>
          <cell r="K3397">
            <v>2894</v>
          </cell>
          <cell r="L3397">
            <v>3634.7993058100901</v>
          </cell>
          <cell r="M3397">
            <v>187</v>
          </cell>
          <cell r="N3397">
            <v>0.20120548549259201</v>
          </cell>
          <cell r="O3397">
            <v>324</v>
          </cell>
          <cell r="P3397">
            <v>0.19</v>
          </cell>
          <cell r="Q3397">
            <v>1184</v>
          </cell>
        </row>
        <row r="3398">
          <cell r="B3398" t="str">
            <v>VASCO 1102MR178</v>
          </cell>
          <cell r="C3398">
            <v>13751102</v>
          </cell>
          <cell r="D3398" t="str">
            <v>VASCO 1102</v>
          </cell>
          <cell r="E3398" t="str">
            <v>MR178</v>
          </cell>
          <cell r="F3398" t="b">
            <v>0</v>
          </cell>
          <cell r="G3398">
            <v>21546.685867093602</v>
          </cell>
          <cell r="H3398">
            <v>2579.6297244223201</v>
          </cell>
          <cell r="I3398">
            <v>117</v>
          </cell>
          <cell r="J3398">
            <v>6.7557350105388301E-5</v>
          </cell>
          <cell r="K3398">
            <v>2547</v>
          </cell>
          <cell r="L3398">
            <v>427.85998828532001</v>
          </cell>
          <cell r="M3398">
            <v>1263</v>
          </cell>
          <cell r="N3398">
            <v>2.2562448300297199E-2</v>
          </cell>
          <cell r="O3398">
            <v>1617</v>
          </cell>
          <cell r="Q3398">
            <v>2847</v>
          </cell>
        </row>
        <row r="3399">
          <cell r="B3399" t="str">
            <v>VASONA 1102944560</v>
          </cell>
          <cell r="C3399">
            <v>83771102</v>
          </cell>
          <cell r="D3399" t="str">
            <v>VASONA 1102</v>
          </cell>
          <cell r="E3399">
            <v>944560</v>
          </cell>
          <cell r="F3399" t="b">
            <v>1</v>
          </cell>
          <cell r="G3399">
            <v>944.57738781113596</v>
          </cell>
          <cell r="H3399">
            <v>282.640143308549</v>
          </cell>
          <cell r="I3399">
            <v>9</v>
          </cell>
          <cell r="J3399">
            <v>8.6598720372421599E-5</v>
          </cell>
          <cell r="K3399">
            <v>2020</v>
          </cell>
          <cell r="L3399">
            <v>6.5432527826892004E-2</v>
          </cell>
          <cell r="M3399">
            <v>3404</v>
          </cell>
          <cell r="N3399">
            <v>5.6634692906993403E-6</v>
          </cell>
          <cell r="O3399">
            <v>3229</v>
          </cell>
          <cell r="Q3399">
            <v>3260</v>
          </cell>
        </row>
        <row r="3400">
          <cell r="B3400" t="str">
            <v>VIEJO 22012064</v>
          </cell>
          <cell r="C3400">
            <v>182852201</v>
          </cell>
          <cell r="D3400" t="str">
            <v>VIEJO 2201</v>
          </cell>
          <cell r="E3400">
            <v>2064</v>
          </cell>
          <cell r="F3400" t="b">
            <v>0</v>
          </cell>
          <cell r="G3400">
            <v>1409.3975594593201</v>
          </cell>
          <cell r="H3400">
            <v>1409.3975594593201</v>
          </cell>
          <cell r="I3400">
            <v>15</v>
          </cell>
          <cell r="J3400">
            <v>3.7421806700876902E-5</v>
          </cell>
          <cell r="K3400">
            <v>3305</v>
          </cell>
          <cell r="L3400">
            <v>6.6431834237477602E-2</v>
          </cell>
          <cell r="M3400">
            <v>2982</v>
          </cell>
          <cell r="N3400">
            <v>2.48599925961958E-6</v>
          </cell>
          <cell r="O3400">
            <v>3467</v>
          </cell>
          <cell r="P3400">
            <v>0.08</v>
          </cell>
          <cell r="Q3400">
            <v>1660</v>
          </cell>
        </row>
        <row r="3401">
          <cell r="B3401" t="str">
            <v>VIEJO 22019114</v>
          </cell>
          <cell r="C3401">
            <v>182852201</v>
          </cell>
          <cell r="D3401" t="str">
            <v>VIEJO 2201</v>
          </cell>
          <cell r="E3401">
            <v>9114</v>
          </cell>
          <cell r="F3401" t="b">
            <v>0</v>
          </cell>
          <cell r="G3401">
            <v>11036.312331892699</v>
          </cell>
          <cell r="H3401">
            <v>10977.6209448143</v>
          </cell>
          <cell r="I3401">
            <v>92</v>
          </cell>
          <cell r="J3401">
            <v>5.8649096425379698E-5</v>
          </cell>
          <cell r="K3401">
            <v>2817</v>
          </cell>
          <cell r="L3401">
            <v>6.6403915883019304E-2</v>
          </cell>
          <cell r="M3401">
            <v>3117</v>
          </cell>
          <cell r="N3401">
            <v>3.8947462104910799E-6</v>
          </cell>
          <cell r="O3401">
            <v>3342</v>
          </cell>
          <cell r="P3401">
            <v>0.17</v>
          </cell>
          <cell r="Q3401">
            <v>1246</v>
          </cell>
        </row>
        <row r="3402">
          <cell r="B3402" t="str">
            <v>VIEJO 22019490</v>
          </cell>
          <cell r="C3402">
            <v>182852201</v>
          </cell>
          <cell r="D3402" t="str">
            <v>VIEJO 2201</v>
          </cell>
          <cell r="E3402">
            <v>9490</v>
          </cell>
          <cell r="F3402" t="b">
            <v>0</v>
          </cell>
          <cell r="G3402">
            <v>2186.22444144978</v>
          </cell>
          <cell r="H3402">
            <v>2004.0139997488</v>
          </cell>
          <cell r="I3402">
            <v>21</v>
          </cell>
          <cell r="J3402">
            <v>6.5774637343045904E-5</v>
          </cell>
          <cell r="K3402">
            <v>2597</v>
          </cell>
          <cell r="L3402">
            <v>6.61872162746035E-2</v>
          </cell>
          <cell r="M3402">
            <v>3173</v>
          </cell>
          <cell r="N3402">
            <v>4.3538944426950302E-6</v>
          </cell>
          <cell r="O3402">
            <v>3309</v>
          </cell>
          <cell r="P3402">
            <v>7.0000000000000007E-2</v>
          </cell>
          <cell r="Q3402">
            <v>1753</v>
          </cell>
        </row>
        <row r="3403">
          <cell r="B3403" t="str">
            <v>VIEJO 22019698</v>
          </cell>
          <cell r="C3403">
            <v>182852201</v>
          </cell>
          <cell r="D3403" t="str">
            <v>VIEJO 2201</v>
          </cell>
          <cell r="E3403">
            <v>9698</v>
          </cell>
          <cell r="F3403" t="b">
            <v>1</v>
          </cell>
          <cell r="G3403">
            <v>1062.5186395619401</v>
          </cell>
          <cell r="H3403">
            <v>929.66244791274698</v>
          </cell>
          <cell r="I3403">
            <v>10</v>
          </cell>
          <cell r="J3403">
            <v>3.10675237415125E-5</v>
          </cell>
          <cell r="K3403">
            <v>3415</v>
          </cell>
          <cell r="L3403">
            <v>6.6303409806968694E-2</v>
          </cell>
          <cell r="M3403">
            <v>3148</v>
          </cell>
          <cell r="N3403">
            <v>2.06071649043804E-6</v>
          </cell>
          <cell r="O3403">
            <v>3504</v>
          </cell>
          <cell r="P3403">
            <v>7.0000000000000007E-2</v>
          </cell>
          <cell r="Q3403">
            <v>1771</v>
          </cell>
        </row>
        <row r="3404">
          <cell r="B3404" t="str">
            <v>VIEJO 22019704</v>
          </cell>
          <cell r="C3404">
            <v>182852201</v>
          </cell>
          <cell r="D3404" t="str">
            <v>VIEJO 2201</v>
          </cell>
          <cell r="E3404">
            <v>9704</v>
          </cell>
          <cell r="F3404" t="b">
            <v>1</v>
          </cell>
          <cell r="G3404">
            <v>4114.9937522698901</v>
          </cell>
          <cell r="H3404">
            <v>786.59860789011498</v>
          </cell>
          <cell r="I3404">
            <v>29</v>
          </cell>
          <cell r="J3404">
            <v>3.3423302974025E-5</v>
          </cell>
          <cell r="K3404">
            <v>3377</v>
          </cell>
          <cell r="L3404">
            <v>6.5369011364300206E-2</v>
          </cell>
          <cell r="M3404">
            <v>3429</v>
          </cell>
          <cell r="N3404">
            <v>2.1871989492249998E-6</v>
          </cell>
          <cell r="O3404">
            <v>3493</v>
          </cell>
          <cell r="P3404">
            <v>0.4</v>
          </cell>
          <cell r="Q3404">
            <v>944</v>
          </cell>
        </row>
        <row r="3405">
          <cell r="B3405" t="str">
            <v>VIEJO 2201CB</v>
          </cell>
          <cell r="C3405">
            <v>182852201</v>
          </cell>
          <cell r="D3405" t="str">
            <v>VIEJO 2201</v>
          </cell>
          <cell r="E3405" t="str">
            <v>CB</v>
          </cell>
          <cell r="F3405" t="b">
            <v>0</v>
          </cell>
          <cell r="G3405">
            <v>8287.0610497657199</v>
          </cell>
          <cell r="H3405">
            <v>8183.2874924825601</v>
          </cell>
          <cell r="I3405">
            <v>67</v>
          </cell>
          <cell r="J3405">
            <v>6.1848006565136802E-5</v>
          </cell>
          <cell r="K3405">
            <v>2725</v>
          </cell>
          <cell r="L3405">
            <v>6.6374330761130501E-2</v>
          </cell>
          <cell r="M3405">
            <v>3130</v>
          </cell>
          <cell r="N3405">
            <v>4.1068280211366401E-6</v>
          </cell>
          <cell r="O3405">
            <v>3331</v>
          </cell>
          <cell r="P3405">
            <v>0.08</v>
          </cell>
          <cell r="Q3405">
            <v>1652</v>
          </cell>
        </row>
        <row r="3406">
          <cell r="B3406" t="str">
            <v>VIEJO 22022606</v>
          </cell>
          <cell r="C3406">
            <v>182852202</v>
          </cell>
          <cell r="D3406" t="str">
            <v>VIEJO 2202</v>
          </cell>
          <cell r="E3406">
            <v>2606</v>
          </cell>
          <cell r="F3406" t="b">
            <v>0</v>
          </cell>
          <cell r="G3406">
            <v>4663.4326051665203</v>
          </cell>
          <cell r="H3406">
            <v>1279.3760369689501</v>
          </cell>
          <cell r="I3406">
            <v>52</v>
          </cell>
          <cell r="J3406">
            <v>5.9834251124777003E-5</v>
          </cell>
          <cell r="K3406">
            <v>2780</v>
          </cell>
          <cell r="L3406">
            <v>6.5394283154762103E-2</v>
          </cell>
          <cell r="M3406">
            <v>3420</v>
          </cell>
          <cell r="N3406">
            <v>3.9158261960726098E-6</v>
          </cell>
          <cell r="O3406">
            <v>3339</v>
          </cell>
          <cell r="P3406">
            <v>0.06</v>
          </cell>
          <cell r="Q3406">
            <v>1806</v>
          </cell>
        </row>
        <row r="3407">
          <cell r="B3407" t="str">
            <v>VIEJO 220235388</v>
          </cell>
          <cell r="C3407">
            <v>182852202</v>
          </cell>
          <cell r="D3407" t="str">
            <v>VIEJO 2202</v>
          </cell>
          <cell r="E3407">
            <v>35388</v>
          </cell>
          <cell r="F3407" t="b">
            <v>1</v>
          </cell>
          <cell r="G3407">
            <v>727.29740508567397</v>
          </cell>
          <cell r="H3407">
            <v>517.01392348478601</v>
          </cell>
          <cell r="I3407">
            <v>8</v>
          </cell>
          <cell r="J3407">
            <v>4.2702112921233398E-5</v>
          </cell>
          <cell r="K3407">
            <v>3213</v>
          </cell>
          <cell r="L3407">
            <v>6.6110773161205297E-2</v>
          </cell>
          <cell r="M3407">
            <v>3193</v>
          </cell>
          <cell r="N3407">
            <v>2.8344433278721001E-6</v>
          </cell>
          <cell r="O3407">
            <v>3432</v>
          </cell>
          <cell r="P3407">
            <v>0.94</v>
          </cell>
          <cell r="Q3407">
            <v>745</v>
          </cell>
        </row>
        <row r="3408">
          <cell r="B3408" t="str">
            <v>VIEJO 220255787</v>
          </cell>
          <cell r="C3408">
            <v>182852202</v>
          </cell>
          <cell r="D3408" t="str">
            <v>VIEJO 2202</v>
          </cell>
          <cell r="E3408">
            <v>55787</v>
          </cell>
          <cell r="F3408" t="b">
            <v>1</v>
          </cell>
          <cell r="G3408">
            <v>58.9250580656593</v>
          </cell>
          <cell r="H3408">
            <v>58.9250580656593</v>
          </cell>
          <cell r="I3408">
            <v>1</v>
          </cell>
          <cell r="J3408">
            <v>9.7708973044063896E-5</v>
          </cell>
          <cell r="K3408">
            <v>1699</v>
          </cell>
          <cell r="L3408">
            <v>6.6431834237477602E-2</v>
          </cell>
          <cell r="M3408">
            <v>2989</v>
          </cell>
          <cell r="N3408">
            <v>6.4909863007774196E-6</v>
          </cell>
          <cell r="O3408">
            <v>3193</v>
          </cell>
          <cell r="P3408">
            <v>0.05</v>
          </cell>
          <cell r="Q3408">
            <v>2023</v>
          </cell>
        </row>
        <row r="3409">
          <cell r="B3409" t="str">
            <v>VIEJO 220285904</v>
          </cell>
          <cell r="C3409">
            <v>182852202</v>
          </cell>
          <cell r="D3409" t="str">
            <v>VIEJO 2202</v>
          </cell>
          <cell r="E3409">
            <v>85904</v>
          </cell>
          <cell r="F3409" t="b">
            <v>0</v>
          </cell>
          <cell r="G3409">
            <v>3179.0036321821299</v>
          </cell>
          <cell r="H3409">
            <v>1684.9898078966601</v>
          </cell>
          <cell r="I3409">
            <v>24</v>
          </cell>
          <cell r="J3409">
            <v>1.8826573475886701E-5</v>
          </cell>
          <cell r="K3409">
            <v>3555</v>
          </cell>
          <cell r="L3409">
            <v>6.5629181546796797E-2</v>
          </cell>
          <cell r="M3409">
            <v>3329</v>
          </cell>
          <cell r="N3409">
            <v>1.24433424755165E-6</v>
          </cell>
          <cell r="O3409">
            <v>3571</v>
          </cell>
          <cell r="P3409">
            <v>0.03</v>
          </cell>
          <cell r="Q3409">
            <v>2340</v>
          </cell>
        </row>
        <row r="3410">
          <cell r="B3410" t="str">
            <v>VIEJO 22029089</v>
          </cell>
          <cell r="C3410">
            <v>182852202</v>
          </cell>
          <cell r="D3410" t="str">
            <v>VIEJO 2202</v>
          </cell>
          <cell r="E3410">
            <v>9089</v>
          </cell>
          <cell r="F3410" t="b">
            <v>0</v>
          </cell>
          <cell r="G3410">
            <v>2700.0602624786302</v>
          </cell>
          <cell r="H3410">
            <v>2319.95001292385</v>
          </cell>
          <cell r="I3410">
            <v>20</v>
          </cell>
          <cell r="J3410">
            <v>4.6291500484585403E-5</v>
          </cell>
          <cell r="K3410">
            <v>3130</v>
          </cell>
          <cell r="L3410">
            <v>6.61749853764598E-2</v>
          </cell>
          <cell r="M3410">
            <v>3177</v>
          </cell>
          <cell r="N3410">
            <v>3.0683935057687402E-6</v>
          </cell>
          <cell r="O3410">
            <v>3407</v>
          </cell>
          <cell r="P3410">
            <v>0.03</v>
          </cell>
          <cell r="Q3410">
            <v>2365</v>
          </cell>
        </row>
        <row r="3411">
          <cell r="B3411" t="str">
            <v>VIEJO 22029104</v>
          </cell>
          <cell r="C3411">
            <v>182852202</v>
          </cell>
          <cell r="D3411" t="str">
            <v>VIEJO 2202</v>
          </cell>
          <cell r="E3411">
            <v>9104</v>
          </cell>
          <cell r="F3411" t="b">
            <v>0</v>
          </cell>
          <cell r="G3411">
            <v>9586.0766021684794</v>
          </cell>
          <cell r="H3411">
            <v>9148.5670443796298</v>
          </cell>
          <cell r="I3411">
            <v>79</v>
          </cell>
          <cell r="J3411">
            <v>3.1816520734687001E-5</v>
          </cell>
          <cell r="K3411">
            <v>3404</v>
          </cell>
          <cell r="L3411">
            <v>6.6366809209372005E-2</v>
          </cell>
          <cell r="M3411">
            <v>3133</v>
          </cell>
          <cell r="N3411">
            <v>2.1129612209747899E-6</v>
          </cell>
          <cell r="O3411">
            <v>3502</v>
          </cell>
          <cell r="P3411">
            <v>0.18</v>
          </cell>
          <cell r="Q3411">
            <v>1218</v>
          </cell>
        </row>
        <row r="3412">
          <cell r="B3412" t="str">
            <v>VIEJO 22029112</v>
          </cell>
          <cell r="C3412">
            <v>182852202</v>
          </cell>
          <cell r="D3412" t="str">
            <v>VIEJO 2202</v>
          </cell>
          <cell r="E3412">
            <v>9112</v>
          </cell>
          <cell r="F3412" t="b">
            <v>0</v>
          </cell>
          <cell r="G3412">
            <v>5302.2860067072997</v>
          </cell>
          <cell r="H3412">
            <v>1359.40941106174</v>
          </cell>
          <cell r="I3412">
            <v>43</v>
          </cell>
          <cell r="J3412">
            <v>2.64918079324161E-5</v>
          </cell>
          <cell r="K3412">
            <v>3480</v>
          </cell>
          <cell r="L3412">
            <v>6.5386519105428198E-2</v>
          </cell>
          <cell r="M3412">
            <v>3422</v>
          </cell>
          <cell r="N3412">
            <v>1.74207477516451E-6</v>
          </cell>
          <cell r="O3412">
            <v>3531</v>
          </cell>
          <cell r="P3412">
            <v>0.55000000000000004</v>
          </cell>
          <cell r="Q3412">
            <v>872</v>
          </cell>
        </row>
        <row r="3413">
          <cell r="B3413" t="str">
            <v>VIEJO 22029118</v>
          </cell>
          <cell r="C3413">
            <v>182852202</v>
          </cell>
          <cell r="D3413" t="str">
            <v>VIEJO 2202</v>
          </cell>
          <cell r="E3413">
            <v>9118</v>
          </cell>
          <cell r="F3413" t="b">
            <v>0</v>
          </cell>
          <cell r="G3413">
            <v>4822.7839184463</v>
          </cell>
          <cell r="H3413">
            <v>1265.78270544154</v>
          </cell>
          <cell r="I3413">
            <v>41</v>
          </cell>
          <cell r="J3413">
            <v>5.3297437221999601E-5</v>
          </cell>
          <cell r="K3413">
            <v>2954</v>
          </cell>
          <cell r="L3413">
            <v>6.5429497218871299E-2</v>
          </cell>
          <cell r="M3413">
            <v>3406</v>
          </cell>
          <cell r="N3413">
            <v>3.4915000658594399E-6</v>
          </cell>
          <cell r="O3413">
            <v>3368</v>
          </cell>
          <cell r="P3413">
            <v>0.42</v>
          </cell>
          <cell r="Q3413">
            <v>936</v>
          </cell>
        </row>
        <row r="3414">
          <cell r="B3414" t="str">
            <v>VIEJO 22029120</v>
          </cell>
          <cell r="C3414">
            <v>182852202</v>
          </cell>
          <cell r="D3414" t="str">
            <v>VIEJO 2202</v>
          </cell>
          <cell r="E3414">
            <v>9120</v>
          </cell>
          <cell r="F3414" t="b">
            <v>0</v>
          </cell>
          <cell r="G3414">
            <v>11903.524353458401</v>
          </cell>
          <cell r="H3414">
            <v>2858.0041188846599</v>
          </cell>
          <cell r="I3414">
            <v>112</v>
          </cell>
          <cell r="J3414">
            <v>3.8664706222237199E-5</v>
          </cell>
          <cell r="K3414">
            <v>3290</v>
          </cell>
          <cell r="L3414">
            <v>6.5445718074641099E-2</v>
          </cell>
          <cell r="M3414">
            <v>3397</v>
          </cell>
          <cell r="N3414">
            <v>2.5360578651522699E-6</v>
          </cell>
          <cell r="O3414">
            <v>3463</v>
          </cell>
          <cell r="P3414">
            <v>7.0000000000000007E-2</v>
          </cell>
          <cell r="Q3414">
            <v>1741</v>
          </cell>
        </row>
        <row r="3415">
          <cell r="B3415" t="str">
            <v>VIEJO 220292792</v>
          </cell>
          <cell r="C3415">
            <v>182852202</v>
          </cell>
          <cell r="D3415" t="str">
            <v>VIEJO 2202</v>
          </cell>
          <cell r="E3415">
            <v>92792</v>
          </cell>
          <cell r="F3415" t="b">
            <v>1</v>
          </cell>
          <cell r="G3415">
            <v>2338.4550643827702</v>
          </cell>
          <cell r="H3415">
            <v>0</v>
          </cell>
          <cell r="I3415">
            <v>21</v>
          </cell>
          <cell r="J3415">
            <v>4.7945817641448202E-5</v>
          </cell>
          <cell r="K3415">
            <v>3094</v>
          </cell>
          <cell r="L3415">
            <v>6.51475899323882E-2</v>
          </cell>
          <cell r="M3415">
            <v>3598</v>
          </cell>
          <cell r="N3415">
            <v>3.1235544666781302E-6</v>
          </cell>
          <cell r="O3415">
            <v>3400</v>
          </cell>
          <cell r="P3415">
            <v>0.04</v>
          </cell>
          <cell r="Q3415">
            <v>2169</v>
          </cell>
        </row>
        <row r="3416">
          <cell r="B3416" t="str">
            <v>VIEJO 22029488</v>
          </cell>
          <cell r="C3416">
            <v>182852202</v>
          </cell>
          <cell r="D3416" t="str">
            <v>VIEJO 2202</v>
          </cell>
          <cell r="E3416">
            <v>9488</v>
          </cell>
          <cell r="F3416" t="b">
            <v>0</v>
          </cell>
          <cell r="G3416">
            <v>2122.5518244362802</v>
          </cell>
          <cell r="H3416">
            <v>1460.4010030279701</v>
          </cell>
          <cell r="I3416">
            <v>18</v>
          </cell>
          <cell r="J3416">
            <v>5.4746446949138697E-5</v>
          </cell>
          <cell r="K3416">
            <v>2923</v>
          </cell>
          <cell r="L3416">
            <v>6.5789712084932894E-2</v>
          </cell>
          <cell r="M3416">
            <v>3279</v>
          </cell>
          <cell r="N3416">
            <v>3.6033610672802298E-6</v>
          </cell>
          <cell r="O3416">
            <v>3360</v>
          </cell>
          <cell r="P3416">
            <v>0.02</v>
          </cell>
          <cell r="Q3416">
            <v>2561</v>
          </cell>
        </row>
        <row r="3417">
          <cell r="B3417" t="str">
            <v>VIEJO 2202CB</v>
          </cell>
          <cell r="C3417">
            <v>182852202</v>
          </cell>
          <cell r="D3417" t="str">
            <v>VIEJO 2202</v>
          </cell>
          <cell r="E3417" t="str">
            <v>CB</v>
          </cell>
          <cell r="F3417" t="b">
            <v>0</v>
          </cell>
          <cell r="G3417">
            <v>3450.21075210341</v>
          </cell>
          <cell r="H3417">
            <v>3450.21075210341</v>
          </cell>
          <cell r="I3417">
            <v>23</v>
          </cell>
          <cell r="J3417">
            <v>8.8928033105533004E-5</v>
          </cell>
          <cell r="K3417">
            <v>1953</v>
          </cell>
          <cell r="L3417">
            <v>6.6431834237477602E-2</v>
          </cell>
          <cell r="M3417">
            <v>2985</v>
          </cell>
          <cell r="N3417">
            <v>5.9076523543316896E-6</v>
          </cell>
          <cell r="O3417">
            <v>3216</v>
          </cell>
          <cell r="P3417">
            <v>1.33</v>
          </cell>
          <cell r="Q3417">
            <v>684</v>
          </cell>
        </row>
        <row r="3418">
          <cell r="B3418" t="str">
            <v>VIEJO 22032634</v>
          </cell>
          <cell r="C3418">
            <v>182852203</v>
          </cell>
          <cell r="D3418" t="str">
            <v>VIEJO 2203</v>
          </cell>
          <cell r="E3418">
            <v>2634</v>
          </cell>
          <cell r="F3418" t="b">
            <v>1</v>
          </cell>
          <cell r="G3418">
            <v>2692.6366066564401</v>
          </cell>
          <cell r="H3418">
            <v>0</v>
          </cell>
          <cell r="I3418">
            <v>23</v>
          </cell>
          <cell r="J3418">
            <v>2.56658244614465E-5</v>
          </cell>
          <cell r="K3418">
            <v>3490</v>
          </cell>
          <cell r="L3418">
            <v>6.51475899323882E-2</v>
          </cell>
          <cell r="M3418">
            <v>3596</v>
          </cell>
          <cell r="N3418">
            <v>1.6720666072909799E-6</v>
          </cell>
          <cell r="O3418">
            <v>3537</v>
          </cell>
          <cell r="P3418">
            <v>0.02</v>
          </cell>
          <cell r="Q3418">
            <v>2497</v>
          </cell>
        </row>
        <row r="3419">
          <cell r="B3419" t="str">
            <v>VIEJO 2203573610</v>
          </cell>
          <cell r="C3419">
            <v>182852203</v>
          </cell>
          <cell r="D3419" t="str">
            <v>VIEJO 2203</v>
          </cell>
          <cell r="E3419">
            <v>573610</v>
          </cell>
          <cell r="F3419" t="b">
            <v>1</v>
          </cell>
          <cell r="G3419">
            <v>5029.4734525102504</v>
          </cell>
          <cell r="H3419">
            <v>0</v>
          </cell>
          <cell r="I3419">
            <v>41</v>
          </cell>
          <cell r="J3419">
            <v>2.6462089545603702E-5</v>
          </cell>
          <cell r="K3419">
            <v>3481</v>
          </cell>
          <cell r="L3419">
            <v>6.5178912964219696E-2</v>
          </cell>
          <cell r="M3419">
            <v>3538</v>
          </cell>
          <cell r="N3419">
            <v>1.7259440371068901E-6</v>
          </cell>
          <cell r="O3419">
            <v>3534</v>
          </cell>
          <cell r="Q3419">
            <v>2722</v>
          </cell>
        </row>
        <row r="3420">
          <cell r="B3420" t="str">
            <v>VIEJO 22039094</v>
          </cell>
          <cell r="C3420">
            <v>182852203</v>
          </cell>
          <cell r="D3420" t="str">
            <v>VIEJO 2203</v>
          </cell>
          <cell r="E3420">
            <v>9094</v>
          </cell>
          <cell r="F3420" t="b">
            <v>1</v>
          </cell>
          <cell r="G3420">
            <v>4020.7214624308399</v>
          </cell>
          <cell r="H3420">
            <v>160.274167769717</v>
          </cell>
          <cell r="I3420">
            <v>32</v>
          </cell>
          <cell r="J3420">
            <v>2.6274427348956399E-5</v>
          </cell>
          <cell r="K3420">
            <v>3483</v>
          </cell>
          <cell r="L3420">
            <v>6.5227855201456297E-2</v>
          </cell>
          <cell r="M3420">
            <v>3493</v>
          </cell>
          <cell r="N3420">
            <v>1.7132320344027601E-6</v>
          </cell>
          <cell r="O3420">
            <v>3536</v>
          </cell>
          <cell r="P3420">
            <v>0.02</v>
          </cell>
          <cell r="Q3420">
            <v>2542</v>
          </cell>
        </row>
        <row r="3421">
          <cell r="B3421" t="str">
            <v>VIEJO 2203947314</v>
          </cell>
          <cell r="C3421">
            <v>182852203</v>
          </cell>
          <cell r="D3421" t="str">
            <v>VIEJO 2203</v>
          </cell>
          <cell r="E3421">
            <v>947314</v>
          </cell>
          <cell r="F3421" t="b">
            <v>1</v>
          </cell>
          <cell r="G3421">
            <v>2331.85114956702</v>
          </cell>
          <cell r="H3421">
            <v>461.40106097895102</v>
          </cell>
          <cell r="I3421">
            <v>22</v>
          </cell>
          <cell r="J3421">
            <v>4.1433444710578598E-5</v>
          </cell>
          <cell r="K3421">
            <v>3236</v>
          </cell>
          <cell r="L3421">
            <v>6.5322714155809494E-2</v>
          </cell>
          <cell r="M3421">
            <v>3451</v>
          </cell>
          <cell r="N3421">
            <v>2.71638701639278E-6</v>
          </cell>
          <cell r="O3421">
            <v>3438</v>
          </cell>
          <cell r="Q3421">
            <v>3163</v>
          </cell>
        </row>
        <row r="3422">
          <cell r="B3422" t="str">
            <v>VIEJO 2203CB</v>
          </cell>
          <cell r="C3422">
            <v>182852203</v>
          </cell>
          <cell r="D3422" t="str">
            <v>VIEJO 2203</v>
          </cell>
          <cell r="E3422" t="str">
            <v>CB</v>
          </cell>
          <cell r="F3422" t="b">
            <v>0</v>
          </cell>
          <cell r="G3422">
            <v>5468.4733315650801</v>
          </cell>
          <cell r="H3422">
            <v>4727.7308435474897</v>
          </cell>
          <cell r="I3422">
            <v>42</v>
          </cell>
          <cell r="J3422">
            <v>6.6222658815826306E-5</v>
          </cell>
          <cell r="K3422">
            <v>2583</v>
          </cell>
          <cell r="L3422">
            <v>6.61872162746035E-2</v>
          </cell>
          <cell r="M3422">
            <v>3172</v>
          </cell>
          <cell r="N3422">
            <v>4.3920259503509299E-6</v>
          </cell>
          <cell r="O3422">
            <v>3303</v>
          </cell>
          <cell r="P3422">
            <v>0.12</v>
          </cell>
          <cell r="Q3422">
            <v>1373</v>
          </cell>
        </row>
        <row r="3423">
          <cell r="B3423" t="str">
            <v>VIEJO 220436948</v>
          </cell>
          <cell r="C3423">
            <v>182852204</v>
          </cell>
          <cell r="D3423" t="str">
            <v>VIEJO 2204</v>
          </cell>
          <cell r="E3423">
            <v>36948</v>
          </cell>
          <cell r="F3423" t="b">
            <v>1</v>
          </cell>
          <cell r="G3423">
            <v>13534.0060615737</v>
          </cell>
          <cell r="H3423">
            <v>809.62732441001504</v>
          </cell>
          <cell r="I3423">
            <v>109</v>
          </cell>
          <cell r="J3423">
            <v>6.1078253111190803E-6</v>
          </cell>
          <cell r="K3423">
            <v>3631</v>
          </cell>
          <cell r="L3423">
            <v>6.5182936105922698E-2</v>
          </cell>
          <cell r="M3423">
            <v>3533</v>
          </cell>
          <cell r="N3423">
            <v>3.98162711117204E-7</v>
          </cell>
          <cell r="O3423">
            <v>3631</v>
          </cell>
          <cell r="Q3423">
            <v>2715</v>
          </cell>
        </row>
        <row r="3424">
          <cell r="B3424" t="str">
            <v>VIEJO 22049110</v>
          </cell>
          <cell r="C3424">
            <v>182852204</v>
          </cell>
          <cell r="D3424" t="str">
            <v>VIEJO 2204</v>
          </cell>
          <cell r="E3424">
            <v>9110</v>
          </cell>
          <cell r="F3424" t="b">
            <v>1</v>
          </cell>
          <cell r="G3424">
            <v>6943.3734992227301</v>
          </cell>
          <cell r="H3424">
            <v>472.91158737896598</v>
          </cell>
          <cell r="I3424">
            <v>58</v>
          </cell>
          <cell r="J3424">
            <v>1.34627548329097E-5</v>
          </cell>
          <cell r="K3424">
            <v>3596</v>
          </cell>
          <cell r="L3424">
            <v>6.5169732075579495E-2</v>
          </cell>
          <cell r="M3424">
            <v>3544</v>
          </cell>
          <cell r="N3424">
            <v>8.7871627375767796E-7</v>
          </cell>
          <cell r="O3424">
            <v>3601</v>
          </cell>
          <cell r="P3424">
            <v>0.03</v>
          </cell>
          <cell r="Q3424">
            <v>2318</v>
          </cell>
        </row>
        <row r="3425">
          <cell r="B3425" t="str">
            <v>VIEJO 22049440</v>
          </cell>
          <cell r="C3425">
            <v>182852204</v>
          </cell>
          <cell r="D3425" t="str">
            <v>VIEJO 2204</v>
          </cell>
          <cell r="E3425">
            <v>9440</v>
          </cell>
          <cell r="F3425" t="b">
            <v>1</v>
          </cell>
          <cell r="G3425">
            <v>5507.4999548489704</v>
          </cell>
          <cell r="H3425">
            <v>123.739517955824</v>
          </cell>
          <cell r="I3425">
            <v>55</v>
          </cell>
          <cell r="J3425">
            <v>1.3106010997559599E-5</v>
          </cell>
          <cell r="K3425">
            <v>3599</v>
          </cell>
          <cell r="L3425">
            <v>6.5170939828844393E-2</v>
          </cell>
          <cell r="M3425">
            <v>3541</v>
          </cell>
          <cell r="N3425">
            <v>8.5438308270291205E-7</v>
          </cell>
          <cell r="O3425">
            <v>3603</v>
          </cell>
          <cell r="Q3425">
            <v>2959</v>
          </cell>
        </row>
        <row r="3426">
          <cell r="B3426" t="str">
            <v>VIEJO 22049540</v>
          </cell>
          <cell r="C3426">
            <v>182852204</v>
          </cell>
          <cell r="D3426" t="str">
            <v>VIEJO 2204</v>
          </cell>
          <cell r="E3426">
            <v>9540</v>
          </cell>
          <cell r="F3426" t="b">
            <v>0</v>
          </cell>
          <cell r="G3426">
            <v>3592.08896987344</v>
          </cell>
          <cell r="H3426">
            <v>2319.70966787614</v>
          </cell>
          <cell r="I3426">
            <v>32</v>
          </cell>
          <cell r="J3426">
            <v>2.8532336827424802E-5</v>
          </cell>
          <cell r="K3426">
            <v>3444</v>
          </cell>
          <cell r="L3426">
            <v>6.5869977354001005E-2</v>
          </cell>
          <cell r="M3426">
            <v>3251</v>
          </cell>
          <cell r="N3426">
            <v>1.8884841101300401E-6</v>
          </cell>
          <cell r="O3426">
            <v>3517</v>
          </cell>
          <cell r="P3426">
            <v>0.02</v>
          </cell>
          <cell r="Q3426">
            <v>2557</v>
          </cell>
        </row>
        <row r="3427">
          <cell r="B3427" t="str">
            <v>VIEJO 2204CB</v>
          </cell>
          <cell r="C3427">
            <v>182852204</v>
          </cell>
          <cell r="D3427" t="str">
            <v>VIEJO 2204</v>
          </cell>
          <cell r="E3427" t="str">
            <v>CB</v>
          </cell>
          <cell r="F3427" t="b">
            <v>0</v>
          </cell>
          <cell r="G3427">
            <v>4041.5057126736701</v>
          </cell>
          <cell r="H3427">
            <v>3727.5542985790298</v>
          </cell>
          <cell r="I3427">
            <v>24</v>
          </cell>
          <cell r="J3427">
            <v>5.4820464470139901E-5</v>
          </cell>
          <cell r="K3427">
            <v>2920</v>
          </cell>
          <cell r="L3427">
            <v>6.6271303699341505E-2</v>
          </cell>
          <cell r="M3427">
            <v>3157</v>
          </cell>
          <cell r="N3427">
            <v>3.64001179859224E-6</v>
          </cell>
          <cell r="O3427">
            <v>3357</v>
          </cell>
          <cell r="P3427">
            <v>0.04</v>
          </cell>
          <cell r="Q3427">
            <v>2207</v>
          </cell>
        </row>
        <row r="3428">
          <cell r="B3428" t="str">
            <v>VINEYARD 2107246084</v>
          </cell>
          <cell r="C3428">
            <v>14502107</v>
          </cell>
          <cell r="D3428" t="str">
            <v>VINEYARD 2107</v>
          </cell>
          <cell r="E3428">
            <v>246084</v>
          </cell>
          <cell r="F3428" t="b">
            <v>1</v>
          </cell>
          <cell r="G3428">
            <v>830.43503338721496</v>
          </cell>
          <cell r="H3428">
            <v>385.24430470309801</v>
          </cell>
          <cell r="I3428">
            <v>7</v>
          </cell>
          <cell r="J3428">
            <v>7.1410399479126206E-5</v>
          </cell>
          <cell r="K3428">
            <v>2435</v>
          </cell>
          <cell r="L3428">
            <v>49.918129037087297</v>
          </cell>
          <cell r="M3428">
            <v>2211</v>
          </cell>
          <cell r="N3428">
            <v>3.5033019041899099E-3</v>
          </cell>
          <cell r="O3428">
            <v>2295</v>
          </cell>
          <cell r="Q3428">
            <v>3377</v>
          </cell>
        </row>
        <row r="3429">
          <cell r="B3429" t="str">
            <v>VINEYARD 2107978364</v>
          </cell>
          <cell r="C3429">
            <v>14502107</v>
          </cell>
          <cell r="D3429" t="str">
            <v>VINEYARD 2107</v>
          </cell>
          <cell r="E3429">
            <v>978364</v>
          </cell>
          <cell r="F3429" t="b">
            <v>0</v>
          </cell>
          <cell r="G3429">
            <v>4026.4295255571801</v>
          </cell>
          <cell r="H3429">
            <v>1557.65726742437</v>
          </cell>
          <cell r="I3429">
            <v>36</v>
          </cell>
          <cell r="J3429">
            <v>4.89226070183374E-5</v>
          </cell>
          <cell r="K3429">
            <v>3067</v>
          </cell>
          <cell r="L3429">
            <v>319.12063954125898</v>
          </cell>
          <cell r="M3429">
            <v>1419</v>
          </cell>
          <cell r="N3429">
            <v>2.8543469584059102E-2</v>
          </cell>
          <cell r="O3429">
            <v>1488</v>
          </cell>
          <cell r="Q3429">
            <v>2850</v>
          </cell>
        </row>
        <row r="3430">
          <cell r="B3430" t="str">
            <v>VINEYARD 2107CB</v>
          </cell>
          <cell r="C3430">
            <v>14502107</v>
          </cell>
          <cell r="D3430" t="str">
            <v>VINEYARD 2107</v>
          </cell>
          <cell r="E3430" t="str">
            <v>CB</v>
          </cell>
          <cell r="F3430" t="b">
            <v>0</v>
          </cell>
          <cell r="G3430">
            <v>12364.421939841801</v>
          </cell>
          <cell r="H3430">
            <v>3069.8489247534899</v>
          </cell>
          <cell r="I3430">
            <v>111</v>
          </cell>
          <cell r="J3430">
            <v>3.2821764614796103E-5</v>
          </cell>
          <cell r="K3430">
            <v>3389</v>
          </cell>
          <cell r="L3430">
            <v>173.84074825138001</v>
          </cell>
          <cell r="M3430">
            <v>1700</v>
          </cell>
          <cell r="N3430">
            <v>7.7954771161979101E-3</v>
          </cell>
          <cell r="O3430">
            <v>2056</v>
          </cell>
          <cell r="P3430">
            <v>0.03</v>
          </cell>
          <cell r="Q3430">
            <v>2405</v>
          </cell>
        </row>
        <row r="3431">
          <cell r="B3431" t="str">
            <v>VINEYARD 2107MR332</v>
          </cell>
          <cell r="C3431">
            <v>14502107</v>
          </cell>
          <cell r="D3431" t="str">
            <v>VINEYARD 2107</v>
          </cell>
          <cell r="E3431" t="str">
            <v>MR332</v>
          </cell>
          <cell r="F3431" t="b">
            <v>1</v>
          </cell>
          <cell r="G3431">
            <v>4548.7456954233703</v>
          </cell>
          <cell r="H3431">
            <v>520.66286401593504</v>
          </cell>
          <cell r="I3431">
            <v>31</v>
          </cell>
          <cell r="J3431">
            <v>7.6302724445323001E-5</v>
          </cell>
          <cell r="K3431">
            <v>2299</v>
          </cell>
          <cell r="L3431">
            <v>24.406965025772401</v>
          </cell>
          <cell r="M3431">
            <v>2396</v>
          </cell>
          <cell r="N3431">
            <v>2.07050568325676E-3</v>
          </cell>
          <cell r="O3431">
            <v>2470</v>
          </cell>
          <cell r="P3431">
            <v>0.38</v>
          </cell>
          <cell r="Q3431">
            <v>963</v>
          </cell>
        </row>
        <row r="3432">
          <cell r="B3432" t="str">
            <v>VINEYARD 2108383748</v>
          </cell>
          <cell r="C3432">
            <v>14502108</v>
          </cell>
          <cell r="D3432" t="str">
            <v>VINEYARD 2108</v>
          </cell>
          <cell r="E3432">
            <v>383748</v>
          </cell>
          <cell r="F3432" t="b">
            <v>1</v>
          </cell>
          <cell r="G3432">
            <v>582.31803847741696</v>
          </cell>
          <cell r="H3432">
            <v>582.31803847741696</v>
          </cell>
          <cell r="I3432">
            <v>4</v>
          </cell>
          <cell r="J3432">
            <v>1.1476496911200201E-4</v>
          </cell>
          <cell r="K3432">
            <v>1303</v>
          </cell>
          <cell r="L3432">
            <v>237.756444561595</v>
          </cell>
          <cell r="M3432">
            <v>1575</v>
          </cell>
          <cell r="N3432">
            <v>1.52068286901183E-2</v>
          </cell>
          <cell r="O3432">
            <v>1776</v>
          </cell>
          <cell r="Q3432">
            <v>3542</v>
          </cell>
        </row>
        <row r="3433">
          <cell r="B3433" t="str">
            <v>VINEYARD 2108609690</v>
          </cell>
          <cell r="C3433">
            <v>14502108</v>
          </cell>
          <cell r="D3433" t="str">
            <v>VINEYARD 2108</v>
          </cell>
          <cell r="E3433">
            <v>609690</v>
          </cell>
          <cell r="F3433" t="b">
            <v>0</v>
          </cell>
          <cell r="G3433">
            <v>12043.450966549201</v>
          </cell>
          <cell r="H3433">
            <v>7774.3070942342301</v>
          </cell>
          <cell r="I3433">
            <v>72</v>
          </cell>
          <cell r="J3433">
            <v>7.5587135335142703E-5</v>
          </cell>
          <cell r="K3433">
            <v>2321</v>
          </cell>
          <cell r="L3433">
            <v>321.87909189734199</v>
          </cell>
          <cell r="M3433">
            <v>1411</v>
          </cell>
          <cell r="N3433">
            <v>2.1382682329042502E-2</v>
          </cell>
          <cell r="O3433">
            <v>1643</v>
          </cell>
          <cell r="Q3433">
            <v>2744</v>
          </cell>
        </row>
        <row r="3434">
          <cell r="B3434" t="str">
            <v>VINEYARD 2108MR172</v>
          </cell>
          <cell r="C3434">
            <v>14502108</v>
          </cell>
          <cell r="D3434" t="str">
            <v>VINEYARD 2108</v>
          </cell>
          <cell r="E3434" t="str">
            <v>MR172</v>
          </cell>
          <cell r="F3434" t="b">
            <v>1</v>
          </cell>
          <cell r="G3434">
            <v>1779.12534395482</v>
          </cell>
          <cell r="H3434">
            <v>856.80018265735896</v>
          </cell>
          <cell r="I3434">
            <v>26</v>
          </cell>
          <cell r="J3434">
            <v>6.2737628613831404E-5</v>
          </cell>
          <cell r="K3434">
            <v>2692</v>
          </cell>
          <cell r="L3434">
            <v>64.629717377878805</v>
          </cell>
          <cell r="M3434">
            <v>2125</v>
          </cell>
          <cell r="N3434">
            <v>4.5678707531272497E-3</v>
          </cell>
          <cell r="O3434">
            <v>2228</v>
          </cell>
          <cell r="P3434">
            <v>27.77</v>
          </cell>
          <cell r="Q3434">
            <v>256</v>
          </cell>
        </row>
        <row r="3435">
          <cell r="B3435" t="str">
            <v>VINEYARD 2110391250</v>
          </cell>
          <cell r="C3435">
            <v>14502110</v>
          </cell>
          <cell r="D3435" t="str">
            <v>VINEYARD 2110</v>
          </cell>
          <cell r="E3435">
            <v>391250</v>
          </cell>
          <cell r="F3435" t="b">
            <v>0</v>
          </cell>
          <cell r="G3435">
            <v>1481.32264495763</v>
          </cell>
          <cell r="H3435">
            <v>1481.32264495763</v>
          </cell>
          <cell r="I3435">
            <v>3</v>
          </cell>
          <cell r="J3435">
            <v>1.01723482657689E-4</v>
          </cell>
          <cell r="K3435">
            <v>1612</v>
          </cell>
          <cell r="L3435">
            <v>1985.16119406486</v>
          </cell>
          <cell r="M3435">
            <v>457</v>
          </cell>
          <cell r="N3435">
            <v>0.198413716765624</v>
          </cell>
          <cell r="O3435">
            <v>333</v>
          </cell>
          <cell r="Q3435">
            <v>3356</v>
          </cell>
        </row>
        <row r="3436">
          <cell r="B3436" t="str">
            <v>VINEYARD 2110CB</v>
          </cell>
          <cell r="C3436">
            <v>14502110</v>
          </cell>
          <cell r="D3436" t="str">
            <v>VINEYARD 2110</v>
          </cell>
          <cell r="E3436" t="str">
            <v>CB</v>
          </cell>
          <cell r="F3436" t="b">
            <v>0</v>
          </cell>
          <cell r="G3436">
            <v>16260.0031729353</v>
          </cell>
          <cell r="H3436">
            <v>8994.5064152397208</v>
          </cell>
          <cell r="I3436">
            <v>86</v>
          </cell>
          <cell r="J3436">
            <v>9.3599457658804296E-5</v>
          </cell>
          <cell r="K3436">
            <v>1807</v>
          </cell>
          <cell r="L3436">
            <v>1513.15877671005</v>
          </cell>
          <cell r="M3436">
            <v>589</v>
          </cell>
          <cell r="N3436">
            <v>0.13080305529140401</v>
          </cell>
          <cell r="O3436">
            <v>600</v>
          </cell>
          <cell r="P3436">
            <v>0.04</v>
          </cell>
          <cell r="Q3436">
            <v>2129</v>
          </cell>
        </row>
        <row r="3437">
          <cell r="B3437" t="str">
            <v>VOLTA 11011516</v>
          </cell>
          <cell r="C3437">
            <v>102541101</v>
          </cell>
          <cell r="D3437" t="str">
            <v>VOLTA 1101</v>
          </cell>
          <cell r="E3437">
            <v>1516</v>
          </cell>
          <cell r="F3437" t="b">
            <v>0</v>
          </cell>
          <cell r="G3437">
            <v>41402.755784893103</v>
          </cell>
          <cell r="H3437">
            <v>40856.604486234603</v>
          </cell>
          <cell r="I3437">
            <v>123</v>
          </cell>
          <cell r="J3437">
            <v>9.2443699819947701E-5</v>
          </cell>
          <cell r="K3437">
            <v>1832</v>
          </cell>
          <cell r="L3437">
            <v>1638.3577015324499</v>
          </cell>
          <cell r="M3437">
            <v>549</v>
          </cell>
          <cell r="N3437">
            <v>0.136155178377976</v>
          </cell>
          <cell r="O3437">
            <v>580</v>
          </cell>
          <cell r="P3437">
            <v>0.06</v>
          </cell>
          <cell r="Q3437">
            <v>1821</v>
          </cell>
        </row>
        <row r="3438">
          <cell r="B3438" t="str">
            <v>VOLTA 11011568</v>
          </cell>
          <cell r="C3438">
            <v>102541101</v>
          </cell>
          <cell r="D3438" t="str">
            <v>VOLTA 1101</v>
          </cell>
          <cell r="E3438">
            <v>1568</v>
          </cell>
          <cell r="F3438" t="b">
            <v>0</v>
          </cell>
          <cell r="G3438">
            <v>37176.496760695401</v>
          </cell>
          <cell r="H3438">
            <v>37176.496760695401</v>
          </cell>
          <cell r="I3438">
            <v>136</v>
          </cell>
          <cell r="J3438">
            <v>9.0934882966933002E-5</v>
          </cell>
          <cell r="K3438">
            <v>1885</v>
          </cell>
          <cell r="L3438">
            <v>3456.98480918206</v>
          </cell>
          <cell r="M3438">
            <v>206</v>
          </cell>
          <cell r="N3438">
            <v>0.36191365968427203</v>
          </cell>
          <cell r="O3438">
            <v>85</v>
          </cell>
          <cell r="P3438">
            <v>0.1</v>
          </cell>
          <cell r="Q3438">
            <v>1479</v>
          </cell>
        </row>
        <row r="3439">
          <cell r="B3439" t="str">
            <v>VOLTA 11011596</v>
          </cell>
          <cell r="C3439">
            <v>102541101</v>
          </cell>
          <cell r="D3439" t="str">
            <v>VOLTA 1101</v>
          </cell>
          <cell r="E3439">
            <v>1596</v>
          </cell>
          <cell r="F3439" t="b">
            <v>0</v>
          </cell>
          <cell r="G3439">
            <v>35104.546457862401</v>
          </cell>
          <cell r="H3439">
            <v>35104.546457862401</v>
          </cell>
          <cell r="I3439">
            <v>132</v>
          </cell>
          <cell r="J3439">
            <v>6.0423698251099702E-5</v>
          </cell>
          <cell r="K3439">
            <v>2763</v>
          </cell>
          <cell r="L3439">
            <v>1180.32034024886</v>
          </cell>
          <cell r="M3439">
            <v>741</v>
          </cell>
          <cell r="N3439">
            <v>7.1922243751646894E-2</v>
          </cell>
          <cell r="O3439">
            <v>966</v>
          </cell>
          <cell r="P3439">
            <v>0.01</v>
          </cell>
          <cell r="Q3439">
            <v>2583</v>
          </cell>
        </row>
        <row r="3440">
          <cell r="B3440" t="str">
            <v>VOLTA 11011640</v>
          </cell>
          <cell r="C3440">
            <v>102541101</v>
          </cell>
          <cell r="D3440" t="str">
            <v>VOLTA 1101</v>
          </cell>
          <cell r="E3440">
            <v>1640</v>
          </cell>
          <cell r="F3440" t="b">
            <v>0</v>
          </cell>
          <cell r="G3440">
            <v>16804.165980010999</v>
          </cell>
          <cell r="H3440">
            <v>16804.165980010999</v>
          </cell>
          <cell r="I3440">
            <v>59</v>
          </cell>
          <cell r="J3440">
            <v>7.8828618655788204E-5</v>
          </cell>
          <cell r="K3440">
            <v>2241</v>
          </cell>
          <cell r="L3440">
            <v>5.7046991008550503</v>
          </cell>
          <cell r="M3440">
            <v>2720</v>
          </cell>
          <cell r="N3440">
            <v>2.82865730812599E-4</v>
          </cell>
          <cell r="O3440">
            <v>2803</v>
          </cell>
          <cell r="P3440">
            <v>0.01</v>
          </cell>
          <cell r="Q3440">
            <v>2569</v>
          </cell>
        </row>
        <row r="3441">
          <cell r="B3441" t="str">
            <v>VOLTA 110149742</v>
          </cell>
          <cell r="C3441">
            <v>102541101</v>
          </cell>
          <cell r="D3441" t="str">
            <v>VOLTA 1101</v>
          </cell>
          <cell r="E3441">
            <v>49742</v>
          </cell>
          <cell r="F3441" t="b">
            <v>0</v>
          </cell>
          <cell r="G3441">
            <v>5593.8567607372397</v>
          </cell>
          <cell r="H3441">
            <v>5593.8567607372397</v>
          </cell>
          <cell r="I3441">
            <v>28</v>
          </cell>
          <cell r="J3441">
            <v>5.8016034407566099E-5</v>
          </cell>
          <cell r="K3441">
            <v>2835</v>
          </cell>
          <cell r="L3441">
            <v>7932.3947899004397</v>
          </cell>
          <cell r="M3441">
            <v>6</v>
          </cell>
          <cell r="N3441">
            <v>0.464330779966248</v>
          </cell>
          <cell r="O3441">
            <v>39</v>
          </cell>
          <cell r="P3441">
            <v>0.05</v>
          </cell>
          <cell r="Q3441">
            <v>1993</v>
          </cell>
        </row>
        <row r="3442">
          <cell r="B3442" t="str">
            <v>VOLTA 110153118</v>
          </cell>
          <cell r="C3442">
            <v>102541101</v>
          </cell>
          <cell r="D3442" t="str">
            <v>VOLTA 1101</v>
          </cell>
          <cell r="E3442">
            <v>53118</v>
          </cell>
          <cell r="F3442" t="b">
            <v>0</v>
          </cell>
          <cell r="G3442">
            <v>15490.2628530606</v>
          </cell>
          <cell r="H3442">
            <v>15490.2628530606</v>
          </cell>
          <cell r="I3442">
            <v>47</v>
          </cell>
          <cell r="J3442">
            <v>5.9428477026004703E-5</v>
          </cell>
          <cell r="K3442">
            <v>2792</v>
          </cell>
          <cell r="L3442">
            <v>5134.3568397515701</v>
          </cell>
          <cell r="M3442">
            <v>65</v>
          </cell>
          <cell r="N3442">
            <v>0.27952160774370399</v>
          </cell>
          <cell r="O3442">
            <v>157</v>
          </cell>
          <cell r="P3442">
            <v>0.08</v>
          </cell>
          <cell r="Q3442">
            <v>1618</v>
          </cell>
        </row>
        <row r="3443">
          <cell r="B3443" t="str">
            <v>VOLTA 110165764</v>
          </cell>
          <cell r="C3443">
            <v>102541101</v>
          </cell>
          <cell r="D3443" t="str">
            <v>VOLTA 1101</v>
          </cell>
          <cell r="E3443">
            <v>65764</v>
          </cell>
          <cell r="F3443" t="b">
            <v>0</v>
          </cell>
          <cell r="G3443">
            <v>16669.4005004295</v>
          </cell>
          <cell r="H3443">
            <v>16669.4005004295</v>
          </cell>
          <cell r="I3443">
            <v>34</v>
          </cell>
          <cell r="J3443">
            <v>4.78112665672704E-5</v>
          </cell>
          <cell r="K3443">
            <v>3096</v>
          </cell>
          <cell r="L3443">
            <v>3350.06875578367</v>
          </cell>
          <cell r="M3443">
            <v>218</v>
          </cell>
          <cell r="N3443">
            <v>0.14229974099863199</v>
          </cell>
          <cell r="O3443">
            <v>560</v>
          </cell>
          <cell r="P3443">
            <v>0.03</v>
          </cell>
          <cell r="Q3443">
            <v>2268</v>
          </cell>
        </row>
        <row r="3444">
          <cell r="B3444" t="str">
            <v>VOLTA 110180454</v>
          </cell>
          <cell r="C3444">
            <v>102541101</v>
          </cell>
          <cell r="D3444" t="str">
            <v>VOLTA 1101</v>
          </cell>
          <cell r="E3444">
            <v>80454</v>
          </cell>
          <cell r="F3444" t="b">
            <v>0</v>
          </cell>
          <cell r="G3444">
            <v>51836.244994567598</v>
          </cell>
          <cell r="H3444">
            <v>51220.5160606309</v>
          </cell>
          <cell r="I3444">
            <v>254</v>
          </cell>
          <cell r="J3444">
            <v>8.7905684311760597E-5</v>
          </cell>
          <cell r="K3444">
            <v>1985</v>
          </cell>
          <cell r="L3444">
            <v>1652.30484234291</v>
          </cell>
          <cell r="M3444">
            <v>542</v>
          </cell>
          <cell r="N3444">
            <v>0.14786383799613301</v>
          </cell>
          <cell r="O3444">
            <v>532</v>
          </cell>
          <cell r="P3444">
            <v>0.09</v>
          </cell>
          <cell r="Q3444">
            <v>1550</v>
          </cell>
        </row>
        <row r="3445">
          <cell r="B3445" t="str">
            <v>VOLTA 110185234</v>
          </cell>
          <cell r="C3445">
            <v>102541101</v>
          </cell>
          <cell r="D3445" t="str">
            <v>VOLTA 1101</v>
          </cell>
          <cell r="E3445">
            <v>85234</v>
          </cell>
          <cell r="F3445" t="b">
            <v>0</v>
          </cell>
          <cell r="G3445">
            <v>12730.834699102699</v>
          </cell>
          <cell r="H3445">
            <v>12730.834699102699</v>
          </cell>
          <cell r="I3445">
            <v>92</v>
          </cell>
          <cell r="J3445">
            <v>7.7366935882942599E-5</v>
          </cell>
          <cell r="K3445">
            <v>2279</v>
          </cell>
          <cell r="L3445">
            <v>30.037628631759699</v>
          </cell>
          <cell r="M3445">
            <v>2343</v>
          </cell>
          <cell r="N3445">
            <v>1.6524063752327101E-3</v>
          </cell>
          <cell r="O3445">
            <v>2528</v>
          </cell>
          <cell r="P3445">
            <v>0.02</v>
          </cell>
          <cell r="Q3445">
            <v>2526</v>
          </cell>
        </row>
        <row r="3446">
          <cell r="B3446" t="str">
            <v>VOLTA 1101CB</v>
          </cell>
          <cell r="C3446">
            <v>102541101</v>
          </cell>
          <cell r="D3446" t="str">
            <v>VOLTA 1101</v>
          </cell>
          <cell r="E3446" t="str">
            <v>CB</v>
          </cell>
          <cell r="F3446" t="b">
            <v>0</v>
          </cell>
          <cell r="G3446">
            <v>14817.1822928907</v>
          </cell>
          <cell r="H3446">
            <v>14817.1822928907</v>
          </cell>
          <cell r="I3446">
            <v>80</v>
          </cell>
          <cell r="J3446">
            <v>1.1232754157022E-4</v>
          </cell>
          <cell r="K3446">
            <v>1359</v>
          </cell>
          <cell r="L3446">
            <v>3549.00804788194</v>
          </cell>
          <cell r="M3446">
            <v>194</v>
          </cell>
          <cell r="N3446">
            <v>0.37544964120690899</v>
          </cell>
          <cell r="O3446">
            <v>76</v>
          </cell>
          <cell r="P3446">
            <v>7.0000000000000007E-2</v>
          </cell>
          <cell r="Q3446">
            <v>1694</v>
          </cell>
        </row>
        <row r="3447">
          <cell r="B3447" t="str">
            <v>VOLTA 11021502</v>
          </cell>
          <cell r="C3447">
            <v>102541102</v>
          </cell>
          <cell r="D3447" t="str">
            <v>VOLTA 1102</v>
          </cell>
          <cell r="E3447">
            <v>1502</v>
          </cell>
          <cell r="F3447" t="b">
            <v>0</v>
          </cell>
          <cell r="G3447">
            <v>11680.2523363533</v>
          </cell>
          <cell r="H3447">
            <v>11680.2523363533</v>
          </cell>
          <cell r="I3447">
            <v>80</v>
          </cell>
          <cell r="J3447">
            <v>8.0914668534562593E-5</v>
          </cell>
          <cell r="K3447">
            <v>2184</v>
          </cell>
          <cell r="L3447">
            <v>65.409922481632805</v>
          </cell>
          <cell r="M3447">
            <v>2121</v>
          </cell>
          <cell r="N3447">
            <v>6.1143911156397298E-3</v>
          </cell>
          <cell r="O3447">
            <v>2149</v>
          </cell>
          <cell r="P3447">
            <v>27.78</v>
          </cell>
          <cell r="Q3447">
            <v>255</v>
          </cell>
        </row>
        <row r="3448">
          <cell r="B3448" t="str">
            <v>VOLTA 11021504</v>
          </cell>
          <cell r="C3448">
            <v>102541102</v>
          </cell>
          <cell r="D3448" t="str">
            <v>VOLTA 1102</v>
          </cell>
          <cell r="E3448">
            <v>1504</v>
          </cell>
          <cell r="F3448" t="b">
            <v>0</v>
          </cell>
          <cell r="G3448">
            <v>13347.4852897609</v>
          </cell>
          <cell r="H3448">
            <v>13347.4852897609</v>
          </cell>
          <cell r="I3448">
            <v>95</v>
          </cell>
          <cell r="J3448">
            <v>5.8287771519238198E-5</v>
          </cell>
          <cell r="K3448">
            <v>2825</v>
          </cell>
          <cell r="L3448">
            <v>84.861051965412599</v>
          </cell>
          <cell r="M3448">
            <v>2031</v>
          </cell>
          <cell r="N3448">
            <v>6.5125358184360896E-3</v>
          </cell>
          <cell r="O3448">
            <v>2125</v>
          </cell>
          <cell r="P3448">
            <v>45.39</v>
          </cell>
          <cell r="Q3448">
            <v>148</v>
          </cell>
        </row>
        <row r="3449">
          <cell r="B3449" t="str">
            <v>VOLTA 11021646</v>
          </cell>
          <cell r="C3449">
            <v>102541102</v>
          </cell>
          <cell r="D3449" t="str">
            <v>VOLTA 1102</v>
          </cell>
          <cell r="E3449">
            <v>1646</v>
          </cell>
          <cell r="F3449" t="b">
            <v>0</v>
          </cell>
          <cell r="G3449">
            <v>38843.319144330497</v>
          </cell>
          <cell r="H3449">
            <v>38535.026511176598</v>
          </cell>
          <cell r="I3449">
            <v>215</v>
          </cell>
          <cell r="J3449">
            <v>6.2042802786993104E-5</v>
          </cell>
          <cell r="K3449">
            <v>2718</v>
          </cell>
          <cell r="L3449">
            <v>560.45414680967701</v>
          </cell>
          <cell r="M3449">
            <v>1133</v>
          </cell>
          <cell r="N3449">
            <v>3.04169531754187E-2</v>
          </cell>
          <cell r="O3449">
            <v>1455</v>
          </cell>
          <cell r="P3449">
            <v>13.62</v>
          </cell>
          <cell r="Q3449">
            <v>364</v>
          </cell>
        </row>
        <row r="3450">
          <cell r="B3450" t="str">
            <v>VOLTA 11021650</v>
          </cell>
          <cell r="C3450">
            <v>102541102</v>
          </cell>
          <cell r="D3450" t="str">
            <v>VOLTA 1102</v>
          </cell>
          <cell r="E3450">
            <v>1650</v>
          </cell>
          <cell r="F3450" t="b">
            <v>0</v>
          </cell>
          <cell r="G3450">
            <v>34931.974318947097</v>
          </cell>
          <cell r="H3450">
            <v>34931.974318947097</v>
          </cell>
          <cell r="I3450">
            <v>154</v>
          </cell>
          <cell r="J3450">
            <v>4.7418568550104497E-5</v>
          </cell>
          <cell r="K3450">
            <v>3105</v>
          </cell>
          <cell r="L3450">
            <v>252.230161990753</v>
          </cell>
          <cell r="M3450">
            <v>1537</v>
          </cell>
          <cell r="N3450">
            <v>1.07005689226206E-2</v>
          </cell>
          <cell r="O3450">
            <v>1933</v>
          </cell>
          <cell r="P3450">
            <v>0.12</v>
          </cell>
          <cell r="Q3450">
            <v>1379</v>
          </cell>
        </row>
        <row r="3451">
          <cell r="B3451" t="str">
            <v>VOLTA 110237350</v>
          </cell>
          <cell r="C3451">
            <v>102541102</v>
          </cell>
          <cell r="D3451" t="str">
            <v>VOLTA 1102</v>
          </cell>
          <cell r="E3451">
            <v>37350</v>
          </cell>
          <cell r="F3451" t="b">
            <v>0</v>
          </cell>
          <cell r="G3451">
            <v>39069.900620662302</v>
          </cell>
          <cell r="H3451">
            <v>39069.900620662302</v>
          </cell>
          <cell r="I3451">
            <v>255</v>
          </cell>
          <cell r="J3451">
            <v>7.6955674907652495E-5</v>
          </cell>
          <cell r="K3451">
            <v>2287</v>
          </cell>
          <cell r="L3451">
            <v>360.20309757896598</v>
          </cell>
          <cell r="M3451">
            <v>1353</v>
          </cell>
          <cell r="N3451">
            <v>2.2269823323215199E-2</v>
          </cell>
          <cell r="O3451">
            <v>1625</v>
          </cell>
          <cell r="P3451">
            <v>13.94</v>
          </cell>
          <cell r="Q3451">
            <v>359</v>
          </cell>
        </row>
        <row r="3452">
          <cell r="B3452" t="str">
            <v>VOLTA 1102453266</v>
          </cell>
          <cell r="C3452">
            <v>102541102</v>
          </cell>
          <cell r="D3452" t="str">
            <v>VOLTA 1102</v>
          </cell>
          <cell r="E3452">
            <v>453266</v>
          </cell>
          <cell r="F3452" t="b">
            <v>1</v>
          </cell>
          <cell r="G3452">
            <v>510.150868777825</v>
          </cell>
          <cell r="H3452">
            <v>510.150868777825</v>
          </cell>
          <cell r="I3452">
            <v>5</v>
          </cell>
          <cell r="J3452">
            <v>4.8630291712470301E-5</v>
          </cell>
          <cell r="K3452">
            <v>3071</v>
          </cell>
          <cell r="L3452">
            <v>42.836714840169101</v>
          </cell>
          <cell r="M3452">
            <v>2263</v>
          </cell>
          <cell r="N3452">
            <v>1.9312443885115701E-3</v>
          </cell>
          <cell r="O3452">
            <v>2486</v>
          </cell>
          <cell r="Q3452">
            <v>3444</v>
          </cell>
        </row>
        <row r="3453">
          <cell r="B3453" t="str">
            <v>VOLTA 110253130</v>
          </cell>
          <cell r="C3453">
            <v>102541102</v>
          </cell>
          <cell r="D3453" t="str">
            <v>VOLTA 1102</v>
          </cell>
          <cell r="E3453">
            <v>53130</v>
          </cell>
          <cell r="F3453" t="b">
            <v>0</v>
          </cell>
          <cell r="G3453">
            <v>22213.296130283699</v>
          </cell>
          <cell r="H3453">
            <v>22213.296130283699</v>
          </cell>
          <cell r="I3453">
            <v>168</v>
          </cell>
          <cell r="J3453">
            <v>4.8270571099776801E-5</v>
          </cell>
          <cell r="K3453">
            <v>3088</v>
          </cell>
          <cell r="L3453">
            <v>94.829698384035893</v>
          </cell>
          <cell r="M3453">
            <v>1982</v>
          </cell>
          <cell r="N3453">
            <v>3.3206961307971198E-3</v>
          </cell>
          <cell r="O3453">
            <v>2314</v>
          </cell>
          <cell r="P3453">
            <v>57.28</v>
          </cell>
          <cell r="Q3453">
            <v>97</v>
          </cell>
        </row>
        <row r="3454">
          <cell r="B3454" t="str">
            <v>VOLTA 110254932</v>
          </cell>
          <cell r="C3454">
            <v>102541102</v>
          </cell>
          <cell r="D3454" t="str">
            <v>VOLTA 1102</v>
          </cell>
          <cell r="E3454">
            <v>54932</v>
          </cell>
          <cell r="F3454" t="b">
            <v>0</v>
          </cell>
          <cell r="G3454">
            <v>7042.6654201302799</v>
          </cell>
          <cell r="H3454">
            <v>7042.6654201302799</v>
          </cell>
          <cell r="I3454">
            <v>46</v>
          </cell>
          <cell r="J3454">
            <v>5.46072871617545E-5</v>
          </cell>
          <cell r="K3454">
            <v>2930</v>
          </cell>
          <cell r="L3454">
            <v>80.648123181283594</v>
          </cell>
          <cell r="M3454">
            <v>2045</v>
          </cell>
          <cell r="N3454">
            <v>3.4143564893966199E-3</v>
          </cell>
          <cell r="O3454">
            <v>2302</v>
          </cell>
          <cell r="P3454">
            <v>25.23</v>
          </cell>
          <cell r="Q3454">
            <v>272</v>
          </cell>
        </row>
        <row r="3455">
          <cell r="B3455" t="str">
            <v>VOLTA 1102641544</v>
          </cell>
          <cell r="C3455">
            <v>102541102</v>
          </cell>
          <cell r="D3455" t="str">
            <v>VOLTA 1102</v>
          </cell>
          <cell r="E3455">
            <v>641544</v>
          </cell>
          <cell r="F3455" t="b">
            <v>0</v>
          </cell>
          <cell r="G3455">
            <v>7956.2573108228398</v>
          </cell>
          <cell r="H3455">
            <v>7956.2573108228398</v>
          </cell>
          <cell r="I3455">
            <v>58</v>
          </cell>
          <cell r="J3455">
            <v>1.08683305840933E-4</v>
          </cell>
          <cell r="K3455">
            <v>1431</v>
          </cell>
          <cell r="L3455">
            <v>9.0793273486833002</v>
          </cell>
          <cell r="M3455">
            <v>2642</v>
          </cell>
          <cell r="N3455">
            <v>1.18156666078076E-3</v>
          </cell>
          <cell r="O3455">
            <v>2601</v>
          </cell>
          <cell r="Q3455">
            <v>2763</v>
          </cell>
        </row>
        <row r="3456">
          <cell r="B3456" t="str">
            <v>VOLTA 110280982</v>
          </cell>
          <cell r="C3456">
            <v>102541102</v>
          </cell>
          <cell r="D3456" t="str">
            <v>VOLTA 1102</v>
          </cell>
          <cell r="E3456">
            <v>80982</v>
          </cell>
          <cell r="F3456" t="b">
            <v>1</v>
          </cell>
          <cell r="G3456">
            <v>836.52313223680801</v>
          </cell>
          <cell r="H3456">
            <v>836.52313223680801</v>
          </cell>
          <cell r="I3456">
            <v>8</v>
          </cell>
          <cell r="J3456">
            <v>7.4451432737987394E-5</v>
          </cell>
          <cell r="K3456">
            <v>2347</v>
          </cell>
          <cell r="L3456">
            <v>11.950948060166899</v>
          </cell>
          <cell r="M3456">
            <v>2588</v>
          </cell>
          <cell r="N3456">
            <v>1.53815145550911E-3</v>
          </cell>
          <cell r="O3456">
            <v>2551</v>
          </cell>
          <cell r="P3456">
            <v>41.95</v>
          </cell>
          <cell r="Q3456">
            <v>172</v>
          </cell>
        </row>
        <row r="3457">
          <cell r="B3457" t="str">
            <v>VOLTA 110293418</v>
          </cell>
          <cell r="C3457">
            <v>102541102</v>
          </cell>
          <cell r="D3457" t="str">
            <v>VOLTA 1102</v>
          </cell>
          <cell r="E3457">
            <v>93418</v>
          </cell>
          <cell r="F3457" t="b">
            <v>0</v>
          </cell>
          <cell r="G3457">
            <v>4145.9231739104998</v>
          </cell>
          <cell r="H3457">
            <v>4145.9231739104998</v>
          </cell>
          <cell r="I3457">
            <v>23</v>
          </cell>
          <cell r="J3457">
            <v>6.4515004851273193E-5</v>
          </cell>
          <cell r="K3457">
            <v>2627</v>
          </cell>
          <cell r="L3457">
            <v>45.523327610678002</v>
          </cell>
          <cell r="M3457">
            <v>2243</v>
          </cell>
          <cell r="N3457">
            <v>1.90379961627701E-3</v>
          </cell>
          <cell r="O3457">
            <v>2488</v>
          </cell>
          <cell r="P3457">
            <v>0.16</v>
          </cell>
          <cell r="Q3457">
            <v>1254</v>
          </cell>
        </row>
        <row r="3458">
          <cell r="B3458" t="str">
            <v>VOLTA 11029742</v>
          </cell>
          <cell r="C3458">
            <v>102541102</v>
          </cell>
          <cell r="D3458" t="str">
            <v>VOLTA 1102</v>
          </cell>
          <cell r="E3458">
            <v>9742</v>
          </cell>
          <cell r="F3458" t="b">
            <v>0</v>
          </cell>
          <cell r="G3458">
            <v>14685.6636215852</v>
          </cell>
          <cell r="H3458">
            <v>14685.6636215852</v>
          </cell>
          <cell r="I3458">
            <v>120</v>
          </cell>
          <cell r="J3458">
            <v>4.1560843139147098E-5</v>
          </cell>
          <cell r="K3458">
            <v>3232</v>
          </cell>
          <cell r="L3458">
            <v>86.004084249865002</v>
          </cell>
          <cell r="M3458">
            <v>2023</v>
          </cell>
          <cell r="N3458">
            <v>3.67175279236105E-3</v>
          </cell>
          <cell r="O3458">
            <v>2280</v>
          </cell>
          <cell r="P3458">
            <v>37.700000000000003</v>
          </cell>
          <cell r="Q3458">
            <v>200</v>
          </cell>
        </row>
        <row r="3459">
          <cell r="B3459" t="str">
            <v>VOLTA 110297816</v>
          </cell>
          <cell r="C3459">
            <v>102541102</v>
          </cell>
          <cell r="D3459" t="str">
            <v>VOLTA 1102</v>
          </cell>
          <cell r="E3459">
            <v>97816</v>
          </cell>
          <cell r="F3459" t="b">
            <v>0</v>
          </cell>
          <cell r="G3459">
            <v>8457.2763432713</v>
          </cell>
          <cell r="H3459">
            <v>8457.2763432713</v>
          </cell>
          <cell r="I3459">
            <v>50</v>
          </cell>
          <cell r="J3459">
            <v>4.6969967746806597E-5</v>
          </cell>
          <cell r="K3459">
            <v>3114</v>
          </cell>
          <cell r="L3459">
            <v>169.42393895940401</v>
          </cell>
          <cell r="M3459">
            <v>1719</v>
          </cell>
          <cell r="N3459">
            <v>1.04017893782572E-2</v>
          </cell>
          <cell r="O3459">
            <v>1940</v>
          </cell>
          <cell r="P3459">
            <v>0.19</v>
          </cell>
          <cell r="Q3459">
            <v>1193</v>
          </cell>
        </row>
        <row r="3460">
          <cell r="B3460" t="str">
            <v>VOLTA 1102CB</v>
          </cell>
          <cell r="C3460">
            <v>102541102</v>
          </cell>
          <cell r="D3460" t="str">
            <v>VOLTA 1102</v>
          </cell>
          <cell r="E3460" t="str">
            <v>CB</v>
          </cell>
          <cell r="F3460" t="b">
            <v>0</v>
          </cell>
          <cell r="G3460">
            <v>5307.8326952088401</v>
          </cell>
          <cell r="H3460">
            <v>5307.8326952088401</v>
          </cell>
          <cell r="I3460">
            <v>25</v>
          </cell>
          <cell r="J3460">
            <v>1.2650228882193901E-4</v>
          </cell>
          <cell r="K3460">
            <v>1072</v>
          </cell>
          <cell r="L3460">
            <v>430.02864862699101</v>
          </cell>
          <cell r="M3460">
            <v>1260</v>
          </cell>
          <cell r="N3460">
            <v>7.6252748757636699E-2</v>
          </cell>
          <cell r="O3460">
            <v>932</v>
          </cell>
          <cell r="P3460">
            <v>12.67</v>
          </cell>
          <cell r="Q3460">
            <v>370</v>
          </cell>
        </row>
        <row r="3461">
          <cell r="B3461" t="str">
            <v>WALDO 0401965216</v>
          </cell>
          <cell r="C3461">
            <v>13350401</v>
          </cell>
          <cell r="D3461" t="str">
            <v>WALDO 0401</v>
          </cell>
          <cell r="E3461">
            <v>965216</v>
          </cell>
          <cell r="F3461" t="b">
            <v>0</v>
          </cell>
          <cell r="G3461">
            <v>2651.88591643975</v>
          </cell>
          <cell r="H3461">
            <v>2642.7418685724201</v>
          </cell>
          <cell r="I3461">
            <v>21</v>
          </cell>
          <cell r="J3461">
            <v>2.81362604688356E-5</v>
          </cell>
          <cell r="K3461">
            <v>3457</v>
          </cell>
          <cell r="L3461">
            <v>6.6370723148186997E-2</v>
          </cell>
          <cell r="M3461">
            <v>3131</v>
          </cell>
          <cell r="N3461">
            <v>1.86796691095558E-6</v>
          </cell>
          <cell r="O3461">
            <v>3519</v>
          </cell>
          <cell r="Q3461">
            <v>3185</v>
          </cell>
        </row>
        <row r="3462">
          <cell r="B3462" t="str">
            <v>WALDO 0401CB</v>
          </cell>
          <cell r="C3462">
            <v>13350401</v>
          </cell>
          <cell r="D3462" t="str">
            <v>WALDO 0401</v>
          </cell>
          <cell r="E3462" t="str">
            <v>CB</v>
          </cell>
          <cell r="F3462" t="b">
            <v>1</v>
          </cell>
          <cell r="G3462">
            <v>6516.7766948062599</v>
          </cell>
          <cell r="H3462">
            <v>0</v>
          </cell>
          <cell r="I3462">
            <v>56</v>
          </cell>
          <cell r="J3462">
            <v>1.0513173699965701E-5</v>
          </cell>
          <cell r="K3462">
            <v>3612</v>
          </cell>
          <cell r="L3462">
            <v>6.5169935114681707E-2</v>
          </cell>
          <cell r="M3462">
            <v>3543</v>
          </cell>
          <cell r="N3462">
            <v>6.8547102196331697E-7</v>
          </cell>
          <cell r="O3462">
            <v>3615</v>
          </cell>
          <cell r="P3462">
            <v>0.03</v>
          </cell>
          <cell r="Q3462">
            <v>2378</v>
          </cell>
        </row>
        <row r="3463">
          <cell r="B3463" t="str">
            <v>WALDO 0402258792</v>
          </cell>
          <cell r="C3463">
            <v>13350402</v>
          </cell>
          <cell r="D3463" t="str">
            <v>WALDO 0402</v>
          </cell>
          <cell r="E3463">
            <v>258792</v>
          </cell>
          <cell r="F3463" t="b">
            <v>0</v>
          </cell>
          <cell r="G3463">
            <v>4808.6866786471101</v>
          </cell>
          <cell r="H3463">
            <v>4793.9751325294701</v>
          </cell>
          <cell r="I3463">
            <v>36</v>
          </cell>
          <cell r="J3463">
            <v>3.4657074416423297E-5</v>
          </cell>
          <cell r="K3463">
            <v>3358</v>
          </cell>
          <cell r="L3463">
            <v>6.6396217586265599E-2</v>
          </cell>
          <cell r="M3463">
            <v>3121</v>
          </cell>
          <cell r="N3463">
            <v>2.3019461375669301E-6</v>
          </cell>
          <cell r="O3463">
            <v>3482</v>
          </cell>
          <cell r="Q3463">
            <v>2788</v>
          </cell>
        </row>
        <row r="3464">
          <cell r="B3464" t="str">
            <v>WALDO 0402CB</v>
          </cell>
          <cell r="C3464">
            <v>13350402</v>
          </cell>
          <cell r="D3464" t="str">
            <v>WALDO 0402</v>
          </cell>
          <cell r="E3464" t="str">
            <v>CB</v>
          </cell>
          <cell r="F3464" t="b">
            <v>1</v>
          </cell>
          <cell r="G3464">
            <v>3475.5479951369698</v>
          </cell>
          <cell r="H3464">
            <v>0</v>
          </cell>
          <cell r="I3464">
            <v>27</v>
          </cell>
          <cell r="J3464">
            <v>7.7732003505430305E-6</v>
          </cell>
          <cell r="K3464">
            <v>3622</v>
          </cell>
          <cell r="L3464">
            <v>6.5146990120410905E-2</v>
          </cell>
          <cell r="M3464">
            <v>3610</v>
          </cell>
          <cell r="N3464">
            <v>5.0640060644080104E-7</v>
          </cell>
          <cell r="O3464">
            <v>3624</v>
          </cell>
          <cell r="P3464">
            <v>0.05</v>
          </cell>
          <cell r="Q3464">
            <v>1955</v>
          </cell>
        </row>
        <row r="3465">
          <cell r="B3465" t="str">
            <v>WATERSHED 0402CB</v>
          </cell>
          <cell r="C3465">
            <v>24240402</v>
          </cell>
          <cell r="D3465" t="str">
            <v>WATERSHED 0402</v>
          </cell>
          <cell r="E3465" t="str">
            <v>CB</v>
          </cell>
          <cell r="F3465" t="b">
            <v>1</v>
          </cell>
          <cell r="G3465">
            <v>1752.4586954285201</v>
          </cell>
          <cell r="H3465">
            <v>342.980040238794</v>
          </cell>
          <cell r="I3465">
            <v>11</v>
          </cell>
          <cell r="J3465">
            <v>1.32643917326773E-4</v>
          </cell>
          <cell r="K3465">
            <v>969</v>
          </cell>
          <cell r="L3465">
            <v>6.5146990120410905E-2</v>
          </cell>
          <cell r="M3465">
            <v>3621</v>
          </cell>
          <cell r="N3465">
            <v>8.6413519716198802E-6</v>
          </cell>
          <cell r="O3465">
            <v>3103</v>
          </cell>
          <cell r="Q3465">
            <v>3350</v>
          </cell>
        </row>
        <row r="3466">
          <cell r="B3466" t="str">
            <v>WAYNE 0401954811</v>
          </cell>
          <cell r="C3466">
            <v>13810401</v>
          </cell>
          <cell r="D3466" t="str">
            <v>WAYNE 0401</v>
          </cell>
          <cell r="E3466">
            <v>954811</v>
          </cell>
          <cell r="F3466" t="b">
            <v>1</v>
          </cell>
          <cell r="G3466">
            <v>903.93470802182901</v>
          </cell>
          <cell r="H3466">
            <v>282.89346546407199</v>
          </cell>
          <cell r="I3466">
            <v>9</v>
          </cell>
          <cell r="J3466">
            <v>1.0243710812574099E-4</v>
          </cell>
          <cell r="K3466">
            <v>1591</v>
          </cell>
          <cell r="L3466">
            <v>6.5576046054703602E-2</v>
          </cell>
          <cell r="M3466">
            <v>3345</v>
          </cell>
          <cell r="N3466">
            <v>6.7054944934944299E-6</v>
          </cell>
          <cell r="O3466">
            <v>3180</v>
          </cell>
          <cell r="Q3466">
            <v>2805</v>
          </cell>
        </row>
        <row r="3467">
          <cell r="B3467" t="str">
            <v>WEIMAR 11012058</v>
          </cell>
          <cell r="C3467">
            <v>152491101</v>
          </cell>
          <cell r="D3467" t="str">
            <v>WEIMAR 1101</v>
          </cell>
          <cell r="E3467">
            <v>2058</v>
          </cell>
          <cell r="F3467" t="b">
            <v>0</v>
          </cell>
          <cell r="G3467">
            <v>34315.206505780698</v>
          </cell>
          <cell r="H3467">
            <v>34315.206505780698</v>
          </cell>
          <cell r="I3467">
            <v>256</v>
          </cell>
          <cell r="J3467">
            <v>1.65883816996082E-4</v>
          </cell>
          <cell r="K3467">
            <v>583</v>
          </cell>
          <cell r="L3467">
            <v>212.305430050632</v>
          </cell>
          <cell r="M3467">
            <v>1613</v>
          </cell>
          <cell r="N3467">
            <v>3.45819263148332E-2</v>
          </cell>
          <cell r="O3467">
            <v>1379</v>
          </cell>
          <cell r="P3467">
            <v>0.1</v>
          </cell>
          <cell r="Q3467">
            <v>1472</v>
          </cell>
        </row>
        <row r="3468">
          <cell r="B3468" t="str">
            <v>WEIMAR 11012084</v>
          </cell>
          <cell r="C3468">
            <v>152491101</v>
          </cell>
          <cell r="D3468" t="str">
            <v>WEIMAR 1101</v>
          </cell>
          <cell r="E3468">
            <v>2084</v>
          </cell>
          <cell r="F3468" t="b">
            <v>0</v>
          </cell>
          <cell r="G3468">
            <v>29723.3402621471</v>
          </cell>
          <cell r="H3468">
            <v>29723.3402621471</v>
          </cell>
          <cell r="I3468">
            <v>219</v>
          </cell>
          <cell r="J3468">
            <v>1.2877465605674599E-4</v>
          </cell>
          <cell r="K3468">
            <v>1034</v>
          </cell>
          <cell r="L3468">
            <v>131.39825629733701</v>
          </cell>
          <cell r="M3468">
            <v>1843</v>
          </cell>
          <cell r="N3468">
            <v>1.4579053496793001E-2</v>
          </cell>
          <cell r="O3468">
            <v>1801</v>
          </cell>
          <cell r="P3468">
            <v>0.11</v>
          </cell>
          <cell r="Q3468">
            <v>1414</v>
          </cell>
        </row>
        <row r="3469">
          <cell r="B3469" t="str">
            <v>WEIMAR 11012740</v>
          </cell>
          <cell r="C3469">
            <v>152491101</v>
          </cell>
          <cell r="D3469" t="str">
            <v>WEIMAR 1101</v>
          </cell>
          <cell r="E3469">
            <v>2740</v>
          </cell>
          <cell r="F3469" t="b">
            <v>0</v>
          </cell>
          <cell r="G3469">
            <v>30939.0056238137</v>
          </cell>
          <cell r="H3469">
            <v>30939.0056238137</v>
          </cell>
          <cell r="I3469">
            <v>235</v>
          </cell>
          <cell r="J3469">
            <v>1.8236333003671299E-4</v>
          </cell>
          <cell r="K3469">
            <v>494</v>
          </cell>
          <cell r="L3469">
            <v>38.193048109054601</v>
          </cell>
          <cell r="M3469">
            <v>2288</v>
          </cell>
          <cell r="N3469">
            <v>3.9689984394871399E-3</v>
          </cell>
          <cell r="O3469">
            <v>2258</v>
          </cell>
          <cell r="P3469">
            <v>0.14000000000000001</v>
          </cell>
          <cell r="Q3469">
            <v>1313</v>
          </cell>
        </row>
        <row r="3470">
          <cell r="B3470" t="str">
            <v>WEIMAR 11012764</v>
          </cell>
          <cell r="C3470">
            <v>152491101</v>
          </cell>
          <cell r="D3470" t="str">
            <v>WEIMAR 1101</v>
          </cell>
          <cell r="E3470">
            <v>2764</v>
          </cell>
          <cell r="F3470" t="b">
            <v>0</v>
          </cell>
          <cell r="G3470">
            <v>9871.3778296199907</v>
          </cell>
          <cell r="H3470">
            <v>9871.3778296199907</v>
          </cell>
          <cell r="I3470">
            <v>68</v>
          </cell>
          <cell r="J3470">
            <v>2.6710264035714499E-4</v>
          </cell>
          <cell r="K3470">
            <v>178</v>
          </cell>
          <cell r="L3470">
            <v>5.6584150831275997</v>
          </cell>
          <cell r="M3470">
            <v>2724</v>
          </cell>
          <cell r="N3470">
            <v>1.1905630858764301E-3</v>
          </cell>
          <cell r="O3470">
            <v>2599</v>
          </cell>
          <cell r="P3470">
            <v>0.05</v>
          </cell>
          <cell r="Q3470">
            <v>2046</v>
          </cell>
        </row>
        <row r="3471">
          <cell r="B3471" t="str">
            <v>WEIMAR 1101CB</v>
          </cell>
          <cell r="C3471">
            <v>152491101</v>
          </cell>
          <cell r="D3471" t="str">
            <v>WEIMAR 1101</v>
          </cell>
          <cell r="E3471" t="str">
            <v>CB</v>
          </cell>
          <cell r="F3471" t="b">
            <v>0</v>
          </cell>
          <cell r="G3471">
            <v>14897.593924065201</v>
          </cell>
          <cell r="H3471">
            <v>14897.593924065201</v>
          </cell>
          <cell r="I3471">
            <v>116</v>
          </cell>
          <cell r="J3471">
            <v>2.6838270762176501E-4</v>
          </cell>
          <cell r="K3471">
            <v>176</v>
          </cell>
          <cell r="L3471">
            <v>10.721439176570801</v>
          </cell>
          <cell r="M3471">
            <v>2615</v>
          </cell>
          <cell r="N3471">
            <v>2.38928537541311E-3</v>
          </cell>
          <cell r="O3471">
            <v>2422</v>
          </cell>
          <cell r="P3471">
            <v>0.08</v>
          </cell>
          <cell r="Q3471">
            <v>1670</v>
          </cell>
        </row>
        <row r="3472">
          <cell r="B3472" t="str">
            <v>WEIMAR 11022038</v>
          </cell>
          <cell r="C3472">
            <v>152491102</v>
          </cell>
          <cell r="D3472" t="str">
            <v>WEIMAR 1102</v>
          </cell>
          <cell r="E3472">
            <v>2038</v>
          </cell>
          <cell r="F3472" t="b">
            <v>0</v>
          </cell>
          <cell r="G3472">
            <v>21510.923287970301</v>
          </cell>
          <cell r="H3472">
            <v>21510.923287970301</v>
          </cell>
          <cell r="I3472">
            <v>155</v>
          </cell>
          <cell r="J3472">
            <v>1.8693509811152701E-4</v>
          </cell>
          <cell r="K3472">
            <v>462</v>
          </cell>
          <cell r="L3472">
            <v>18.465859555192502</v>
          </cell>
          <cell r="M3472">
            <v>2468</v>
          </cell>
          <cell r="N3472">
            <v>1.6154851350821901E-3</v>
          </cell>
          <cell r="O3472">
            <v>2536</v>
          </cell>
          <cell r="P3472">
            <v>0.06</v>
          </cell>
          <cell r="Q3472">
            <v>1908</v>
          </cell>
        </row>
        <row r="3473">
          <cell r="B3473" t="str">
            <v>WEIMAR 11026175</v>
          </cell>
          <cell r="C3473">
            <v>152491102</v>
          </cell>
          <cell r="D3473" t="str">
            <v>WEIMAR 1102</v>
          </cell>
          <cell r="E3473">
            <v>6175</v>
          </cell>
          <cell r="F3473" t="b">
            <v>0</v>
          </cell>
          <cell r="G3473">
            <v>4418.4641882660799</v>
          </cell>
          <cell r="H3473">
            <v>4418.4641882660799</v>
          </cell>
          <cell r="I3473">
            <v>30</v>
          </cell>
          <cell r="J3473">
            <v>7.0467174373334201E-5</v>
          </cell>
          <cell r="K3473">
            <v>2457</v>
          </cell>
          <cell r="L3473">
            <v>113.350694057971</v>
          </cell>
          <cell r="M3473">
            <v>1901</v>
          </cell>
          <cell r="N3473">
            <v>6.9044934332570303E-3</v>
          </cell>
          <cell r="O3473">
            <v>2098</v>
          </cell>
          <cell r="P3473">
            <v>0.08</v>
          </cell>
          <cell r="Q3473">
            <v>1596</v>
          </cell>
        </row>
        <row r="3474">
          <cell r="B3474" t="str">
            <v>WEIMAR 1102CB</v>
          </cell>
          <cell r="C3474">
            <v>152491102</v>
          </cell>
          <cell r="D3474" t="str">
            <v>WEIMAR 1102</v>
          </cell>
          <cell r="E3474" t="str">
            <v>CB</v>
          </cell>
          <cell r="F3474" t="b">
            <v>0</v>
          </cell>
          <cell r="G3474">
            <v>19605.556297796302</v>
          </cell>
          <cell r="H3474">
            <v>19605.556297796302</v>
          </cell>
          <cell r="I3474">
            <v>151</v>
          </cell>
          <cell r="J3474">
            <v>1.3906865706002301E-4</v>
          </cell>
          <cell r="K3474">
            <v>885</v>
          </cell>
          <cell r="L3474">
            <v>11.5583620310098</v>
          </cell>
          <cell r="M3474">
            <v>2596</v>
          </cell>
          <cell r="N3474">
            <v>7.51890295195153E-4</v>
          </cell>
          <cell r="O3474">
            <v>2677</v>
          </cell>
          <cell r="P3474">
            <v>7.0000000000000007E-2</v>
          </cell>
          <cell r="Q3474">
            <v>1772</v>
          </cell>
        </row>
        <row r="3475">
          <cell r="B3475" t="str">
            <v>WEST POINT 110112256</v>
          </cell>
          <cell r="C3475">
            <v>163201101</v>
          </cell>
          <cell r="D3475" t="str">
            <v>WEST POINT 1101</v>
          </cell>
          <cell r="E3475">
            <v>12256</v>
          </cell>
          <cell r="F3475" t="b">
            <v>0</v>
          </cell>
          <cell r="G3475">
            <v>10425.115914054801</v>
          </cell>
          <cell r="H3475">
            <v>10425.115914054801</v>
          </cell>
          <cell r="I3475">
            <v>86</v>
          </cell>
          <cell r="J3475">
            <v>9.8504225143399303E-5</v>
          </cell>
          <cell r="K3475">
            <v>1679</v>
          </cell>
          <cell r="L3475">
            <v>19.695567877934199</v>
          </cell>
          <cell r="M3475">
            <v>2453</v>
          </cell>
          <cell r="N3475">
            <v>1.26219919012064E-3</v>
          </cell>
          <cell r="O3475">
            <v>2589</v>
          </cell>
          <cell r="P3475">
            <v>60.88</v>
          </cell>
          <cell r="Q3475">
            <v>87</v>
          </cell>
        </row>
        <row r="3476">
          <cell r="B3476" t="str">
            <v>WEST POINT 110113444</v>
          </cell>
          <cell r="C3476">
            <v>163201101</v>
          </cell>
          <cell r="D3476" t="str">
            <v>WEST POINT 1101</v>
          </cell>
          <cell r="E3476">
            <v>13444</v>
          </cell>
          <cell r="F3476" t="b">
            <v>0</v>
          </cell>
          <cell r="G3476">
            <v>27386.8447044764</v>
          </cell>
          <cell r="H3476">
            <v>27386.8447044764</v>
          </cell>
          <cell r="I3476">
            <v>221</v>
          </cell>
          <cell r="J3476">
            <v>7.9645049769844307E-5</v>
          </cell>
          <cell r="K3476">
            <v>2218</v>
          </cell>
          <cell r="L3476">
            <v>41.902230994974403</v>
          </cell>
          <cell r="M3476">
            <v>2268</v>
          </cell>
          <cell r="N3476">
            <v>3.5257596715817098E-3</v>
          </cell>
          <cell r="O3476">
            <v>2293</v>
          </cell>
          <cell r="P3476">
            <v>73.64</v>
          </cell>
          <cell r="Q3476">
            <v>59</v>
          </cell>
        </row>
        <row r="3477">
          <cell r="B3477" t="str">
            <v>WEST POINT 110136674</v>
          </cell>
          <cell r="C3477">
            <v>163201101</v>
          </cell>
          <cell r="D3477" t="str">
            <v>WEST POINT 1101</v>
          </cell>
          <cell r="E3477">
            <v>36674</v>
          </cell>
          <cell r="F3477" t="b">
            <v>0</v>
          </cell>
          <cell r="G3477">
            <v>15144.146589468201</v>
          </cell>
          <cell r="H3477">
            <v>15144.146589468201</v>
          </cell>
          <cell r="I3477">
            <v>125</v>
          </cell>
          <cell r="J3477">
            <v>1.0056289215572099E-4</v>
          </cell>
          <cell r="K3477">
            <v>1635</v>
          </cell>
          <cell r="L3477">
            <v>28.0217590156096</v>
          </cell>
          <cell r="M3477">
            <v>2361</v>
          </cell>
          <cell r="N3477">
            <v>2.6639314856811099E-3</v>
          </cell>
          <cell r="O3477">
            <v>2389</v>
          </cell>
          <cell r="P3477">
            <v>88.72</v>
          </cell>
          <cell r="Q3477">
            <v>34</v>
          </cell>
        </row>
        <row r="3478">
          <cell r="B3478" t="str">
            <v>WEST POINT 11014706</v>
          </cell>
          <cell r="C3478">
            <v>163201101</v>
          </cell>
          <cell r="D3478" t="str">
            <v>WEST POINT 1101</v>
          </cell>
          <cell r="E3478">
            <v>4706</v>
          </cell>
          <cell r="F3478" t="b">
            <v>0</v>
          </cell>
          <cell r="G3478">
            <v>18429.6340041851</v>
          </cell>
          <cell r="H3478">
            <v>18429.6340041851</v>
          </cell>
          <cell r="I3478">
            <v>138</v>
          </cell>
          <cell r="J3478">
            <v>8.0470111836051603E-5</v>
          </cell>
          <cell r="K3478">
            <v>2193</v>
          </cell>
          <cell r="L3478">
            <v>25.0427701823237</v>
          </cell>
          <cell r="M3478">
            <v>2390</v>
          </cell>
          <cell r="N3478">
            <v>2.0958896360851E-3</v>
          </cell>
          <cell r="O3478">
            <v>2468</v>
          </cell>
          <cell r="P3478">
            <v>94.56</v>
          </cell>
          <cell r="Q3478">
            <v>27</v>
          </cell>
        </row>
        <row r="3479">
          <cell r="B3479" t="str">
            <v>WEST POINT 1101CB</v>
          </cell>
          <cell r="C3479">
            <v>163201101</v>
          </cell>
          <cell r="D3479" t="str">
            <v>WEST POINT 1101</v>
          </cell>
          <cell r="E3479" t="str">
            <v>CB</v>
          </cell>
          <cell r="F3479" t="b">
            <v>0</v>
          </cell>
          <cell r="G3479">
            <v>7713.2868776241903</v>
          </cell>
          <cell r="H3479">
            <v>7713.2868776241903</v>
          </cell>
          <cell r="I3479">
            <v>20</v>
          </cell>
          <cell r="J3479">
            <v>2.16900550892912E-4</v>
          </cell>
          <cell r="K3479">
            <v>332</v>
          </cell>
          <cell r="L3479">
            <v>123.69345829241099</v>
          </cell>
          <cell r="M3479">
            <v>1859</v>
          </cell>
          <cell r="N3479">
            <v>1.5735919198605699E-2</v>
          </cell>
          <cell r="O3479">
            <v>1765</v>
          </cell>
          <cell r="P3479">
            <v>0.28000000000000003</v>
          </cell>
          <cell r="Q3479">
            <v>1044</v>
          </cell>
        </row>
        <row r="3480">
          <cell r="B3480" t="str">
            <v>WEST POINT 1101L1969</v>
          </cell>
          <cell r="C3480">
            <v>163201101</v>
          </cell>
          <cell r="D3480" t="str">
            <v>WEST POINT 1101</v>
          </cell>
          <cell r="E3480" t="str">
            <v>L1969</v>
          </cell>
          <cell r="F3480" t="b">
            <v>0</v>
          </cell>
          <cell r="G3480">
            <v>1768.61388681521</v>
          </cell>
          <cell r="H3480">
            <v>1768.61388681521</v>
          </cell>
          <cell r="I3480">
            <v>16</v>
          </cell>
          <cell r="J3480">
            <v>7.7815686154281098E-5</v>
          </cell>
          <cell r="K3480">
            <v>2267</v>
          </cell>
          <cell r="L3480">
            <v>7.4947391804507904</v>
          </cell>
          <cell r="M3480">
            <v>2677</v>
          </cell>
          <cell r="N3480">
            <v>3.24484161164723E-4</v>
          </cell>
          <cell r="O3480">
            <v>2786</v>
          </cell>
          <cell r="P3480">
            <v>58.12</v>
          </cell>
          <cell r="Q3480">
            <v>93</v>
          </cell>
        </row>
        <row r="3481">
          <cell r="B3481" t="str">
            <v>WEST POINT 1101L2219</v>
          </cell>
          <cell r="C3481">
            <v>163201101</v>
          </cell>
          <cell r="D3481" t="str">
            <v>WEST POINT 1101</v>
          </cell>
          <cell r="E3481" t="str">
            <v>L2219</v>
          </cell>
          <cell r="F3481" t="b">
            <v>0</v>
          </cell>
          <cell r="G3481">
            <v>5447.1163381865499</v>
          </cell>
          <cell r="H3481">
            <v>5447.1163381865499</v>
          </cell>
          <cell r="I3481">
            <v>41</v>
          </cell>
          <cell r="J3481">
            <v>7.2244458662192599E-5</v>
          </cell>
          <cell r="K3481">
            <v>2411</v>
          </cell>
          <cell r="L3481">
            <v>7.0236752015120203</v>
          </cell>
          <cell r="M3481">
            <v>2687</v>
          </cell>
          <cell r="N3481">
            <v>4.2266098403527801E-4</v>
          </cell>
          <cell r="O3481">
            <v>2757</v>
          </cell>
          <cell r="P3481">
            <v>49.71</v>
          </cell>
          <cell r="Q3481">
            <v>121</v>
          </cell>
        </row>
        <row r="3482">
          <cell r="B3482" t="str">
            <v>WEST POINT 1101L3355</v>
          </cell>
          <cell r="C3482">
            <v>163201101</v>
          </cell>
          <cell r="D3482" t="str">
            <v>WEST POINT 1101</v>
          </cell>
          <cell r="E3482" t="str">
            <v>L3355</v>
          </cell>
          <cell r="F3482" t="b">
            <v>0</v>
          </cell>
          <cell r="G3482">
            <v>3618.1853036161101</v>
          </cell>
          <cell r="H3482">
            <v>3618.1853036161101</v>
          </cell>
          <cell r="I3482">
            <v>27</v>
          </cell>
          <cell r="J3482">
            <v>8.1776277915600402E-5</v>
          </cell>
          <cell r="K3482">
            <v>2161</v>
          </cell>
          <cell r="L3482">
            <v>67.856618229178594</v>
          </cell>
          <cell r="M3482">
            <v>2102</v>
          </cell>
          <cell r="N3482">
            <v>1.01036555196415E-2</v>
          </cell>
          <cell r="O3482">
            <v>1956</v>
          </cell>
          <cell r="P3482">
            <v>44.71</v>
          </cell>
          <cell r="Q3482">
            <v>155</v>
          </cell>
        </row>
        <row r="3483">
          <cell r="B3483" t="str">
            <v>WEST POINT 1101L373</v>
          </cell>
          <cell r="C3483">
            <v>163201101</v>
          </cell>
          <cell r="D3483" t="str">
            <v>WEST POINT 1101</v>
          </cell>
          <cell r="E3483" t="str">
            <v>L373</v>
          </cell>
          <cell r="F3483" t="b">
            <v>0</v>
          </cell>
          <cell r="G3483">
            <v>11899.5211026862</v>
          </cell>
          <cell r="H3483">
            <v>11899.5211026862</v>
          </cell>
          <cell r="I3483">
            <v>93</v>
          </cell>
          <cell r="J3483">
            <v>5.9701837877798003E-5</v>
          </cell>
          <cell r="K3483">
            <v>2784</v>
          </cell>
          <cell r="L3483">
            <v>62.943982378964499</v>
          </cell>
          <cell r="M3483">
            <v>2136</v>
          </cell>
          <cell r="N3483">
            <v>3.90442033478468E-3</v>
          </cell>
          <cell r="O3483">
            <v>2260</v>
          </cell>
          <cell r="P3483">
            <v>72.86</v>
          </cell>
          <cell r="Q3483">
            <v>65</v>
          </cell>
        </row>
        <row r="3484">
          <cell r="B3484" t="str">
            <v>WEST POINT 11021303</v>
          </cell>
          <cell r="C3484">
            <v>163201102</v>
          </cell>
          <cell r="D3484" t="str">
            <v>WEST POINT 1102</v>
          </cell>
          <cell r="E3484">
            <v>1303</v>
          </cell>
          <cell r="F3484" t="b">
            <v>0</v>
          </cell>
          <cell r="G3484">
            <v>25207.413834476101</v>
          </cell>
          <cell r="H3484">
            <v>25207.413834476101</v>
          </cell>
          <cell r="I3484">
            <v>146</v>
          </cell>
          <cell r="J3484">
            <v>8.2867754877548103E-5</v>
          </cell>
          <cell r="K3484">
            <v>2134</v>
          </cell>
          <cell r="L3484">
            <v>109.163357577261</v>
          </cell>
          <cell r="M3484">
            <v>1912</v>
          </cell>
          <cell r="N3484">
            <v>8.6648123527886794E-3</v>
          </cell>
          <cell r="O3484">
            <v>2021</v>
          </cell>
          <cell r="P3484">
            <v>55.45</v>
          </cell>
          <cell r="Q3484">
            <v>103</v>
          </cell>
        </row>
        <row r="3485">
          <cell r="B3485" t="str">
            <v>WEST POINT 11021305</v>
          </cell>
          <cell r="C3485">
            <v>163201102</v>
          </cell>
          <cell r="D3485" t="str">
            <v>WEST POINT 1102</v>
          </cell>
          <cell r="E3485">
            <v>1305</v>
          </cell>
          <cell r="F3485" t="b">
            <v>0</v>
          </cell>
          <cell r="G3485">
            <v>18201.370804647198</v>
          </cell>
          <cell r="H3485">
            <v>18201.370804647198</v>
          </cell>
          <cell r="I3485">
            <v>105</v>
          </cell>
          <cell r="J3485">
            <v>1.08380479390949E-4</v>
          </cell>
          <cell r="K3485">
            <v>1442</v>
          </cell>
          <cell r="L3485">
            <v>197.49173718034299</v>
          </cell>
          <cell r="M3485">
            <v>1648</v>
          </cell>
          <cell r="N3485">
            <v>1.83104283714682E-2</v>
          </cell>
          <cell r="O3485">
            <v>1696</v>
          </cell>
          <cell r="P3485">
            <v>0.76</v>
          </cell>
          <cell r="Q3485">
            <v>784</v>
          </cell>
        </row>
        <row r="3486">
          <cell r="B3486" t="str">
            <v>WEST POINT 11021341</v>
          </cell>
          <cell r="C3486">
            <v>163201102</v>
          </cell>
          <cell r="D3486" t="str">
            <v>WEST POINT 1102</v>
          </cell>
          <cell r="E3486">
            <v>1341</v>
          </cell>
          <cell r="F3486" t="b">
            <v>0</v>
          </cell>
          <cell r="G3486">
            <v>15927.2158617779</v>
          </cell>
          <cell r="H3486">
            <v>15927.2158617779</v>
          </cell>
          <cell r="I3486">
            <v>87</v>
          </cell>
          <cell r="J3486">
            <v>5.9225530125770697E-5</v>
          </cell>
          <cell r="K3486">
            <v>2799</v>
          </cell>
          <cell r="L3486">
            <v>79.260459886542606</v>
          </cell>
          <cell r="M3486">
            <v>2052</v>
          </cell>
          <cell r="N3486">
            <v>4.1901231155043999E-3</v>
          </cell>
          <cell r="O3486">
            <v>2247</v>
          </cell>
          <cell r="P3486">
            <v>0.52</v>
          </cell>
          <cell r="Q3486">
            <v>886</v>
          </cell>
        </row>
        <row r="3487">
          <cell r="B3487" t="str">
            <v>WEST POINT 11021535</v>
          </cell>
          <cell r="C3487">
            <v>163201102</v>
          </cell>
          <cell r="D3487" t="str">
            <v>WEST POINT 1102</v>
          </cell>
          <cell r="E3487">
            <v>1535</v>
          </cell>
          <cell r="F3487" t="b">
            <v>0</v>
          </cell>
          <cell r="G3487">
            <v>4933.58948281024</v>
          </cell>
          <cell r="H3487">
            <v>4933.58948281024</v>
          </cell>
          <cell r="I3487">
            <v>30</v>
          </cell>
          <cell r="J3487">
            <v>6.0964486086353E-5</v>
          </cell>
          <cell r="K3487">
            <v>2749</v>
          </cell>
          <cell r="L3487">
            <v>63.421534566084503</v>
          </cell>
          <cell r="M3487">
            <v>2132</v>
          </cell>
          <cell r="N3487">
            <v>4.37862774303408E-3</v>
          </cell>
          <cell r="O3487">
            <v>2234</v>
          </cell>
          <cell r="P3487">
            <v>52.41</v>
          </cell>
          <cell r="Q3487">
            <v>112</v>
          </cell>
        </row>
        <row r="3488">
          <cell r="B3488" t="str">
            <v>WEST POINT 110234416</v>
          </cell>
          <cell r="C3488">
            <v>163201102</v>
          </cell>
          <cell r="D3488" t="str">
            <v>WEST POINT 1102</v>
          </cell>
          <cell r="E3488">
            <v>34416</v>
          </cell>
          <cell r="F3488" t="b">
            <v>0</v>
          </cell>
          <cell r="G3488">
            <v>16821.512674276601</v>
          </cell>
          <cell r="H3488">
            <v>16821.512674276601</v>
          </cell>
          <cell r="I3488">
            <v>113</v>
          </cell>
          <cell r="J3488">
            <v>8.8541664567413298E-5</v>
          </cell>
          <cell r="K3488">
            <v>1971</v>
          </cell>
          <cell r="L3488">
            <v>264.20592015116802</v>
          </cell>
          <cell r="M3488">
            <v>1510</v>
          </cell>
          <cell r="N3488">
            <v>2.1823448469798699E-2</v>
          </cell>
          <cell r="O3488">
            <v>1633</v>
          </cell>
          <cell r="P3488">
            <v>42.3</v>
          </cell>
          <cell r="Q3488">
            <v>170</v>
          </cell>
        </row>
        <row r="3489">
          <cell r="B3489" t="str">
            <v>WEST POINT 110236676</v>
          </cell>
          <cell r="C3489">
            <v>163201102</v>
          </cell>
          <cell r="D3489" t="str">
            <v>WEST POINT 1102</v>
          </cell>
          <cell r="E3489">
            <v>36676</v>
          </cell>
          <cell r="F3489" t="b">
            <v>0</v>
          </cell>
          <cell r="G3489">
            <v>27305.8876967996</v>
          </cell>
          <cell r="H3489">
            <v>27305.8876967996</v>
          </cell>
          <cell r="I3489">
            <v>173</v>
          </cell>
          <cell r="J3489">
            <v>8.12581369287948E-5</v>
          </cell>
          <cell r="K3489">
            <v>2175</v>
          </cell>
          <cell r="L3489">
            <v>346.196829313298</v>
          </cell>
          <cell r="M3489">
            <v>1376</v>
          </cell>
          <cell r="N3489">
            <v>2.61453851298954E-2</v>
          </cell>
          <cell r="O3489">
            <v>1530</v>
          </cell>
          <cell r="P3489">
            <v>34.1</v>
          </cell>
          <cell r="Q3489">
            <v>217</v>
          </cell>
        </row>
        <row r="3490">
          <cell r="B3490" t="str">
            <v>WEST POINT 11024788</v>
          </cell>
          <cell r="C3490">
            <v>163201102</v>
          </cell>
          <cell r="D3490" t="str">
            <v>WEST POINT 1102</v>
          </cell>
          <cell r="E3490">
            <v>4788</v>
          </cell>
          <cell r="F3490" t="b">
            <v>0</v>
          </cell>
          <cell r="G3490">
            <v>111874.95367822199</v>
          </cell>
          <cell r="H3490">
            <v>111874.95367822199</v>
          </cell>
          <cell r="I3490">
            <v>673</v>
          </cell>
          <cell r="J3490">
            <v>7.0255391960246402E-5</v>
          </cell>
          <cell r="K3490">
            <v>2460</v>
          </cell>
          <cell r="L3490">
            <v>791.32668448546201</v>
          </cell>
          <cell r="M3490">
            <v>951</v>
          </cell>
          <cell r="N3490">
            <v>4.7318542156504398E-2</v>
          </cell>
          <cell r="O3490">
            <v>1206</v>
          </cell>
          <cell r="P3490">
            <v>1.08</v>
          </cell>
          <cell r="Q3490">
            <v>718</v>
          </cell>
        </row>
        <row r="3491">
          <cell r="B3491" t="str">
            <v>WEST POINT 11024790</v>
          </cell>
          <cell r="C3491">
            <v>163201102</v>
          </cell>
          <cell r="D3491" t="str">
            <v>WEST POINT 1102</v>
          </cell>
          <cell r="E3491">
            <v>4790</v>
          </cell>
          <cell r="F3491" t="b">
            <v>0</v>
          </cell>
          <cell r="G3491">
            <v>52731.038321812703</v>
          </cell>
          <cell r="H3491">
            <v>52731.038321812703</v>
          </cell>
          <cell r="I3491">
            <v>305</v>
          </cell>
          <cell r="J3491">
            <v>1.13744709746075E-4</v>
          </cell>
          <cell r="K3491">
            <v>1325</v>
          </cell>
          <cell r="L3491">
            <v>232.208293193309</v>
          </cell>
          <cell r="M3491">
            <v>1584</v>
          </cell>
          <cell r="N3491">
            <v>2.03774429191576E-2</v>
          </cell>
          <cell r="O3491">
            <v>1664</v>
          </cell>
          <cell r="P3491">
            <v>47.18</v>
          </cell>
          <cell r="Q3491">
            <v>136</v>
          </cell>
        </row>
        <row r="3492">
          <cell r="B3492" t="str">
            <v>WEST POINT 11025357</v>
          </cell>
          <cell r="C3492">
            <v>163201102</v>
          </cell>
          <cell r="D3492" t="str">
            <v>WEST POINT 1102</v>
          </cell>
          <cell r="E3492">
            <v>5357</v>
          </cell>
          <cell r="F3492" t="b">
            <v>0</v>
          </cell>
          <cell r="G3492">
            <v>5401.7845486593897</v>
          </cell>
          <cell r="H3492">
            <v>5401.7845486593897</v>
          </cell>
          <cell r="I3492">
            <v>37</v>
          </cell>
          <cell r="J3492">
            <v>6.56627629281059E-5</v>
          </cell>
          <cell r="K3492">
            <v>2599</v>
          </cell>
          <cell r="L3492">
            <v>6.6431909799575806E-2</v>
          </cell>
          <cell r="M3492">
            <v>2965</v>
          </cell>
          <cell r="N3492">
            <v>4.3621027440308599E-6</v>
          </cell>
          <cell r="O3492">
            <v>3308</v>
          </cell>
          <cell r="P3492">
            <v>10.09</v>
          </cell>
          <cell r="Q3492">
            <v>402</v>
          </cell>
        </row>
        <row r="3493">
          <cell r="B3493" t="str">
            <v>WEST POINT 110272036</v>
          </cell>
          <cell r="C3493">
            <v>163201102</v>
          </cell>
          <cell r="D3493" t="str">
            <v>WEST POINT 1102</v>
          </cell>
          <cell r="E3493">
            <v>72036</v>
          </cell>
          <cell r="F3493" t="b">
            <v>0</v>
          </cell>
          <cell r="G3493">
            <v>21135.824068993901</v>
          </cell>
          <cell r="H3493">
            <v>20864.461066818301</v>
          </cell>
          <cell r="I3493">
            <v>105</v>
          </cell>
          <cell r="J3493">
            <v>8.1485167313422499E-5</v>
          </cell>
          <cell r="K3493">
            <v>2168</v>
          </cell>
          <cell r="L3493">
            <v>844.15431794195194</v>
          </cell>
          <cell r="M3493">
            <v>916</v>
          </cell>
          <cell r="N3493">
            <v>5.1819039075729198E-2</v>
          </cell>
          <cell r="O3493">
            <v>1160</v>
          </cell>
          <cell r="P3493">
            <v>14.82</v>
          </cell>
          <cell r="Q3493">
            <v>354</v>
          </cell>
        </row>
        <row r="3494">
          <cell r="B3494" t="str">
            <v>WEST POINT 110277204</v>
          </cell>
          <cell r="C3494">
            <v>163201102</v>
          </cell>
          <cell r="D3494" t="str">
            <v>WEST POINT 1102</v>
          </cell>
          <cell r="E3494">
            <v>77204</v>
          </cell>
          <cell r="F3494" t="b">
            <v>0</v>
          </cell>
          <cell r="G3494">
            <v>11918.3859720652</v>
          </cell>
          <cell r="H3494">
            <v>11918.3859720652</v>
          </cell>
          <cell r="I3494">
            <v>68</v>
          </cell>
          <cell r="J3494">
            <v>1.18173006889427E-4</v>
          </cell>
          <cell r="K3494">
            <v>1226</v>
          </cell>
          <cell r="L3494">
            <v>128.41944611410099</v>
          </cell>
          <cell r="M3494">
            <v>1848</v>
          </cell>
          <cell r="N3494">
            <v>1.4094299740216899E-2</v>
          </cell>
          <cell r="O3494">
            <v>1815</v>
          </cell>
          <cell r="Q3494">
            <v>2893</v>
          </cell>
        </row>
        <row r="3495">
          <cell r="B3495" t="str">
            <v>WEST POINT 110293116</v>
          </cell>
          <cell r="C3495">
            <v>163201102</v>
          </cell>
          <cell r="D3495" t="str">
            <v>WEST POINT 1102</v>
          </cell>
          <cell r="E3495">
            <v>93116</v>
          </cell>
          <cell r="F3495" t="b">
            <v>0</v>
          </cell>
          <cell r="G3495">
            <v>68103.731379427205</v>
          </cell>
          <cell r="H3495">
            <v>68103.731379427205</v>
          </cell>
          <cell r="I3495">
            <v>453</v>
          </cell>
          <cell r="J3495">
            <v>9.1188845122267803E-5</v>
          </cell>
          <cell r="K3495">
            <v>1872</v>
          </cell>
          <cell r="L3495">
            <v>118.496193015022</v>
          </cell>
          <cell r="M3495">
            <v>1875</v>
          </cell>
          <cell r="N3495">
            <v>1.1347952477571701E-2</v>
          </cell>
          <cell r="O3495">
            <v>1909</v>
          </cell>
          <cell r="P3495">
            <v>26.17</v>
          </cell>
          <cell r="Q3495">
            <v>268</v>
          </cell>
        </row>
        <row r="3496">
          <cell r="B3496" t="str">
            <v>WEST POINT 1102CB</v>
          </cell>
          <cell r="C3496">
            <v>163201102</v>
          </cell>
          <cell r="D3496" t="str">
            <v>WEST POINT 1102</v>
          </cell>
          <cell r="E3496" t="str">
            <v>CB</v>
          </cell>
          <cell r="F3496" t="b">
            <v>0</v>
          </cell>
          <cell r="G3496">
            <v>28620.470982721399</v>
          </cell>
          <cell r="H3496">
            <v>28620.470982721399</v>
          </cell>
          <cell r="I3496">
            <v>195</v>
          </cell>
          <cell r="J3496">
            <v>2.0845170996229399E-4</v>
          </cell>
          <cell r="K3496">
            <v>368</v>
          </cell>
          <cell r="L3496">
            <v>153.87683889965101</v>
          </cell>
          <cell r="M3496">
            <v>1765</v>
          </cell>
          <cell r="N3496">
            <v>2.1730249813480599E-2</v>
          </cell>
          <cell r="O3496">
            <v>1634</v>
          </cell>
          <cell r="P3496">
            <v>37.1</v>
          </cell>
          <cell r="Q3496">
            <v>202</v>
          </cell>
        </row>
        <row r="3497">
          <cell r="B3497" t="str">
            <v>WEST POINT 1102L3733</v>
          </cell>
          <cell r="C3497">
            <v>163201102</v>
          </cell>
          <cell r="D3497" t="str">
            <v>WEST POINT 1102</v>
          </cell>
          <cell r="E3497" t="str">
            <v>L3733</v>
          </cell>
          <cell r="F3497" t="b">
            <v>0</v>
          </cell>
          <cell r="G3497">
            <v>2820.1266904965</v>
          </cell>
          <cell r="H3497">
            <v>2820.1266904965</v>
          </cell>
          <cell r="I3497">
            <v>22</v>
          </cell>
          <cell r="J3497">
            <v>6.6103027248490506E-5</v>
          </cell>
          <cell r="K3497">
            <v>2585</v>
          </cell>
          <cell r="L3497">
            <v>57.312413364648798</v>
          </cell>
          <cell r="M3497">
            <v>2169</v>
          </cell>
          <cell r="N3497">
            <v>3.6798165603176402E-3</v>
          </cell>
          <cell r="O3497">
            <v>2279</v>
          </cell>
          <cell r="P3497">
            <v>42.03</v>
          </cell>
          <cell r="Q3497">
            <v>171</v>
          </cell>
        </row>
        <row r="3498">
          <cell r="B3498" t="str">
            <v>WESTLEY 1103237522</v>
          </cell>
          <cell r="C3498">
            <v>162671103</v>
          </cell>
          <cell r="D3498" t="str">
            <v>WESTLEY 1103</v>
          </cell>
          <cell r="E3498">
            <v>237522</v>
          </cell>
          <cell r="F3498" t="b">
            <v>0</v>
          </cell>
          <cell r="G3498">
            <v>26805.159635776199</v>
          </cell>
          <cell r="H3498">
            <v>1485.9819606636399</v>
          </cell>
          <cell r="I3498">
            <v>39</v>
          </cell>
          <cell r="J3498">
            <v>3.4220415888258301E-5</v>
          </cell>
          <cell r="K3498">
            <v>3366</v>
          </cell>
          <cell r="L3498">
            <v>404.19108856278399</v>
          </cell>
          <cell r="M3498">
            <v>1293</v>
          </cell>
          <cell r="N3498">
            <v>8.2937382811419606E-3</v>
          </cell>
          <cell r="O3498">
            <v>2040</v>
          </cell>
          <cell r="Q3498">
            <v>3130</v>
          </cell>
        </row>
        <row r="3499">
          <cell r="B3499" t="str">
            <v>WHEATLAND 1105248490</v>
          </cell>
          <cell r="C3499">
            <v>152811105</v>
          </cell>
          <cell r="D3499" t="str">
            <v>WHEATLAND 1105</v>
          </cell>
          <cell r="E3499">
            <v>248490</v>
          </cell>
          <cell r="F3499" t="b">
            <v>0</v>
          </cell>
          <cell r="G3499">
            <v>43282.228743108099</v>
          </cell>
          <cell r="H3499">
            <v>17726.622403925099</v>
          </cell>
          <cell r="I3499">
            <v>228</v>
          </cell>
          <cell r="J3499">
            <v>9.8357678197907305E-5</v>
          </cell>
          <cell r="K3499">
            <v>1682</v>
          </cell>
          <cell r="L3499">
            <v>1137.7994208759601</v>
          </cell>
          <cell r="M3499">
            <v>759</v>
          </cell>
          <cell r="N3499">
            <v>9.9611366044550703E-2</v>
          </cell>
          <cell r="O3499">
            <v>769</v>
          </cell>
          <cell r="Q3499">
            <v>2654</v>
          </cell>
        </row>
        <row r="3500">
          <cell r="B3500" t="str">
            <v>WHITMORE 11011594</v>
          </cell>
          <cell r="C3500">
            <v>103601101</v>
          </cell>
          <cell r="D3500" t="str">
            <v>WHITMORE 1101</v>
          </cell>
          <cell r="E3500">
            <v>1594</v>
          </cell>
          <cell r="F3500" t="b">
            <v>0</v>
          </cell>
          <cell r="G3500">
            <v>39042.209287121201</v>
          </cell>
          <cell r="H3500">
            <v>39042.209287121201</v>
          </cell>
          <cell r="I3500">
            <v>160</v>
          </cell>
          <cell r="J3500">
            <v>1.2551502276195701E-4</v>
          </cell>
          <cell r="K3500">
            <v>1089</v>
          </cell>
          <cell r="L3500">
            <v>1126.4421052550499</v>
          </cell>
          <cell r="M3500">
            <v>765</v>
          </cell>
          <cell r="N3500">
            <v>0.114485977924954</v>
          </cell>
          <cell r="O3500">
            <v>678</v>
          </cell>
          <cell r="P3500">
            <v>0.12</v>
          </cell>
          <cell r="Q3500">
            <v>1390</v>
          </cell>
        </row>
        <row r="3501">
          <cell r="B3501" t="str">
            <v>WHITMORE 11011598</v>
          </cell>
          <cell r="C3501">
            <v>103601101</v>
          </cell>
          <cell r="D3501" t="str">
            <v>WHITMORE 1101</v>
          </cell>
          <cell r="E3501">
            <v>1598</v>
          </cell>
          <cell r="F3501" t="b">
            <v>0</v>
          </cell>
          <cell r="G3501">
            <v>53928.002263348302</v>
          </cell>
          <cell r="H3501">
            <v>53928.002263348302</v>
          </cell>
          <cell r="I3501">
            <v>251</v>
          </cell>
          <cell r="J3501">
            <v>9.7528270198819799E-5</v>
          </cell>
          <cell r="K3501">
            <v>1700</v>
          </cell>
          <cell r="L3501">
            <v>806.34085886590901</v>
          </cell>
          <cell r="M3501">
            <v>933</v>
          </cell>
          <cell r="N3501">
            <v>9.0420283160581705E-2</v>
          </cell>
          <cell r="O3501">
            <v>820</v>
          </cell>
          <cell r="P3501">
            <v>22.35</v>
          </cell>
          <cell r="Q3501">
            <v>294</v>
          </cell>
        </row>
        <row r="3502">
          <cell r="B3502" t="str">
            <v>WHITMORE 110145262</v>
          </cell>
          <cell r="C3502">
            <v>103601101</v>
          </cell>
          <cell r="D3502" t="str">
            <v>WHITMORE 1101</v>
          </cell>
          <cell r="E3502">
            <v>45262</v>
          </cell>
          <cell r="F3502" t="b">
            <v>0</v>
          </cell>
          <cell r="G3502">
            <v>46333.9347186616</v>
          </cell>
          <cell r="H3502">
            <v>46333.9347186616</v>
          </cell>
          <cell r="I3502">
            <v>221</v>
          </cell>
          <cell r="J3502">
            <v>1.02719008457516E-4</v>
          </cell>
          <cell r="K3502">
            <v>1577</v>
          </cell>
          <cell r="L3502">
            <v>1038.3076676047201</v>
          </cell>
          <cell r="M3502">
            <v>800</v>
          </cell>
          <cell r="N3502">
            <v>0.11334182812403699</v>
          </cell>
          <cell r="O3502">
            <v>685</v>
          </cell>
          <cell r="P3502">
            <v>0.06</v>
          </cell>
          <cell r="Q3502">
            <v>1915</v>
          </cell>
        </row>
        <row r="3503">
          <cell r="B3503" t="str">
            <v>WHITMORE 1101CB</v>
          </cell>
          <cell r="C3503">
            <v>103601101</v>
          </cell>
          <cell r="D3503" t="str">
            <v>WHITMORE 1101</v>
          </cell>
          <cell r="E3503" t="str">
            <v>CB</v>
          </cell>
          <cell r="F3503" t="b">
            <v>0</v>
          </cell>
          <cell r="G3503">
            <v>9497.7631053222194</v>
          </cell>
          <cell r="H3503">
            <v>9497.7631053222194</v>
          </cell>
          <cell r="I3503">
            <v>69</v>
          </cell>
          <cell r="J3503">
            <v>2.1207688379049099E-4</v>
          </cell>
          <cell r="K3503">
            <v>351</v>
          </cell>
          <cell r="L3503">
            <v>141.73215259243301</v>
          </cell>
          <cell r="M3503">
            <v>1806</v>
          </cell>
          <cell r="N3503">
            <v>2.92481334164537E-2</v>
          </cell>
          <cell r="O3503">
            <v>1481</v>
          </cell>
          <cell r="P3503">
            <v>0.04</v>
          </cell>
          <cell r="Q3503">
            <v>2126</v>
          </cell>
        </row>
        <row r="3504">
          <cell r="B3504" t="str">
            <v>WILDWOOD 11011454</v>
          </cell>
          <cell r="C3504">
            <v>103611101</v>
          </cell>
          <cell r="D3504" t="str">
            <v>WILDWOOD 1101</v>
          </cell>
          <cell r="E3504">
            <v>1454</v>
          </cell>
          <cell r="F3504" t="b">
            <v>0</v>
          </cell>
          <cell r="G3504">
            <v>12602.11729264</v>
          </cell>
          <cell r="H3504">
            <v>12602.11729264</v>
          </cell>
          <cell r="I3504">
            <v>31</v>
          </cell>
          <cell r="J3504">
            <v>9.3125925245815199E-5</v>
          </cell>
          <cell r="K3504">
            <v>1817</v>
          </cell>
          <cell r="L3504">
            <v>5114.2445527805403</v>
          </cell>
          <cell r="M3504">
            <v>68</v>
          </cell>
          <cell r="N3504">
            <v>0.41882815342111002</v>
          </cell>
          <cell r="O3504">
            <v>52</v>
          </cell>
          <cell r="P3504">
            <v>0.03</v>
          </cell>
          <cell r="Q3504">
            <v>2353</v>
          </cell>
        </row>
        <row r="3505">
          <cell r="B3505" t="str">
            <v>WILDWOOD 11011576</v>
          </cell>
          <cell r="C3505">
            <v>103611101</v>
          </cell>
          <cell r="D3505" t="str">
            <v>WILDWOOD 1101</v>
          </cell>
          <cell r="E3505">
            <v>1576</v>
          </cell>
          <cell r="F3505" t="b">
            <v>0</v>
          </cell>
          <cell r="G3505">
            <v>12974.576980518401</v>
          </cell>
          <cell r="H3505">
            <v>12974.576980518401</v>
          </cell>
          <cell r="I3505">
            <v>51</v>
          </cell>
          <cell r="J3505">
            <v>7.9986595379773006E-5</v>
          </cell>
          <cell r="K3505">
            <v>2206</v>
          </cell>
          <cell r="L3505">
            <v>832.24054965004495</v>
          </cell>
          <cell r="M3505">
            <v>921</v>
          </cell>
          <cell r="N3505">
            <v>5.4922181022994898E-2</v>
          </cell>
          <cell r="O3505">
            <v>1125</v>
          </cell>
          <cell r="P3505">
            <v>7.0000000000000007E-2</v>
          </cell>
          <cell r="Q3505">
            <v>1744</v>
          </cell>
        </row>
        <row r="3506">
          <cell r="B3506" t="str">
            <v>WILDWOOD 1101384582</v>
          </cell>
          <cell r="C3506">
            <v>103611101</v>
          </cell>
          <cell r="D3506" t="str">
            <v>WILDWOOD 1101</v>
          </cell>
          <cell r="E3506">
            <v>384582</v>
          </cell>
          <cell r="F3506" t="b">
            <v>0</v>
          </cell>
          <cell r="G3506">
            <v>7304.3535485536604</v>
          </cell>
          <cell r="H3506">
            <v>7304.3535485536604</v>
          </cell>
          <cell r="I3506">
            <v>8</v>
          </cell>
          <cell r="J3506">
            <v>5.1940808459351298E-5</v>
          </cell>
          <cell r="K3506">
            <v>2994</v>
          </cell>
          <cell r="L3506">
            <v>4044.78067927248</v>
          </cell>
          <cell r="M3506">
            <v>147</v>
          </cell>
          <cell r="N3506">
            <v>0.13183637918239199</v>
          </cell>
          <cell r="O3506">
            <v>598</v>
          </cell>
          <cell r="Q3506">
            <v>3417</v>
          </cell>
        </row>
        <row r="3507">
          <cell r="B3507" t="str">
            <v>WILDWOOD 110185112</v>
          </cell>
          <cell r="C3507">
            <v>103611101</v>
          </cell>
          <cell r="D3507" t="str">
            <v>WILDWOOD 1101</v>
          </cell>
          <cell r="E3507">
            <v>85112</v>
          </cell>
          <cell r="F3507" t="b">
            <v>0</v>
          </cell>
          <cell r="G3507">
            <v>10932.250323120301</v>
          </cell>
          <cell r="H3507">
            <v>10932.250323120301</v>
          </cell>
          <cell r="I3507">
            <v>54</v>
          </cell>
          <cell r="J3507">
            <v>7.2026934537495395E-5</v>
          </cell>
          <cell r="K3507">
            <v>2417</v>
          </cell>
          <cell r="L3507">
            <v>306.466168067929</v>
          </cell>
          <cell r="M3507">
            <v>1437</v>
          </cell>
          <cell r="N3507">
            <v>2.2385538345413399E-2</v>
          </cell>
          <cell r="O3507">
            <v>1622</v>
          </cell>
          <cell r="P3507">
            <v>7.0000000000000007E-2</v>
          </cell>
          <cell r="Q3507">
            <v>1740</v>
          </cell>
        </row>
        <row r="3508">
          <cell r="B3508" t="str">
            <v>WILDWOOD 110198896</v>
          </cell>
          <cell r="C3508">
            <v>103611101</v>
          </cell>
          <cell r="D3508" t="str">
            <v>WILDWOOD 1101</v>
          </cell>
          <cell r="E3508">
            <v>98896</v>
          </cell>
          <cell r="F3508" t="b">
            <v>0</v>
          </cell>
          <cell r="G3508">
            <v>8090.5275280857304</v>
          </cell>
          <cell r="H3508">
            <v>8090.5275280857304</v>
          </cell>
          <cell r="I3508">
            <v>25</v>
          </cell>
          <cell r="J3508">
            <v>7.9750486293050899E-5</v>
          </cell>
          <cell r="K3508">
            <v>2213</v>
          </cell>
          <cell r="L3508">
            <v>2478.9758312598601</v>
          </cell>
          <cell r="M3508">
            <v>348</v>
          </cell>
          <cell r="N3508">
            <v>0.16401737980679501</v>
          </cell>
          <cell r="O3508">
            <v>454</v>
          </cell>
          <cell r="P3508">
            <v>0.04</v>
          </cell>
          <cell r="Q3508">
            <v>2181</v>
          </cell>
        </row>
        <row r="3509">
          <cell r="B3509" t="str">
            <v>WILDWOOD 1101CB</v>
          </cell>
          <cell r="C3509">
            <v>103611101</v>
          </cell>
          <cell r="D3509" t="str">
            <v>WILDWOOD 1101</v>
          </cell>
          <cell r="E3509" t="str">
            <v>CB</v>
          </cell>
          <cell r="F3509" t="b">
            <v>1</v>
          </cell>
          <cell r="G3509">
            <v>200.86179926501799</v>
          </cell>
          <cell r="H3509">
            <v>200.86179926501799</v>
          </cell>
          <cell r="I3509">
            <v>2</v>
          </cell>
          <cell r="J3509">
            <v>9.0416015154914903E-5</v>
          </cell>
          <cell r="K3509">
            <v>1899</v>
          </cell>
          <cell r="L3509">
            <v>309.10423752135199</v>
          </cell>
          <cell r="M3509">
            <v>1433</v>
          </cell>
          <cell r="N3509">
            <v>3.0413472340121601E-2</v>
          </cell>
          <cell r="O3509">
            <v>1456</v>
          </cell>
          <cell r="P3509">
            <v>0.72</v>
          </cell>
          <cell r="Q3509">
            <v>797</v>
          </cell>
        </row>
        <row r="3510">
          <cell r="B3510" t="str">
            <v>WILLITS 11021270</v>
          </cell>
          <cell r="C3510">
            <v>42661102</v>
          </cell>
          <cell r="D3510" t="str">
            <v>WILLITS 1102</v>
          </cell>
          <cell r="E3510">
            <v>1270</v>
          </cell>
          <cell r="F3510" t="b">
            <v>1</v>
          </cell>
          <cell r="G3510">
            <v>2454.7077181076602</v>
          </cell>
          <cell r="H3510">
            <v>0</v>
          </cell>
          <cell r="I3510">
            <v>21</v>
          </cell>
          <cell r="J3510">
            <v>3.5345082887076903E-5</v>
          </cell>
          <cell r="K3510">
            <v>3343</v>
          </cell>
          <cell r="L3510">
            <v>6.5149989184153406E-2</v>
          </cell>
          <cell r="M3510">
            <v>3579</v>
          </cell>
          <cell r="N3510">
            <v>2.3027317678060701E-6</v>
          </cell>
          <cell r="O3510">
            <v>3481</v>
          </cell>
          <cell r="Q3510">
            <v>3133</v>
          </cell>
        </row>
        <row r="3511">
          <cell r="B3511" t="str">
            <v>WILLITS 1102CB</v>
          </cell>
          <cell r="C3511">
            <v>42661102</v>
          </cell>
          <cell r="D3511" t="str">
            <v>WILLITS 1102</v>
          </cell>
          <cell r="E3511" t="str">
            <v>CB</v>
          </cell>
          <cell r="F3511" t="b">
            <v>0</v>
          </cell>
          <cell r="G3511">
            <v>15673.772580048801</v>
          </cell>
          <cell r="H3511">
            <v>8550.6099680534007</v>
          </cell>
          <cell r="I3511">
            <v>114</v>
          </cell>
          <cell r="J3511">
            <v>1.12442375829982E-4</v>
          </cell>
          <cell r="K3511">
            <v>1357</v>
          </cell>
          <cell r="L3511">
            <v>1000.9630981938</v>
          </cell>
          <cell r="M3511">
            <v>834</v>
          </cell>
          <cell r="N3511">
            <v>0.15411831845783699</v>
          </cell>
          <cell r="O3511">
            <v>495</v>
          </cell>
          <cell r="P3511">
            <v>0.03</v>
          </cell>
          <cell r="Q3511">
            <v>2253</v>
          </cell>
        </row>
        <row r="3512">
          <cell r="B3512" t="str">
            <v>WILLITS 11032500</v>
          </cell>
          <cell r="C3512">
            <v>42661103</v>
          </cell>
          <cell r="D3512" t="str">
            <v>WILLITS 1103</v>
          </cell>
          <cell r="E3512">
            <v>2500</v>
          </cell>
          <cell r="F3512" t="b">
            <v>0</v>
          </cell>
          <cell r="G3512">
            <v>48136.395931904102</v>
          </cell>
          <cell r="H3512">
            <v>48136.395931904102</v>
          </cell>
          <cell r="I3512">
            <v>143</v>
          </cell>
          <cell r="J3512">
            <v>8.5235706787248702E-5</v>
          </cell>
          <cell r="K3512">
            <v>2049</v>
          </cell>
          <cell r="L3512">
            <v>1216.4356202762599</v>
          </cell>
          <cell r="M3512">
            <v>720</v>
          </cell>
          <cell r="N3512">
            <v>9.6772520186027694E-2</v>
          </cell>
          <cell r="O3512">
            <v>782</v>
          </cell>
          <cell r="P3512">
            <v>0.21</v>
          </cell>
          <cell r="Q3512">
            <v>1155</v>
          </cell>
        </row>
        <row r="3513">
          <cell r="B3513" t="str">
            <v>WILLITS 11032506</v>
          </cell>
          <cell r="C3513">
            <v>42661103</v>
          </cell>
          <cell r="D3513" t="str">
            <v>WILLITS 1103</v>
          </cell>
          <cell r="E3513">
            <v>2506</v>
          </cell>
          <cell r="F3513" t="b">
            <v>0</v>
          </cell>
          <cell r="G3513">
            <v>20286.238548129899</v>
          </cell>
          <cell r="H3513">
            <v>20286.238548129899</v>
          </cell>
          <cell r="I3513">
            <v>89</v>
          </cell>
          <cell r="J3513">
            <v>1.11384554625617E-4</v>
          </cell>
          <cell r="K3513">
            <v>1386</v>
          </cell>
          <cell r="L3513">
            <v>409.66773865045297</v>
          </cell>
          <cell r="M3513">
            <v>1285</v>
          </cell>
          <cell r="N3513">
            <v>3.8424926603380802E-2</v>
          </cell>
          <cell r="O3513">
            <v>1326</v>
          </cell>
          <cell r="P3513">
            <v>0.12</v>
          </cell>
          <cell r="Q3513">
            <v>1404</v>
          </cell>
        </row>
        <row r="3514">
          <cell r="B3514" t="str">
            <v>WILLITS 110337504</v>
          </cell>
          <cell r="C3514">
            <v>42661103</v>
          </cell>
          <cell r="D3514" t="str">
            <v>WILLITS 1103</v>
          </cell>
          <cell r="E3514">
            <v>37504</v>
          </cell>
          <cell r="F3514" t="b">
            <v>0</v>
          </cell>
          <cell r="G3514">
            <v>5704.6997720538702</v>
          </cell>
          <cell r="H3514">
            <v>1890.9338717840801</v>
          </cell>
          <cell r="I3514">
            <v>41</v>
          </cell>
          <cell r="J3514">
            <v>1.34422798964806E-4</v>
          </cell>
          <cell r="K3514">
            <v>938</v>
          </cell>
          <cell r="L3514">
            <v>1727.13761355723</v>
          </cell>
          <cell r="M3514">
            <v>519</v>
          </cell>
          <cell r="N3514">
            <v>0.24973714941782299</v>
          </cell>
          <cell r="O3514">
            <v>216</v>
          </cell>
          <cell r="P3514">
            <v>0.02</v>
          </cell>
          <cell r="Q3514">
            <v>2505</v>
          </cell>
        </row>
        <row r="3515">
          <cell r="B3515" t="str">
            <v>WILLITS 110337506</v>
          </cell>
          <cell r="C3515">
            <v>42661103</v>
          </cell>
          <cell r="D3515" t="str">
            <v>WILLITS 1103</v>
          </cell>
          <cell r="E3515">
            <v>37506</v>
          </cell>
          <cell r="F3515" t="b">
            <v>0</v>
          </cell>
          <cell r="G3515">
            <v>18602.1389905713</v>
          </cell>
          <cell r="H3515">
            <v>18602.1389905713</v>
          </cell>
          <cell r="I3515">
            <v>77</v>
          </cell>
          <cell r="J3515">
            <v>1.5655391442123801E-4</v>
          </cell>
          <cell r="K3515">
            <v>678</v>
          </cell>
          <cell r="L3515">
            <v>345.76537134766699</v>
          </cell>
          <cell r="M3515">
            <v>1377</v>
          </cell>
          <cell r="N3515">
            <v>5.1704541941523303E-2</v>
          </cell>
          <cell r="O3515">
            <v>1161</v>
          </cell>
          <cell r="P3515">
            <v>4.5599999999999996</v>
          </cell>
          <cell r="Q3515">
            <v>516</v>
          </cell>
        </row>
        <row r="3516">
          <cell r="B3516" t="str">
            <v>WILLITS 1103538</v>
          </cell>
          <cell r="C3516">
            <v>42661103</v>
          </cell>
          <cell r="D3516" t="str">
            <v>WILLITS 1103</v>
          </cell>
          <cell r="E3516">
            <v>538</v>
          </cell>
          <cell r="F3516" t="b">
            <v>0</v>
          </cell>
          <cell r="G3516">
            <v>10176.807324978099</v>
          </cell>
          <cell r="H3516">
            <v>10176.807324978099</v>
          </cell>
          <cell r="I3516">
            <v>48</v>
          </cell>
          <cell r="J3516">
            <v>6.4089709042036702E-5</v>
          </cell>
          <cell r="K3516">
            <v>2642</v>
          </cell>
          <cell r="L3516">
            <v>1480.7363141311801</v>
          </cell>
          <cell r="M3516">
            <v>603</v>
          </cell>
          <cell r="N3516">
            <v>7.4936976500062105E-2</v>
          </cell>
          <cell r="O3516">
            <v>937</v>
          </cell>
          <cell r="P3516">
            <v>2.14</v>
          </cell>
          <cell r="Q3516">
            <v>620</v>
          </cell>
        </row>
        <row r="3517">
          <cell r="B3517" t="str">
            <v>WILLITS 1103696</v>
          </cell>
          <cell r="C3517">
            <v>42661103</v>
          </cell>
          <cell r="D3517" t="str">
            <v>WILLITS 1103</v>
          </cell>
          <cell r="E3517">
            <v>696</v>
          </cell>
          <cell r="F3517" t="b">
            <v>0</v>
          </cell>
          <cell r="G3517">
            <v>15381.4121680145</v>
          </cell>
          <cell r="H3517">
            <v>10464.566720770699</v>
          </cell>
          <cell r="I3517">
            <v>87</v>
          </cell>
          <cell r="J3517">
            <v>1.15838419151259E-4</v>
          </cell>
          <cell r="K3517">
            <v>1275</v>
          </cell>
          <cell r="L3517">
            <v>2155.4593483866802</v>
          </cell>
          <cell r="M3517">
            <v>411</v>
          </cell>
          <cell r="N3517">
            <v>0.25792519778539302</v>
          </cell>
          <cell r="O3517">
            <v>203</v>
          </cell>
          <cell r="P3517">
            <v>0.04</v>
          </cell>
          <cell r="Q3517">
            <v>2141</v>
          </cell>
        </row>
        <row r="3518">
          <cell r="B3518" t="str">
            <v>WILLITS 1103826</v>
          </cell>
          <cell r="C3518">
            <v>42661103</v>
          </cell>
          <cell r="D3518" t="str">
            <v>WILLITS 1103</v>
          </cell>
          <cell r="E3518">
            <v>826</v>
          </cell>
          <cell r="F3518" t="b">
            <v>0</v>
          </cell>
          <cell r="G3518">
            <v>12455.772552869799</v>
          </cell>
          <cell r="H3518">
            <v>12455.772552869799</v>
          </cell>
          <cell r="I3518">
            <v>89</v>
          </cell>
          <cell r="J3518">
            <v>1.0691205526210201E-4</v>
          </cell>
          <cell r="K3518">
            <v>1478</v>
          </cell>
          <cell r="L3518">
            <v>923.37708229052805</v>
          </cell>
          <cell r="M3518">
            <v>872</v>
          </cell>
          <cell r="N3518">
            <v>9.2901929629687505E-2</v>
          </cell>
          <cell r="O3518">
            <v>808</v>
          </cell>
          <cell r="P3518">
            <v>15.71</v>
          </cell>
          <cell r="Q3518">
            <v>347</v>
          </cell>
        </row>
        <row r="3519">
          <cell r="B3519" t="str">
            <v>WILLITS 110391810</v>
          </cell>
          <cell r="C3519">
            <v>42661103</v>
          </cell>
          <cell r="D3519" t="str">
            <v>WILLITS 1103</v>
          </cell>
          <cell r="E3519">
            <v>91810</v>
          </cell>
          <cell r="F3519" t="b">
            <v>0</v>
          </cell>
          <cell r="G3519">
            <v>47379.4323523243</v>
          </cell>
          <cell r="H3519">
            <v>47379.4323523243</v>
          </cell>
          <cell r="I3519">
            <v>296</v>
          </cell>
          <cell r="J3519">
            <v>1.0547744236769299E-4</v>
          </cell>
          <cell r="K3519">
            <v>1507</v>
          </cell>
          <cell r="L3519">
            <v>312.07043798661101</v>
          </cell>
          <cell r="M3519">
            <v>1428</v>
          </cell>
          <cell r="N3519">
            <v>2.92033482286451E-2</v>
          </cell>
          <cell r="O3519">
            <v>1482</v>
          </cell>
          <cell r="P3519">
            <v>44.17</v>
          </cell>
          <cell r="Q3519">
            <v>160</v>
          </cell>
        </row>
        <row r="3520">
          <cell r="B3520" t="str">
            <v>WILLITS 110391948</v>
          </cell>
          <cell r="C3520">
            <v>42661103</v>
          </cell>
          <cell r="D3520" t="str">
            <v>WILLITS 1103</v>
          </cell>
          <cell r="E3520">
            <v>91948</v>
          </cell>
          <cell r="F3520" t="b">
            <v>0</v>
          </cell>
          <cell r="G3520">
            <v>11942.5867597549</v>
          </cell>
          <cell r="H3520">
            <v>11942.5867597549</v>
          </cell>
          <cell r="I3520">
            <v>69</v>
          </cell>
          <cell r="J3520">
            <v>1.0599006191773301E-4</v>
          </cell>
          <cell r="K3520">
            <v>1494</v>
          </cell>
          <cell r="L3520">
            <v>1019.80798482327</v>
          </cell>
          <cell r="M3520">
            <v>815</v>
          </cell>
          <cell r="N3520">
            <v>8.2926778434344595E-2</v>
          </cell>
          <cell r="O3520">
            <v>876</v>
          </cell>
          <cell r="P3520">
            <v>0.99</v>
          </cell>
          <cell r="Q3520">
            <v>733</v>
          </cell>
        </row>
        <row r="3521">
          <cell r="B3521" t="str">
            <v>WILLITS 1103964</v>
          </cell>
          <cell r="C3521">
            <v>42661103</v>
          </cell>
          <cell r="D3521" t="str">
            <v>WILLITS 1103</v>
          </cell>
          <cell r="E3521">
            <v>964</v>
          </cell>
          <cell r="F3521" t="b">
            <v>0</v>
          </cell>
          <cell r="G3521">
            <v>8651.6924789138393</v>
          </cell>
          <cell r="H3521">
            <v>4999.6691949387696</v>
          </cell>
          <cell r="I3521">
            <v>41</v>
          </cell>
          <cell r="J3521">
            <v>1.3222910865806601E-4</v>
          </cell>
          <cell r="K3521">
            <v>977</v>
          </cell>
          <cell r="L3521">
            <v>2706.9260001866601</v>
          </cell>
          <cell r="M3521">
            <v>309</v>
          </cell>
          <cell r="N3521">
            <v>0.334559924625417</v>
          </cell>
          <cell r="O3521">
            <v>103</v>
          </cell>
          <cell r="P3521">
            <v>0.45</v>
          </cell>
          <cell r="Q3521">
            <v>917</v>
          </cell>
        </row>
        <row r="3522">
          <cell r="B3522" t="str">
            <v>WILLITS 1103966</v>
          </cell>
          <cell r="C3522">
            <v>42661103</v>
          </cell>
          <cell r="D3522" t="str">
            <v>WILLITS 1103</v>
          </cell>
          <cell r="E3522">
            <v>966</v>
          </cell>
          <cell r="F3522" t="b">
            <v>0</v>
          </cell>
          <cell r="G3522">
            <v>3670.43560356425</v>
          </cell>
          <cell r="H3522">
            <v>1555.8490090483799</v>
          </cell>
          <cell r="I3522">
            <v>34</v>
          </cell>
          <cell r="J3522">
            <v>1.29387956081593E-4</v>
          </cell>
          <cell r="K3522">
            <v>1020</v>
          </cell>
          <cell r="L3522">
            <v>514.96081757376601</v>
          </cell>
          <cell r="M3522">
            <v>1186</v>
          </cell>
          <cell r="N3522">
            <v>0.105045614460549</v>
          </cell>
          <cell r="O3522">
            <v>733</v>
          </cell>
          <cell r="P3522">
            <v>0.33</v>
          </cell>
          <cell r="Q3522">
            <v>984</v>
          </cell>
        </row>
        <row r="3523">
          <cell r="B3523" t="str">
            <v>WILLITS 1103968</v>
          </cell>
          <cell r="C3523">
            <v>42661103</v>
          </cell>
          <cell r="D3523" t="str">
            <v>WILLITS 1103</v>
          </cell>
          <cell r="E3523">
            <v>968</v>
          </cell>
          <cell r="F3523" t="b">
            <v>0</v>
          </cell>
          <cell r="G3523">
            <v>44551.664391689803</v>
          </cell>
          <cell r="H3523">
            <v>42969.090016761998</v>
          </cell>
          <cell r="I3523">
            <v>283</v>
          </cell>
          <cell r="J3523">
            <v>1.04811053071378E-4</v>
          </cell>
          <cell r="K3523">
            <v>1533</v>
          </cell>
          <cell r="L3523">
            <v>381.65760175104901</v>
          </cell>
          <cell r="M3523">
            <v>1318</v>
          </cell>
          <cell r="N3523">
            <v>4.2383111506992303E-2</v>
          </cell>
          <cell r="O3523">
            <v>1264</v>
          </cell>
          <cell r="P3523">
            <v>33.68</v>
          </cell>
          <cell r="Q3523">
            <v>221</v>
          </cell>
        </row>
        <row r="3524">
          <cell r="B3524" t="str">
            <v>WILLITS 1103CB</v>
          </cell>
          <cell r="C3524">
            <v>42661103</v>
          </cell>
          <cell r="D3524" t="str">
            <v>WILLITS 1103</v>
          </cell>
          <cell r="E3524" t="str">
            <v>CB</v>
          </cell>
          <cell r="F3524" t="b">
            <v>0</v>
          </cell>
          <cell r="G3524">
            <v>6348.78627254199</v>
          </cell>
          <cell r="H3524">
            <v>4803.99995156348</v>
          </cell>
          <cell r="I3524">
            <v>44</v>
          </cell>
          <cell r="J3524">
            <v>1.4557353303891999E-4</v>
          </cell>
          <cell r="K3524">
            <v>797</v>
          </cell>
          <cell r="L3524">
            <v>1870.2514660595</v>
          </cell>
          <cell r="M3524">
            <v>482</v>
          </cell>
          <cell r="N3524">
            <v>0.32751094837241401</v>
          </cell>
          <cell r="O3524">
            <v>106</v>
          </cell>
          <cell r="P3524">
            <v>0.03</v>
          </cell>
          <cell r="Q3524">
            <v>2238</v>
          </cell>
        </row>
        <row r="3525">
          <cell r="B3525" t="str">
            <v>WILLITS 1104188268</v>
          </cell>
          <cell r="C3525">
            <v>42661104</v>
          </cell>
          <cell r="D3525" t="str">
            <v>WILLITS 1104</v>
          </cell>
          <cell r="E3525">
            <v>188268</v>
          </cell>
          <cell r="F3525" t="b">
            <v>0</v>
          </cell>
          <cell r="G3525">
            <v>8709.5261704281202</v>
          </cell>
          <cell r="H3525">
            <v>6867.49818237201</v>
          </cell>
          <cell r="I3525">
            <v>66</v>
          </cell>
          <cell r="J3525">
            <v>1.3544642200885701E-4</v>
          </cell>
          <cell r="K3525">
            <v>924</v>
          </cell>
          <cell r="L3525">
            <v>756.61992451097296</v>
          </cell>
          <cell r="M3525">
            <v>968</v>
          </cell>
          <cell r="N3525">
            <v>0.12640109538444</v>
          </cell>
          <cell r="O3525">
            <v>617</v>
          </cell>
          <cell r="Q3525">
            <v>2932</v>
          </cell>
        </row>
        <row r="3526">
          <cell r="B3526" t="str">
            <v>WILLITS 110434008</v>
          </cell>
          <cell r="C3526">
            <v>42661104</v>
          </cell>
          <cell r="D3526" t="str">
            <v>WILLITS 1104</v>
          </cell>
          <cell r="E3526">
            <v>34008</v>
          </cell>
          <cell r="F3526" t="b">
            <v>0</v>
          </cell>
          <cell r="G3526">
            <v>36886.240283287203</v>
          </cell>
          <cell r="H3526">
            <v>36886.240283287203</v>
          </cell>
          <cell r="I3526">
            <v>259</v>
          </cell>
          <cell r="J3526">
            <v>1.0264518356495E-4</v>
          </cell>
          <cell r="K3526">
            <v>1580</v>
          </cell>
          <cell r="L3526">
            <v>90.316237199651596</v>
          </cell>
          <cell r="M3526">
            <v>1998</v>
          </cell>
          <cell r="N3526">
            <v>9.4239177086599298E-3</v>
          </cell>
          <cell r="O3526">
            <v>1988</v>
          </cell>
          <cell r="P3526">
            <v>82.16</v>
          </cell>
          <cell r="Q3526">
            <v>46</v>
          </cell>
        </row>
        <row r="3527">
          <cell r="B3527" t="str">
            <v>WILLITS 11044650</v>
          </cell>
          <cell r="C3527">
            <v>42661104</v>
          </cell>
          <cell r="D3527" t="str">
            <v>WILLITS 1104</v>
          </cell>
          <cell r="E3527">
            <v>4650</v>
          </cell>
          <cell r="F3527" t="b">
            <v>0</v>
          </cell>
          <cell r="G3527">
            <v>9890.1610110147103</v>
          </cell>
          <cell r="H3527">
            <v>6190.4879536189901</v>
          </cell>
          <cell r="I3527">
            <v>80</v>
          </cell>
          <cell r="J3527">
            <v>1.14603756469477E-4</v>
          </cell>
          <cell r="K3527">
            <v>1305</v>
          </cell>
          <cell r="L3527">
            <v>915.739750887951</v>
          </cell>
          <cell r="M3527">
            <v>878</v>
          </cell>
          <cell r="N3527">
            <v>0.140071967454416</v>
          </cell>
          <cell r="O3527">
            <v>571</v>
          </cell>
          <cell r="P3527">
            <v>0.03</v>
          </cell>
          <cell r="Q3527">
            <v>2344</v>
          </cell>
        </row>
        <row r="3528">
          <cell r="B3528" t="str">
            <v>WILLITS 1104504</v>
          </cell>
          <cell r="C3528">
            <v>42661104</v>
          </cell>
          <cell r="D3528" t="str">
            <v>WILLITS 1104</v>
          </cell>
          <cell r="E3528">
            <v>504</v>
          </cell>
          <cell r="F3528" t="b">
            <v>0</v>
          </cell>
          <cell r="G3528">
            <v>36253.183214325101</v>
          </cell>
          <cell r="H3528">
            <v>36253.183214325101</v>
          </cell>
          <cell r="I3528">
            <v>205</v>
          </cell>
          <cell r="J3528">
            <v>1.05439939286997E-4</v>
          </cell>
          <cell r="K3528">
            <v>1509</v>
          </cell>
          <cell r="L3528">
            <v>471.811479394846</v>
          </cell>
          <cell r="M3528">
            <v>1221</v>
          </cell>
          <cell r="N3528">
            <v>3.97484005483539E-2</v>
          </cell>
          <cell r="O3528">
            <v>1307</v>
          </cell>
          <cell r="P3528">
            <v>47.4</v>
          </cell>
          <cell r="Q3528">
            <v>133</v>
          </cell>
        </row>
        <row r="3529">
          <cell r="B3529" t="str">
            <v>WILLITS 1104934</v>
          </cell>
          <cell r="C3529">
            <v>42661104</v>
          </cell>
          <cell r="D3529" t="str">
            <v>WILLITS 1104</v>
          </cell>
          <cell r="E3529">
            <v>934</v>
          </cell>
          <cell r="F3529" t="b">
            <v>0</v>
          </cell>
          <cell r="G3529">
            <v>49660.376679686502</v>
          </cell>
          <cell r="H3529">
            <v>49660.376679686502</v>
          </cell>
          <cell r="I3529">
            <v>279</v>
          </cell>
          <cell r="J3529">
            <v>9.37987427767353E-5</v>
          </cell>
          <cell r="K3529">
            <v>1799</v>
          </cell>
          <cell r="L3529">
            <v>1233.6572757092499</v>
          </cell>
          <cell r="M3529">
            <v>711</v>
          </cell>
          <cell r="N3529">
            <v>9.7598860394133097E-2</v>
          </cell>
          <cell r="O3529">
            <v>778</v>
          </cell>
          <cell r="P3529">
            <v>35.78</v>
          </cell>
          <cell r="Q3529">
            <v>211</v>
          </cell>
        </row>
        <row r="3530">
          <cell r="B3530" t="str">
            <v>WILLITS 1104CB</v>
          </cell>
          <cell r="C3530">
            <v>42661104</v>
          </cell>
          <cell r="D3530" t="str">
            <v>WILLITS 1104</v>
          </cell>
          <cell r="E3530" t="str">
            <v>CB</v>
          </cell>
          <cell r="F3530" t="b">
            <v>0</v>
          </cell>
          <cell r="G3530">
            <v>12241.4218278842</v>
          </cell>
          <cell r="H3530">
            <v>6260.0525225538904</v>
          </cell>
          <cell r="I3530">
            <v>90</v>
          </cell>
          <cell r="J3530">
            <v>1.3491416693796001E-4</v>
          </cell>
          <cell r="K3530">
            <v>927</v>
          </cell>
          <cell r="L3530">
            <v>773.60551206597904</v>
          </cell>
          <cell r="M3530">
            <v>956</v>
          </cell>
          <cell r="N3530">
            <v>0.11608596132533899</v>
          </cell>
          <cell r="O3530">
            <v>667</v>
          </cell>
          <cell r="P3530">
            <v>0.03</v>
          </cell>
          <cell r="Q3530">
            <v>2310</v>
          </cell>
        </row>
        <row r="3531">
          <cell r="B3531" t="str">
            <v>WILLOW CREEK 110129362</v>
          </cell>
          <cell r="C3531">
            <v>192171101</v>
          </cell>
          <cell r="D3531" t="str">
            <v>WILLOW CREEK 1101</v>
          </cell>
          <cell r="E3531">
            <v>29362</v>
          </cell>
          <cell r="F3531" t="b">
            <v>0</v>
          </cell>
          <cell r="G3531">
            <v>18377.660247780801</v>
          </cell>
          <cell r="H3531">
            <v>12371.514539522699</v>
          </cell>
          <cell r="I3531">
            <v>74</v>
          </cell>
          <cell r="J3531">
            <v>1.9405545504948699E-4</v>
          </cell>
          <cell r="K3531">
            <v>424</v>
          </cell>
          <cell r="L3531">
            <v>17.409633168890998</v>
          </cell>
          <cell r="M3531">
            <v>2493</v>
          </cell>
          <cell r="N3531">
            <v>2.6559243750207198E-3</v>
          </cell>
          <cell r="O3531">
            <v>2390</v>
          </cell>
          <cell r="P3531">
            <v>0.15</v>
          </cell>
          <cell r="Q3531">
            <v>1302</v>
          </cell>
        </row>
        <row r="3532">
          <cell r="B3532" t="str">
            <v>WILLOW CREEK 11013050</v>
          </cell>
          <cell r="C3532">
            <v>192171101</v>
          </cell>
          <cell r="D3532" t="str">
            <v>WILLOW CREEK 1101</v>
          </cell>
          <cell r="E3532">
            <v>3050</v>
          </cell>
          <cell r="F3532" t="b">
            <v>0</v>
          </cell>
          <cell r="G3532">
            <v>4223.7093733771999</v>
          </cell>
          <cell r="H3532">
            <v>4223.7093733771999</v>
          </cell>
          <cell r="I3532">
            <v>18</v>
          </cell>
          <cell r="J3532">
            <v>1.06884005314592E-4</v>
          </cell>
          <cell r="K3532">
            <v>1481</v>
          </cell>
          <cell r="L3532">
            <v>71.3502432638832</v>
          </cell>
          <cell r="M3532">
            <v>2089</v>
          </cell>
          <cell r="N3532">
            <v>6.9827999462539602E-3</v>
          </cell>
          <cell r="O3532">
            <v>2094</v>
          </cell>
          <cell r="P3532">
            <v>11.06</v>
          </cell>
          <cell r="Q3532">
            <v>389</v>
          </cell>
        </row>
        <row r="3533">
          <cell r="B3533" t="str">
            <v>WILLOW CREEK 11014904</v>
          </cell>
          <cell r="C3533">
            <v>192171101</v>
          </cell>
          <cell r="D3533" t="str">
            <v>WILLOW CREEK 1101</v>
          </cell>
          <cell r="E3533">
            <v>4904</v>
          </cell>
          <cell r="F3533" t="b">
            <v>0</v>
          </cell>
          <cell r="G3533">
            <v>29337.063114857199</v>
          </cell>
          <cell r="H3533">
            <v>29337.063114857199</v>
          </cell>
          <cell r="I3533">
            <v>121</v>
          </cell>
          <cell r="J3533">
            <v>2.3864955657715401E-4</v>
          </cell>
          <cell r="K3533">
            <v>252</v>
          </cell>
          <cell r="L3533">
            <v>61.143411728501903</v>
          </cell>
          <cell r="M3533">
            <v>2146</v>
          </cell>
          <cell r="N3533">
            <v>1.45523690926631E-2</v>
          </cell>
          <cell r="O3533">
            <v>1802</v>
          </cell>
          <cell r="P3533">
            <v>0.44</v>
          </cell>
          <cell r="Q3533">
            <v>925</v>
          </cell>
        </row>
        <row r="3534">
          <cell r="B3534" t="str">
            <v>WILLOW CREEK 11015002</v>
          </cell>
          <cell r="C3534">
            <v>192171101</v>
          </cell>
          <cell r="D3534" t="str">
            <v>WILLOW CREEK 1101</v>
          </cell>
          <cell r="E3534">
            <v>5002</v>
          </cell>
          <cell r="F3534" t="b">
            <v>0</v>
          </cell>
          <cell r="G3534">
            <v>22234.478271468601</v>
          </cell>
          <cell r="H3534">
            <v>21939.724912531299</v>
          </cell>
          <cell r="I3534">
            <v>161</v>
          </cell>
          <cell r="J3534">
            <v>2.9646306720678599E-4</v>
          </cell>
          <cell r="K3534">
            <v>133</v>
          </cell>
          <cell r="L3534">
            <v>37.255588268991197</v>
          </cell>
          <cell r="M3534">
            <v>2295</v>
          </cell>
          <cell r="N3534">
            <v>9.7721364024836808E-3</v>
          </cell>
          <cell r="O3534">
            <v>1968</v>
          </cell>
          <cell r="P3534">
            <v>18.45</v>
          </cell>
          <cell r="Q3534">
            <v>322</v>
          </cell>
        </row>
        <row r="3535">
          <cell r="B3535" t="str">
            <v>WILLOW CREEK 110191926</v>
          </cell>
          <cell r="C3535">
            <v>192171101</v>
          </cell>
          <cell r="D3535" t="str">
            <v>WILLOW CREEK 1101</v>
          </cell>
          <cell r="E3535">
            <v>91926</v>
          </cell>
          <cell r="F3535" t="b">
            <v>0</v>
          </cell>
          <cell r="G3535">
            <v>17004.311272644802</v>
          </cell>
          <cell r="H3535">
            <v>10358.722278371401</v>
          </cell>
          <cell r="I3535">
            <v>48</v>
          </cell>
          <cell r="J3535">
            <v>2.4844544326618198E-4</v>
          </cell>
          <cell r="K3535">
            <v>221</v>
          </cell>
          <cell r="L3535">
            <v>9.79921108940278</v>
          </cell>
          <cell r="M3535">
            <v>2628</v>
          </cell>
          <cell r="N3535">
            <v>2.6935343129796201E-3</v>
          </cell>
          <cell r="O3535">
            <v>2384</v>
          </cell>
          <cell r="P3535">
            <v>0.04</v>
          </cell>
          <cell r="Q3535">
            <v>2095</v>
          </cell>
        </row>
        <row r="3536">
          <cell r="B3536" t="str">
            <v>WILLOW CREEK 1101CB</v>
          </cell>
          <cell r="C3536">
            <v>192171101</v>
          </cell>
          <cell r="D3536" t="str">
            <v>WILLOW CREEK 1101</v>
          </cell>
          <cell r="E3536" t="str">
            <v>CB</v>
          </cell>
          <cell r="F3536" t="b">
            <v>1</v>
          </cell>
          <cell r="G3536">
            <v>460.83643415773201</v>
          </cell>
          <cell r="H3536">
            <v>460.83643415773201</v>
          </cell>
          <cell r="I3536">
            <v>6</v>
          </cell>
          <cell r="J3536">
            <v>6.3458400351616197E-4</v>
          </cell>
          <cell r="K3536">
            <v>14</v>
          </cell>
          <cell r="L3536">
            <v>4.0266433732393896</v>
          </cell>
          <cell r="M3536">
            <v>2776</v>
          </cell>
          <cell r="N3536">
            <v>3.1037410684520701E-3</v>
          </cell>
          <cell r="O3536">
            <v>2339</v>
          </cell>
          <cell r="P3536">
            <v>7.35</v>
          </cell>
          <cell r="Q3536">
            <v>448</v>
          </cell>
        </row>
        <row r="3537">
          <cell r="B3537" t="str">
            <v>WILLOW CREEK 110237374</v>
          </cell>
          <cell r="C3537">
            <v>192171102</v>
          </cell>
          <cell r="D3537" t="str">
            <v>WILLOW CREEK 1102</v>
          </cell>
          <cell r="E3537">
            <v>37374</v>
          </cell>
          <cell r="F3537" t="b">
            <v>0</v>
          </cell>
          <cell r="G3537">
            <v>3616.7474051725799</v>
          </cell>
          <cell r="H3537">
            <v>3616.7474051725799</v>
          </cell>
          <cell r="I3537">
            <v>9</v>
          </cell>
          <cell r="J3537">
            <v>2.4970990165861098E-4</v>
          </cell>
          <cell r="K3537">
            <v>217</v>
          </cell>
          <cell r="L3537">
            <v>652.18128277867095</v>
          </cell>
          <cell r="M3537">
            <v>1060</v>
          </cell>
          <cell r="N3537">
            <v>0.14938031755617601</v>
          </cell>
          <cell r="O3537">
            <v>518</v>
          </cell>
          <cell r="P3537">
            <v>10.97</v>
          </cell>
          <cell r="Q3537">
            <v>392</v>
          </cell>
        </row>
        <row r="3538">
          <cell r="B3538" t="str">
            <v>WILLOW CREEK 1102CB</v>
          </cell>
          <cell r="C3538">
            <v>192171102</v>
          </cell>
          <cell r="D3538" t="str">
            <v>WILLOW CREEK 1102</v>
          </cell>
          <cell r="E3538" t="str">
            <v>CB</v>
          </cell>
          <cell r="F3538" t="b">
            <v>0</v>
          </cell>
          <cell r="G3538">
            <v>11789.423616055299</v>
          </cell>
          <cell r="H3538">
            <v>11789.423616055299</v>
          </cell>
          <cell r="I3538">
            <v>71</v>
          </cell>
          <cell r="J3538">
            <v>2.9553554496731101E-4</v>
          </cell>
          <cell r="K3538">
            <v>134</v>
          </cell>
          <cell r="L3538">
            <v>73.697019747223095</v>
          </cell>
          <cell r="M3538">
            <v>2075</v>
          </cell>
          <cell r="N3538">
            <v>1.7605538832821201E-2</v>
          </cell>
          <cell r="O3538">
            <v>1721</v>
          </cell>
          <cell r="P3538">
            <v>13.84</v>
          </cell>
          <cell r="Q3538">
            <v>360</v>
          </cell>
        </row>
        <row r="3539">
          <cell r="B3539" t="str">
            <v>WILLOW CREEK 1103181562</v>
          </cell>
          <cell r="C3539">
            <v>192171103</v>
          </cell>
          <cell r="D3539" t="str">
            <v>WILLOW CREEK 1103</v>
          </cell>
          <cell r="E3539">
            <v>181562</v>
          </cell>
          <cell r="F3539" t="b">
            <v>1</v>
          </cell>
          <cell r="G3539">
            <v>4.5720071049875397</v>
          </cell>
          <cell r="H3539">
            <v>4.5720071049875397</v>
          </cell>
          <cell r="I3539">
            <v>1</v>
          </cell>
          <cell r="J3539">
            <v>4.8290702397935E-4</v>
          </cell>
          <cell r="K3539">
            <v>37</v>
          </cell>
          <cell r="L3539">
            <v>6.6431758675379496E-2</v>
          </cell>
          <cell r="M3539">
            <v>2996</v>
          </cell>
          <cell r="N3539">
            <v>3.2080362879641901E-5</v>
          </cell>
          <cell r="O3539">
            <v>2925</v>
          </cell>
          <cell r="Q3539">
            <v>3615</v>
          </cell>
        </row>
        <row r="3540">
          <cell r="B3540" t="str">
            <v>WILLOW CREEK 11032936</v>
          </cell>
          <cell r="C3540">
            <v>192171103</v>
          </cell>
          <cell r="D3540" t="str">
            <v>WILLOW CREEK 1103</v>
          </cell>
          <cell r="E3540">
            <v>2936</v>
          </cell>
          <cell r="F3540" t="b">
            <v>0</v>
          </cell>
          <cell r="G3540">
            <v>53378.682928048198</v>
          </cell>
          <cell r="H3540">
            <v>53378.682928048198</v>
          </cell>
          <cell r="I3540">
            <v>249</v>
          </cell>
          <cell r="J3540">
            <v>1.4373004049382201E-4</v>
          </cell>
          <cell r="K3540">
            <v>817</v>
          </cell>
          <cell r="L3540">
            <v>191.38203881365499</v>
          </cell>
          <cell r="M3540">
            <v>1659</v>
          </cell>
          <cell r="N3540">
            <v>2.9512519529810599E-2</v>
          </cell>
          <cell r="O3540">
            <v>1474</v>
          </cell>
          <cell r="P3540">
            <v>0.15</v>
          </cell>
          <cell r="Q3540">
            <v>1299</v>
          </cell>
        </row>
        <row r="3541">
          <cell r="B3541" t="str">
            <v>WILLOW CREEK 11033090</v>
          </cell>
          <cell r="C3541">
            <v>192171103</v>
          </cell>
          <cell r="D3541" t="str">
            <v>WILLOW CREEK 1103</v>
          </cell>
          <cell r="E3541">
            <v>3090</v>
          </cell>
          <cell r="F3541" t="b">
            <v>0</v>
          </cell>
          <cell r="G3541">
            <v>17393.653092428602</v>
          </cell>
          <cell r="H3541">
            <v>17393.653092428602</v>
          </cell>
          <cell r="I3541">
            <v>58</v>
          </cell>
          <cell r="J3541">
            <v>1.8901057176533E-4</v>
          </cell>
          <cell r="K3541">
            <v>447</v>
          </cell>
          <cell r="L3541">
            <v>142.64369961291499</v>
          </cell>
          <cell r="M3541">
            <v>1798</v>
          </cell>
          <cell r="N3541">
            <v>2.3176831287416901E-2</v>
          </cell>
          <cell r="O3541">
            <v>1598</v>
          </cell>
          <cell r="P3541">
            <v>0.06</v>
          </cell>
          <cell r="Q3541">
            <v>1843</v>
          </cell>
        </row>
        <row r="3542">
          <cell r="B3542" t="str">
            <v>WILLOW CREEK 110347966</v>
          </cell>
          <cell r="C3542">
            <v>192171103</v>
          </cell>
          <cell r="D3542" t="str">
            <v>WILLOW CREEK 1103</v>
          </cell>
          <cell r="E3542">
            <v>47966</v>
          </cell>
          <cell r="F3542" t="b">
            <v>0</v>
          </cell>
          <cell r="G3542">
            <v>27271.322236129599</v>
          </cell>
          <cell r="H3542">
            <v>27271.322236129599</v>
          </cell>
          <cell r="I3542">
            <v>167</v>
          </cell>
          <cell r="J3542">
            <v>2.09883272448981E-4</v>
          </cell>
          <cell r="K3542">
            <v>360</v>
          </cell>
          <cell r="L3542">
            <v>215.80454594805701</v>
          </cell>
          <cell r="M3542">
            <v>1610</v>
          </cell>
          <cell r="N3542">
            <v>5.3445349433546202E-2</v>
          </cell>
          <cell r="O3542">
            <v>1139</v>
          </cell>
          <cell r="P3542">
            <v>0.13</v>
          </cell>
          <cell r="Q3542">
            <v>1355</v>
          </cell>
        </row>
        <row r="3543">
          <cell r="B3543" t="str">
            <v>WILLOW CREEK 11035012</v>
          </cell>
          <cell r="C3543">
            <v>192171103</v>
          </cell>
          <cell r="D3543" t="str">
            <v>WILLOW CREEK 1103</v>
          </cell>
          <cell r="E3543">
            <v>5012</v>
          </cell>
          <cell r="F3543" t="b">
            <v>0</v>
          </cell>
          <cell r="G3543">
            <v>17904.062361657499</v>
          </cell>
          <cell r="H3543">
            <v>17904.062361657499</v>
          </cell>
          <cell r="I3543">
            <v>131</v>
          </cell>
          <cell r="J3543">
            <v>2.1566643043535299E-4</v>
          </cell>
          <cell r="K3543">
            <v>337</v>
          </cell>
          <cell r="L3543">
            <v>62.8252072974377</v>
          </cell>
          <cell r="M3543">
            <v>2137</v>
          </cell>
          <cell r="N3543">
            <v>1.40123886483136E-2</v>
          </cell>
          <cell r="O3543">
            <v>1821</v>
          </cell>
          <cell r="P3543">
            <v>0.09</v>
          </cell>
          <cell r="Q3543">
            <v>1569</v>
          </cell>
        </row>
        <row r="3544">
          <cell r="B3544" t="str">
            <v>WILLOW CREEK 11037514</v>
          </cell>
          <cell r="C3544">
            <v>192171103</v>
          </cell>
          <cell r="D3544" t="str">
            <v>WILLOW CREEK 1103</v>
          </cell>
          <cell r="E3544">
            <v>7514</v>
          </cell>
          <cell r="F3544" t="b">
            <v>0</v>
          </cell>
          <cell r="G3544">
            <v>16121.9059984054</v>
          </cell>
          <cell r="H3544">
            <v>14595.717796331301</v>
          </cell>
          <cell r="I3544">
            <v>118</v>
          </cell>
          <cell r="J3544">
            <v>2.5506510454591501E-4</v>
          </cell>
          <cell r="K3544">
            <v>206</v>
          </cell>
          <cell r="L3544">
            <v>51.2832101922953</v>
          </cell>
          <cell r="M3544">
            <v>2206</v>
          </cell>
          <cell r="N3544">
            <v>1.08820220829168E-2</v>
          </cell>
          <cell r="O3544">
            <v>1928</v>
          </cell>
          <cell r="P3544">
            <v>4.42</v>
          </cell>
          <cell r="Q3544">
            <v>519</v>
          </cell>
        </row>
        <row r="3545">
          <cell r="B3545" t="str">
            <v>WILLOW CREEK 1103CB</v>
          </cell>
          <cell r="C3545">
            <v>192171103</v>
          </cell>
          <cell r="D3545" t="str">
            <v>WILLOW CREEK 1103</v>
          </cell>
          <cell r="E3545" t="str">
            <v>CB</v>
          </cell>
          <cell r="F3545" t="b">
            <v>0</v>
          </cell>
          <cell r="G3545">
            <v>6307.2067115364398</v>
          </cell>
          <cell r="H3545">
            <v>6307.2067115364398</v>
          </cell>
          <cell r="I3545">
            <v>54</v>
          </cell>
          <cell r="J3545">
            <v>3.8312143637826701E-4</v>
          </cell>
          <cell r="K3545">
            <v>73</v>
          </cell>
          <cell r="L3545">
            <v>17.667372689689099</v>
          </cell>
          <cell r="M3545">
            <v>2486</v>
          </cell>
          <cell r="N3545">
            <v>4.6670503431762104E-3</v>
          </cell>
          <cell r="O3545">
            <v>2222</v>
          </cell>
          <cell r="P3545">
            <v>0.09</v>
          </cell>
          <cell r="Q3545">
            <v>1518</v>
          </cell>
        </row>
        <row r="3546">
          <cell r="B3546" t="str">
            <v>WILLOW PASS 1101152874</v>
          </cell>
          <cell r="C3546">
            <v>13911101</v>
          </cell>
          <cell r="D3546" t="str">
            <v>WILLOW PASS 1101</v>
          </cell>
          <cell r="E3546">
            <v>152874</v>
          </cell>
          <cell r="F3546" t="b">
            <v>1</v>
          </cell>
          <cell r="G3546">
            <v>1306.34221404756</v>
          </cell>
          <cell r="H3546">
            <v>982.30276744897606</v>
          </cell>
          <cell r="I3546">
            <v>10</v>
          </cell>
          <cell r="J3546">
            <v>6.4919386932160703E-5</v>
          </cell>
          <cell r="K3546">
            <v>2611</v>
          </cell>
          <cell r="L3546">
            <v>2044.3409173482401</v>
          </cell>
          <cell r="M3546">
            <v>446</v>
          </cell>
          <cell r="N3546">
            <v>0.13803120251850101</v>
          </cell>
          <cell r="O3546">
            <v>576</v>
          </cell>
          <cell r="Q3546">
            <v>3483</v>
          </cell>
        </row>
        <row r="3547">
          <cell r="B3547" t="str">
            <v>WILLOW PASS 1101CB</v>
          </cell>
          <cell r="C3547">
            <v>13911101</v>
          </cell>
          <cell r="D3547" t="str">
            <v>WILLOW PASS 1101</v>
          </cell>
          <cell r="E3547" t="str">
            <v>CB</v>
          </cell>
          <cell r="F3547" t="b">
            <v>0</v>
          </cell>
          <cell r="G3547">
            <v>10055.421901236399</v>
          </cell>
          <cell r="H3547">
            <v>1899.3732814973901</v>
          </cell>
          <cell r="I3547">
            <v>75</v>
          </cell>
          <cell r="J3547">
            <v>5.0220213906601E-5</v>
          </cell>
          <cell r="K3547">
            <v>3033</v>
          </cell>
          <cell r="L3547">
            <v>198.63670515986701</v>
          </cell>
          <cell r="M3547">
            <v>1643</v>
          </cell>
          <cell r="N3547">
            <v>2.6552214193360499E-2</v>
          </cell>
          <cell r="O3547">
            <v>1521</v>
          </cell>
          <cell r="P3547">
            <v>0.04</v>
          </cell>
          <cell r="Q3547">
            <v>2084</v>
          </cell>
        </row>
        <row r="3548">
          <cell r="B3548" t="str">
            <v>WILLOW PASS 2107445650</v>
          </cell>
          <cell r="C3548">
            <v>13912107</v>
          </cell>
          <cell r="D3548" t="str">
            <v>WILLOW PASS 2107</v>
          </cell>
          <cell r="E3548">
            <v>445650</v>
          </cell>
          <cell r="F3548" t="b">
            <v>0</v>
          </cell>
          <cell r="G3548">
            <v>1066.4109410645899</v>
          </cell>
          <cell r="H3548">
            <v>1066.4109410645899</v>
          </cell>
          <cell r="I3548">
            <v>5</v>
          </cell>
          <cell r="J3548">
            <v>6.0341341304592699E-5</v>
          </cell>
          <cell r="K3548">
            <v>2764</v>
          </cell>
          <cell r="L3548">
            <v>6011.6510494805398</v>
          </cell>
          <cell r="M3548">
            <v>29</v>
          </cell>
          <cell r="N3548">
            <v>0.36477058141172702</v>
          </cell>
          <cell r="O3548">
            <v>81</v>
          </cell>
          <cell r="Q3548">
            <v>3333</v>
          </cell>
        </row>
        <row r="3549">
          <cell r="B3549" t="str">
            <v>WILLOW PASS 2108CB</v>
          </cell>
          <cell r="C3549">
            <v>13912108</v>
          </cell>
          <cell r="D3549" t="str">
            <v>WILLOW PASS 2108</v>
          </cell>
          <cell r="E3549" t="str">
            <v>CB</v>
          </cell>
          <cell r="F3549" t="b">
            <v>1</v>
          </cell>
          <cell r="G3549">
            <v>14676.669367291601</v>
          </cell>
          <cell r="H3549">
            <v>318.080225899715</v>
          </cell>
          <cell r="I3549">
            <v>91</v>
          </cell>
          <cell r="J3549">
            <v>4.4437873410957302E-5</v>
          </cell>
          <cell r="K3549">
            <v>3177</v>
          </cell>
          <cell r="L3549">
            <v>137.340075025423</v>
          </cell>
          <cell r="M3549">
            <v>1820</v>
          </cell>
          <cell r="N3549">
            <v>9.4638579948466001E-3</v>
          </cell>
          <cell r="O3549">
            <v>1985</v>
          </cell>
          <cell r="Q3549">
            <v>2802</v>
          </cell>
        </row>
        <row r="3550">
          <cell r="B3550" t="str">
            <v>WINDSOR 1103171410</v>
          </cell>
          <cell r="C3550">
            <v>43501103</v>
          </cell>
          <cell r="D3550" t="str">
            <v>WINDSOR 1103</v>
          </cell>
          <cell r="E3550">
            <v>171410</v>
          </cell>
          <cell r="F3550" t="b">
            <v>0</v>
          </cell>
          <cell r="G3550">
            <v>7035.3213895286899</v>
          </cell>
          <cell r="H3550">
            <v>2217.96394079218</v>
          </cell>
          <cell r="I3550">
            <v>40</v>
          </cell>
          <cell r="J3550">
            <v>1.19613465176371E-4</v>
          </cell>
          <cell r="K3550">
            <v>1192</v>
          </cell>
          <cell r="L3550">
            <v>536.05142194793802</v>
          </cell>
          <cell r="M3550">
            <v>1163</v>
          </cell>
          <cell r="N3550">
            <v>5.5603005194019901E-2</v>
          </cell>
          <cell r="O3550">
            <v>1114</v>
          </cell>
          <cell r="Q3550">
            <v>3405</v>
          </cell>
        </row>
        <row r="3551">
          <cell r="B3551" t="str">
            <v>WINDSOR 11035060</v>
          </cell>
          <cell r="C3551">
            <v>43501103</v>
          </cell>
          <cell r="D3551" t="str">
            <v>WINDSOR 1103</v>
          </cell>
          <cell r="E3551">
            <v>5060</v>
          </cell>
          <cell r="F3551" t="b">
            <v>1</v>
          </cell>
          <cell r="G3551">
            <v>1113.3002002093101</v>
          </cell>
          <cell r="H3551">
            <v>291.56378074900601</v>
          </cell>
          <cell r="I3551">
            <v>12</v>
          </cell>
          <cell r="J3551">
            <v>7.5642832750115005E-5</v>
          </cell>
          <cell r="K3551">
            <v>2319</v>
          </cell>
          <cell r="L3551">
            <v>1.3951313345174901</v>
          </cell>
          <cell r="M3551">
            <v>2871</v>
          </cell>
          <cell r="N3551">
            <v>2.2663237653456001E-4</v>
          </cell>
          <cell r="O3551">
            <v>2823</v>
          </cell>
          <cell r="Q3551">
            <v>3502</v>
          </cell>
        </row>
        <row r="3552">
          <cell r="B3552" t="str">
            <v>WINDSOR 1103701650</v>
          </cell>
          <cell r="C3552">
            <v>43501103</v>
          </cell>
          <cell r="D3552" t="str">
            <v>WINDSOR 1103</v>
          </cell>
          <cell r="E3552">
            <v>701650</v>
          </cell>
          <cell r="F3552" t="b">
            <v>0</v>
          </cell>
          <cell r="G3552">
            <v>1191.05621847102</v>
          </cell>
          <cell r="H3552">
            <v>1191.05621847102</v>
          </cell>
          <cell r="I3552">
            <v>12</v>
          </cell>
          <cell r="J3552">
            <v>1.8461978318858499E-4</v>
          </cell>
          <cell r="K3552">
            <v>478</v>
          </cell>
          <cell r="L3552">
            <v>500.03472013007502</v>
          </cell>
          <cell r="M3552">
            <v>1199</v>
          </cell>
          <cell r="N3552">
            <v>0.15159222624273899</v>
          </cell>
          <cell r="O3552">
            <v>511</v>
          </cell>
          <cell r="Q3552">
            <v>3496</v>
          </cell>
        </row>
        <row r="3553">
          <cell r="B3553" t="str">
            <v>WINDSOR 1103CB</v>
          </cell>
          <cell r="C3553">
            <v>43501103</v>
          </cell>
          <cell r="D3553" t="str">
            <v>WINDSOR 1103</v>
          </cell>
          <cell r="E3553" t="str">
            <v>CB</v>
          </cell>
          <cell r="F3553" t="b">
            <v>1</v>
          </cell>
          <cell r="G3553">
            <v>8832.9668055536895</v>
          </cell>
          <cell r="H3553">
            <v>0</v>
          </cell>
          <cell r="I3553">
            <v>64</v>
          </cell>
          <cell r="J3553">
            <v>1.11516202513672E-4</v>
          </cell>
          <cell r="K3553">
            <v>1384</v>
          </cell>
          <cell r="L3553">
            <v>254.86856436233899</v>
          </cell>
          <cell r="M3553">
            <v>1534</v>
          </cell>
          <cell r="N3553">
            <v>2.64575069420547E-2</v>
          </cell>
          <cell r="O3553">
            <v>1524</v>
          </cell>
          <cell r="Q3553">
            <v>3122</v>
          </cell>
        </row>
        <row r="3554">
          <cell r="B3554" t="str">
            <v>WISE 11011404</v>
          </cell>
          <cell r="C3554">
            <v>152271101</v>
          </cell>
          <cell r="D3554" t="str">
            <v>WISE 1101</v>
          </cell>
          <cell r="E3554">
            <v>1404</v>
          </cell>
          <cell r="F3554" t="b">
            <v>0</v>
          </cell>
          <cell r="G3554">
            <v>5740.3583722127696</v>
          </cell>
          <cell r="H3554">
            <v>2402.88908041276</v>
          </cell>
          <cell r="I3554">
            <v>47</v>
          </cell>
          <cell r="J3554">
            <v>1.8820261779028201E-4</v>
          </cell>
          <cell r="K3554">
            <v>452</v>
          </cell>
          <cell r="L3554">
            <v>397.95562300962303</v>
          </cell>
          <cell r="M3554">
            <v>1298</v>
          </cell>
          <cell r="N3554">
            <v>5.7199154755892698E-2</v>
          </cell>
          <cell r="O3554">
            <v>1091</v>
          </cell>
          <cell r="P3554">
            <v>0.03</v>
          </cell>
          <cell r="Q3554">
            <v>2347</v>
          </cell>
        </row>
        <row r="3555">
          <cell r="B3555" t="str">
            <v>WISE 110163199</v>
          </cell>
          <cell r="C3555">
            <v>152271101</v>
          </cell>
          <cell r="D3555" t="str">
            <v>WISE 1101</v>
          </cell>
          <cell r="E3555">
            <v>63199</v>
          </cell>
          <cell r="F3555" t="b">
            <v>1</v>
          </cell>
          <cell r="G3555">
            <v>1501.40824471929</v>
          </cell>
          <cell r="H3555">
            <v>989.41000822206001</v>
          </cell>
          <cell r="I3555">
            <v>8</v>
          </cell>
          <cell r="J3555">
            <v>1.83450683834962E-4</v>
          </cell>
          <cell r="K3555">
            <v>483</v>
          </cell>
          <cell r="L3555">
            <v>115.945354799911</v>
          </cell>
          <cell r="M3555">
            <v>1891</v>
          </cell>
          <cell r="N3555">
            <v>9.9234948614529399E-3</v>
          </cell>
          <cell r="O3555">
            <v>1961</v>
          </cell>
          <cell r="P3555">
            <v>0.04</v>
          </cell>
          <cell r="Q3555">
            <v>2215</v>
          </cell>
        </row>
        <row r="3556">
          <cell r="B3556" t="str">
            <v>WISE 1101CB</v>
          </cell>
          <cell r="C3556">
            <v>152271101</v>
          </cell>
          <cell r="D3556" t="str">
            <v>WISE 1101</v>
          </cell>
          <cell r="E3556" t="str">
            <v>CB</v>
          </cell>
          <cell r="F3556" t="b">
            <v>0</v>
          </cell>
          <cell r="G3556">
            <v>14435.552605156199</v>
          </cell>
          <cell r="H3556">
            <v>7662.7202365815801</v>
          </cell>
          <cell r="I3556">
            <v>112</v>
          </cell>
          <cell r="J3556">
            <v>1.5887398659028101E-4</v>
          </cell>
          <cell r="K3556">
            <v>652</v>
          </cell>
          <cell r="L3556">
            <v>243.32210254699999</v>
          </cell>
          <cell r="M3556">
            <v>1558</v>
          </cell>
          <cell r="N3556">
            <v>3.05613733009861E-2</v>
          </cell>
          <cell r="O3556">
            <v>1453</v>
          </cell>
          <cell r="P3556">
            <v>0.05</v>
          </cell>
          <cell r="Q3556">
            <v>2032</v>
          </cell>
        </row>
        <row r="3557">
          <cell r="B3557" t="str">
            <v>WISE 11022054</v>
          </cell>
          <cell r="C3557">
            <v>152271102</v>
          </cell>
          <cell r="D3557" t="str">
            <v>WISE 1102</v>
          </cell>
          <cell r="E3557">
            <v>2054</v>
          </cell>
          <cell r="F3557" t="b">
            <v>0</v>
          </cell>
          <cell r="G3557">
            <v>20940.0353390282</v>
          </cell>
          <cell r="H3557">
            <v>20940.0353390282</v>
          </cell>
          <cell r="I3557">
            <v>147</v>
          </cell>
          <cell r="J3557">
            <v>1.04289541477741E-4</v>
          </cell>
          <cell r="K3557">
            <v>1544</v>
          </cell>
          <cell r="L3557">
            <v>2815.7077504501199</v>
          </cell>
          <cell r="M3557">
            <v>298</v>
          </cell>
          <cell r="N3557">
            <v>0.23734577822483599</v>
          </cell>
          <cell r="O3557">
            <v>242</v>
          </cell>
          <cell r="P3557">
            <v>3.46</v>
          </cell>
          <cell r="Q3557">
            <v>547</v>
          </cell>
        </row>
        <row r="3558">
          <cell r="B3558" t="str">
            <v>WISE 11022230</v>
          </cell>
          <cell r="C3558">
            <v>152271102</v>
          </cell>
          <cell r="D3558" t="str">
            <v>WISE 1102</v>
          </cell>
          <cell r="E3558">
            <v>2230</v>
          </cell>
          <cell r="F3558" t="b">
            <v>0</v>
          </cell>
          <cell r="G3558">
            <v>40267.111206846297</v>
          </cell>
          <cell r="H3558">
            <v>38210.881907595198</v>
          </cell>
          <cell r="I3558">
            <v>278</v>
          </cell>
          <cell r="J3558">
            <v>9.8822390964087598E-5</v>
          </cell>
          <cell r="K3558">
            <v>1674</v>
          </cell>
          <cell r="L3558">
            <v>3101.6196142748099</v>
          </cell>
          <cell r="M3558">
            <v>254</v>
          </cell>
          <cell r="N3558">
            <v>0.28438322321866299</v>
          </cell>
          <cell r="O3558">
            <v>146</v>
          </cell>
          <cell r="P3558">
            <v>8.7899999999999991</v>
          </cell>
          <cell r="Q3558">
            <v>420</v>
          </cell>
        </row>
        <row r="3559">
          <cell r="B3559" t="str">
            <v>WISE 11022234</v>
          </cell>
          <cell r="C3559">
            <v>152271102</v>
          </cell>
          <cell r="D3559" t="str">
            <v>WISE 1102</v>
          </cell>
          <cell r="E3559">
            <v>2234</v>
          </cell>
          <cell r="F3559" t="b">
            <v>0</v>
          </cell>
          <cell r="G3559">
            <v>24349.991380997901</v>
          </cell>
          <cell r="H3559">
            <v>24349.991380997901</v>
          </cell>
          <cell r="I3559">
            <v>179</v>
          </cell>
          <cell r="J3559">
            <v>8.3357439715701006E-5</v>
          </cell>
          <cell r="K3559">
            <v>2123</v>
          </cell>
          <cell r="L3559">
            <v>2208.9032909986599</v>
          </cell>
          <cell r="M3559">
            <v>401</v>
          </cell>
          <cell r="N3559">
            <v>0.17197763652666401</v>
          </cell>
          <cell r="O3559">
            <v>430</v>
          </cell>
          <cell r="P3559">
            <v>1.04</v>
          </cell>
          <cell r="Q3559">
            <v>723</v>
          </cell>
        </row>
        <row r="3560">
          <cell r="B3560" t="str">
            <v>WISE 1102307494</v>
          </cell>
          <cell r="C3560">
            <v>152271102</v>
          </cell>
          <cell r="D3560" t="str">
            <v>WISE 1102</v>
          </cell>
          <cell r="E3560">
            <v>307494</v>
          </cell>
          <cell r="F3560" t="b">
            <v>0</v>
          </cell>
          <cell r="G3560">
            <v>54418.632482554298</v>
          </cell>
          <cell r="H3560">
            <v>49958.747719305698</v>
          </cell>
          <cell r="I3560">
            <v>279</v>
          </cell>
          <cell r="J3560">
            <v>7.0522181849942101E-5</v>
          </cell>
          <cell r="K3560">
            <v>2454</v>
          </cell>
          <cell r="L3560">
            <v>2167.8038315204599</v>
          </cell>
          <cell r="M3560">
            <v>409</v>
          </cell>
          <cell r="N3560">
            <v>0.14840927246834301</v>
          </cell>
          <cell r="O3560">
            <v>528</v>
          </cell>
          <cell r="P3560">
            <v>3.66</v>
          </cell>
          <cell r="Q3560">
            <v>537</v>
          </cell>
        </row>
        <row r="3561">
          <cell r="B3561" t="str">
            <v>WISE 1102465074</v>
          </cell>
          <cell r="C3561">
            <v>152271102</v>
          </cell>
          <cell r="D3561" t="str">
            <v>WISE 1102</v>
          </cell>
          <cell r="E3561">
            <v>465074</v>
          </cell>
          <cell r="F3561" t="b">
            <v>0</v>
          </cell>
          <cell r="G3561">
            <v>7662.1854941412003</v>
          </cell>
          <cell r="H3561">
            <v>7662.1854941412003</v>
          </cell>
          <cell r="I3561">
            <v>57</v>
          </cell>
          <cell r="J3561">
            <v>1.32376517796186E-4</v>
          </cell>
          <cell r="K3561">
            <v>976</v>
          </cell>
          <cell r="L3561">
            <v>95.130367016867098</v>
          </cell>
          <cell r="M3561">
            <v>1981</v>
          </cell>
          <cell r="N3561">
            <v>1.24947478805486E-2</v>
          </cell>
          <cell r="O3561">
            <v>1866</v>
          </cell>
          <cell r="Q3561">
            <v>2986</v>
          </cell>
        </row>
        <row r="3562">
          <cell r="B3562" t="str">
            <v>WISE 1102697216</v>
          </cell>
          <cell r="C3562">
            <v>152271102</v>
          </cell>
          <cell r="D3562" t="str">
            <v>WISE 1102</v>
          </cell>
          <cell r="E3562">
            <v>697216</v>
          </cell>
          <cell r="F3562" t="b">
            <v>0</v>
          </cell>
          <cell r="G3562">
            <v>21374.284225315401</v>
          </cell>
          <cell r="H3562">
            <v>21374.284225315401</v>
          </cell>
          <cell r="I3562">
            <v>145</v>
          </cell>
          <cell r="J3562">
            <v>8.8971347991148293E-5</v>
          </cell>
          <cell r="K3562">
            <v>1951</v>
          </cell>
          <cell r="L3562">
            <v>1998.7246986934799</v>
          </cell>
          <cell r="M3562">
            <v>456</v>
          </cell>
          <cell r="N3562">
            <v>0.189915622618435</v>
          </cell>
          <cell r="O3562">
            <v>370</v>
          </cell>
          <cell r="P3562">
            <v>1.72</v>
          </cell>
          <cell r="Q3562">
            <v>648</v>
          </cell>
        </row>
        <row r="3563">
          <cell r="B3563" t="str">
            <v>WISE 1102CB</v>
          </cell>
          <cell r="C3563">
            <v>152271102</v>
          </cell>
          <cell r="D3563" t="str">
            <v>WISE 1102</v>
          </cell>
          <cell r="E3563" t="str">
            <v>CB</v>
          </cell>
          <cell r="F3563" t="b">
            <v>0</v>
          </cell>
          <cell r="G3563">
            <v>23260.434980873801</v>
          </cell>
          <cell r="H3563">
            <v>22633.240123227301</v>
          </cell>
          <cell r="I3563">
            <v>177</v>
          </cell>
          <cell r="J3563">
            <v>1.4208589981931199E-4</v>
          </cell>
          <cell r="K3563">
            <v>838</v>
          </cell>
          <cell r="L3563">
            <v>392.54660442641801</v>
          </cell>
          <cell r="M3563">
            <v>1305</v>
          </cell>
          <cell r="N3563">
            <v>4.14423504051009E-2</v>
          </cell>
          <cell r="O3563">
            <v>1283</v>
          </cell>
          <cell r="P3563">
            <v>0.11</v>
          </cell>
          <cell r="Q3563">
            <v>1427</v>
          </cell>
        </row>
        <row r="3564">
          <cell r="B3564" t="str">
            <v>WISHON 1101CB</v>
          </cell>
          <cell r="C3564">
            <v>251511101</v>
          </cell>
          <cell r="D3564" t="str">
            <v>WISHON 1101</v>
          </cell>
          <cell r="E3564" t="str">
            <v>CB</v>
          </cell>
          <cell r="F3564" t="b">
            <v>0</v>
          </cell>
          <cell r="G3564">
            <v>12293.528275554199</v>
          </cell>
          <cell r="H3564">
            <v>12293.528275554199</v>
          </cell>
          <cell r="I3564">
            <v>36</v>
          </cell>
          <cell r="J3564">
            <v>4.9464786960535399E-5</v>
          </cell>
          <cell r="K3564">
            <v>3052</v>
          </cell>
          <cell r="L3564">
            <v>3520.3688743942298</v>
          </cell>
          <cell r="M3564">
            <v>199</v>
          </cell>
          <cell r="N3564">
            <v>0.193983182044205</v>
          </cell>
          <cell r="O3564">
            <v>353</v>
          </cell>
          <cell r="P3564">
            <v>0.13</v>
          </cell>
          <cell r="Q3564">
            <v>1346</v>
          </cell>
        </row>
        <row r="3565">
          <cell r="B3565" t="str">
            <v>WOOD 0401265211</v>
          </cell>
          <cell r="C3565">
            <v>13380401</v>
          </cell>
          <cell r="D3565" t="str">
            <v>WOOD 0401</v>
          </cell>
          <cell r="E3565">
            <v>265211</v>
          </cell>
          <cell r="F3565" t="b">
            <v>1</v>
          </cell>
          <cell r="G3565">
            <v>282.19499398411801</v>
          </cell>
          <cell r="H3565">
            <v>238.16934169154601</v>
          </cell>
          <cell r="I3565">
            <v>4</v>
          </cell>
          <cell r="J3565">
            <v>6.2639474890602206E-5</v>
          </cell>
          <cell r="K3565">
            <v>2696</v>
          </cell>
          <cell r="L3565">
            <v>6.5789449959993307E-2</v>
          </cell>
          <cell r="M3565">
            <v>3282</v>
          </cell>
          <cell r="N3565">
            <v>4.1276238120829699E-6</v>
          </cell>
          <cell r="O3565">
            <v>3330</v>
          </cell>
          <cell r="Q3565">
            <v>3146</v>
          </cell>
        </row>
        <row r="3566">
          <cell r="B3566" t="str">
            <v>WOOD 0401880795</v>
          </cell>
          <cell r="C3566">
            <v>13380401</v>
          </cell>
          <cell r="D3566" t="str">
            <v>WOOD 0401</v>
          </cell>
          <cell r="E3566">
            <v>880795</v>
          </cell>
          <cell r="F3566" t="b">
            <v>1</v>
          </cell>
          <cell r="G3566">
            <v>506.00771869909101</v>
          </cell>
          <cell r="H3566">
            <v>163.975201228332</v>
          </cell>
          <cell r="I3566">
            <v>6</v>
          </cell>
          <cell r="J3566">
            <v>4.2077217949554302E-5</v>
          </cell>
          <cell r="K3566">
            <v>3222</v>
          </cell>
          <cell r="L3566">
            <v>6.5146990120410905E-2</v>
          </cell>
          <cell r="M3566">
            <v>3611</v>
          </cell>
          <cell r="N3566">
            <v>2.7412041020539898E-6</v>
          </cell>
          <cell r="O3566">
            <v>3437</v>
          </cell>
          <cell r="Q3566">
            <v>3277</v>
          </cell>
        </row>
        <row r="3567">
          <cell r="B3567" t="str">
            <v>WOODACRE 11011238</v>
          </cell>
          <cell r="C3567">
            <v>43021101</v>
          </cell>
          <cell r="D3567" t="str">
            <v>WOODACRE 1101</v>
          </cell>
          <cell r="E3567">
            <v>1238</v>
          </cell>
          <cell r="F3567" t="b">
            <v>0</v>
          </cell>
          <cell r="G3567">
            <v>5923.81616330002</v>
          </cell>
          <cell r="H3567">
            <v>5923.81616330002</v>
          </cell>
          <cell r="I3567">
            <v>30</v>
          </cell>
          <cell r="J3567">
            <v>2.6271852427804502E-4</v>
          </cell>
          <cell r="K3567">
            <v>189</v>
          </cell>
          <cell r="L3567">
            <v>9.5821174509757405</v>
          </cell>
          <cell r="M3567">
            <v>2630</v>
          </cell>
          <cell r="N3567">
            <v>4.5330422369404801E-4</v>
          </cell>
          <cell r="O3567">
            <v>2747</v>
          </cell>
          <cell r="P3567">
            <v>62.35</v>
          </cell>
          <cell r="Q3567">
            <v>85</v>
          </cell>
        </row>
        <row r="3568">
          <cell r="B3568" t="str">
            <v>WOODACRE 11011456</v>
          </cell>
          <cell r="C3568">
            <v>43021101</v>
          </cell>
          <cell r="D3568" t="str">
            <v>WOODACRE 1101</v>
          </cell>
          <cell r="E3568">
            <v>1456</v>
          </cell>
          <cell r="F3568" t="b">
            <v>0</v>
          </cell>
          <cell r="G3568">
            <v>6155.4626700775598</v>
          </cell>
          <cell r="H3568">
            <v>6155.4626700775598</v>
          </cell>
          <cell r="I3568">
            <v>46</v>
          </cell>
          <cell r="J3568">
            <v>2.4151953434541201E-4</v>
          </cell>
          <cell r="K3568">
            <v>242</v>
          </cell>
          <cell r="L3568">
            <v>701.60044814851699</v>
          </cell>
          <cell r="M3568">
            <v>1021</v>
          </cell>
          <cell r="N3568">
            <v>0.15595540914349701</v>
          </cell>
          <cell r="O3568">
            <v>487</v>
          </cell>
          <cell r="P3568">
            <v>25.79</v>
          </cell>
          <cell r="Q3568">
            <v>270</v>
          </cell>
        </row>
        <row r="3569">
          <cell r="B3569" t="str">
            <v>WOODACRE 1101404</v>
          </cell>
          <cell r="C3569">
            <v>43021101</v>
          </cell>
          <cell r="D3569" t="str">
            <v>WOODACRE 1101</v>
          </cell>
          <cell r="E3569">
            <v>404</v>
          </cell>
          <cell r="F3569" t="b">
            <v>0</v>
          </cell>
          <cell r="G3569">
            <v>19975.0809530486</v>
          </cell>
          <cell r="H3569">
            <v>19975.0809530486</v>
          </cell>
          <cell r="I3569">
            <v>152</v>
          </cell>
          <cell r="J3569">
            <v>1.8515060415474601E-4</v>
          </cell>
          <cell r="K3569">
            <v>471</v>
          </cell>
          <cell r="L3569">
            <v>26.361113985728</v>
          </cell>
          <cell r="M3569">
            <v>2372</v>
          </cell>
          <cell r="N3569">
            <v>5.3668484660756603E-3</v>
          </cell>
          <cell r="O3569">
            <v>2189</v>
          </cell>
          <cell r="P3569">
            <v>92.58</v>
          </cell>
          <cell r="Q3569">
            <v>29</v>
          </cell>
        </row>
        <row r="3570">
          <cell r="B3570" t="str">
            <v>WOODACRE 110191900</v>
          </cell>
          <cell r="C3570">
            <v>43021101</v>
          </cell>
          <cell r="D3570" t="str">
            <v>WOODACRE 1101</v>
          </cell>
          <cell r="E3570">
            <v>91900</v>
          </cell>
          <cell r="F3570" t="b">
            <v>0</v>
          </cell>
          <cell r="G3570">
            <v>22248.603541659599</v>
          </cell>
          <cell r="H3570">
            <v>14519.294037662299</v>
          </cell>
          <cell r="I3570">
            <v>91</v>
          </cell>
          <cell r="J3570">
            <v>1.28850121481253E-4</v>
          </cell>
          <cell r="K3570">
            <v>1031</v>
          </cell>
          <cell r="L3570">
            <v>1012.54405897931</v>
          </cell>
          <cell r="M3570">
            <v>824</v>
          </cell>
          <cell r="N3570">
            <v>0.11490786275970501</v>
          </cell>
          <cell r="O3570">
            <v>673</v>
          </cell>
          <cell r="P3570">
            <v>1.72</v>
          </cell>
          <cell r="Q3570">
            <v>650</v>
          </cell>
        </row>
        <row r="3571">
          <cell r="B3571" t="str">
            <v>WOODACRE 110196844</v>
          </cell>
          <cell r="C3571">
            <v>43021101</v>
          </cell>
          <cell r="D3571" t="str">
            <v>WOODACRE 1101</v>
          </cell>
          <cell r="E3571">
            <v>96844</v>
          </cell>
          <cell r="F3571" t="b">
            <v>0</v>
          </cell>
          <cell r="G3571">
            <v>9556.2940813121204</v>
          </cell>
          <cell r="H3571">
            <v>9556.2940813121204</v>
          </cell>
          <cell r="I3571">
            <v>63</v>
          </cell>
          <cell r="J3571">
            <v>2.3551870889071001E-4</v>
          </cell>
          <cell r="K3571">
            <v>260</v>
          </cell>
          <cell r="L3571">
            <v>862.59468657367404</v>
          </cell>
          <cell r="M3571">
            <v>906</v>
          </cell>
          <cell r="N3571">
            <v>0.19880797832368399</v>
          </cell>
          <cell r="O3571">
            <v>331</v>
          </cell>
          <cell r="P3571">
            <v>46.48</v>
          </cell>
          <cell r="Q3571">
            <v>142</v>
          </cell>
        </row>
        <row r="3572">
          <cell r="B3572" t="str">
            <v>WOODACRE 1101CB</v>
          </cell>
          <cell r="C3572">
            <v>43021101</v>
          </cell>
          <cell r="D3572" t="str">
            <v>WOODACRE 1101</v>
          </cell>
          <cell r="E3572" t="str">
            <v>CB</v>
          </cell>
          <cell r="F3572" t="b">
            <v>0</v>
          </cell>
          <cell r="G3572">
            <v>4540.4380060989397</v>
          </cell>
          <cell r="H3572">
            <v>4454.6417104965603</v>
          </cell>
          <cell r="I3572">
            <v>35</v>
          </cell>
          <cell r="J3572">
            <v>1.9479150713388099E-4</v>
          </cell>
          <cell r="K3572">
            <v>417</v>
          </cell>
          <cell r="L3572">
            <v>248.76502385203599</v>
          </cell>
          <cell r="M3572">
            <v>1543</v>
          </cell>
          <cell r="N3572">
            <v>5.6507984019697997E-2</v>
          </cell>
          <cell r="O3572">
            <v>1102</v>
          </cell>
          <cell r="P3572">
            <v>0.3</v>
          </cell>
          <cell r="Q3572">
            <v>1017</v>
          </cell>
        </row>
        <row r="3573">
          <cell r="B3573" t="str">
            <v>WOODACRE 11021280</v>
          </cell>
          <cell r="C3573">
            <v>43021102</v>
          </cell>
          <cell r="D3573" t="str">
            <v>WOODACRE 1102</v>
          </cell>
          <cell r="E3573">
            <v>1280</v>
          </cell>
          <cell r="F3573" t="b">
            <v>0</v>
          </cell>
          <cell r="G3573">
            <v>13974.646587917599</v>
          </cell>
          <cell r="H3573">
            <v>13812.8360259295</v>
          </cell>
          <cell r="I3573">
            <v>111</v>
          </cell>
          <cell r="J3573">
            <v>1.5948664499651201E-4</v>
          </cell>
          <cell r="K3573">
            <v>648</v>
          </cell>
          <cell r="L3573">
            <v>83.406494988401803</v>
          </cell>
          <cell r="M3573">
            <v>2034</v>
          </cell>
          <cell r="N3573">
            <v>1.01088680594883E-2</v>
          </cell>
          <cell r="O3573">
            <v>1955</v>
          </cell>
          <cell r="P3573">
            <v>0.14000000000000001</v>
          </cell>
          <cell r="Q3573">
            <v>1310</v>
          </cell>
        </row>
        <row r="3574">
          <cell r="B3574" t="str">
            <v>WOODACRE 1102137662</v>
          </cell>
          <cell r="C3574">
            <v>43021102</v>
          </cell>
          <cell r="D3574" t="str">
            <v>WOODACRE 1102</v>
          </cell>
          <cell r="E3574">
            <v>137662</v>
          </cell>
          <cell r="F3574" t="b">
            <v>0</v>
          </cell>
          <cell r="G3574">
            <v>13866.490212512101</v>
          </cell>
          <cell r="H3574">
            <v>13813.2405309315</v>
          </cell>
          <cell r="I3574">
            <v>104</v>
          </cell>
          <cell r="J3574">
            <v>1.4440600099218301E-4</v>
          </cell>
          <cell r="K3574">
            <v>806</v>
          </cell>
          <cell r="L3574">
            <v>94.004309446694506</v>
          </cell>
          <cell r="M3574">
            <v>1985</v>
          </cell>
          <cell r="N3574">
            <v>7.1840857930150397E-3</v>
          </cell>
          <cell r="O3574">
            <v>2086</v>
          </cell>
          <cell r="P3574">
            <v>0.76</v>
          </cell>
          <cell r="Q3574">
            <v>786</v>
          </cell>
        </row>
        <row r="3575">
          <cell r="B3575" t="str">
            <v>WOODACRE 1102851</v>
          </cell>
          <cell r="C3575">
            <v>43021102</v>
          </cell>
          <cell r="D3575" t="str">
            <v>WOODACRE 1102</v>
          </cell>
          <cell r="E3575">
            <v>851</v>
          </cell>
          <cell r="F3575" t="b">
            <v>0</v>
          </cell>
          <cell r="G3575">
            <v>2029.0983527403901</v>
          </cell>
          <cell r="H3575">
            <v>2029.0983527403901</v>
          </cell>
          <cell r="I3575">
            <v>14</v>
          </cell>
          <cell r="J3575">
            <v>1.41462833718313E-4</v>
          </cell>
          <cell r="K3575">
            <v>845</v>
          </cell>
          <cell r="L3575">
            <v>190.42285540709099</v>
          </cell>
          <cell r="M3575">
            <v>1662</v>
          </cell>
          <cell r="N3575">
            <v>2.04156728605242E-2</v>
          </cell>
          <cell r="O3575">
            <v>1663</v>
          </cell>
          <cell r="P3575">
            <v>44.15</v>
          </cell>
          <cell r="Q3575">
            <v>161</v>
          </cell>
        </row>
        <row r="3576">
          <cell r="B3576" t="str">
            <v>WOODACRE 1102CB</v>
          </cell>
          <cell r="C3576">
            <v>43021102</v>
          </cell>
          <cell r="D3576" t="str">
            <v>WOODACRE 1102</v>
          </cell>
          <cell r="E3576" t="str">
            <v>CB</v>
          </cell>
          <cell r="F3576" t="b">
            <v>0</v>
          </cell>
          <cell r="G3576">
            <v>20142.545602669601</v>
          </cell>
          <cell r="H3576">
            <v>20085.8093446846</v>
          </cell>
          <cell r="I3576">
            <v>141</v>
          </cell>
          <cell r="J3576">
            <v>1.58507951219683E-4</v>
          </cell>
          <cell r="K3576">
            <v>658</v>
          </cell>
          <cell r="L3576">
            <v>382.20188508956198</v>
          </cell>
          <cell r="M3576">
            <v>1316</v>
          </cell>
          <cell r="N3576">
            <v>5.7543215991290503E-2</v>
          </cell>
          <cell r="O3576">
            <v>1084</v>
          </cell>
          <cell r="P3576">
            <v>0.64</v>
          </cell>
          <cell r="Q3576">
            <v>827</v>
          </cell>
        </row>
        <row r="3577">
          <cell r="B3577" t="str">
            <v>WOODSIDE 11011922</v>
          </cell>
          <cell r="C3577">
            <v>24251101</v>
          </cell>
          <cell r="D3577" t="str">
            <v>WOODSIDE 1101</v>
          </cell>
          <cell r="E3577">
            <v>1922</v>
          </cell>
          <cell r="F3577" t="b">
            <v>0</v>
          </cell>
          <cell r="G3577">
            <v>7694.4261000422102</v>
          </cell>
          <cell r="H3577">
            <v>7391.7604317507903</v>
          </cell>
          <cell r="I3577">
            <v>70</v>
          </cell>
          <cell r="J3577">
            <v>1.90919755758451E-4</v>
          </cell>
          <cell r="K3577">
            <v>438</v>
          </cell>
          <cell r="L3577">
            <v>30.275525488492399</v>
          </cell>
          <cell r="M3577">
            <v>2341</v>
          </cell>
          <cell r="N3577">
            <v>4.5879749377369201E-3</v>
          </cell>
          <cell r="O3577">
            <v>2226</v>
          </cell>
          <cell r="P3577">
            <v>17.29</v>
          </cell>
          <cell r="Q3577">
            <v>334</v>
          </cell>
        </row>
        <row r="3578">
          <cell r="B3578" t="str">
            <v>WOODSIDE 11012299</v>
          </cell>
          <cell r="C3578">
            <v>24251101</v>
          </cell>
          <cell r="D3578" t="str">
            <v>WOODSIDE 1101</v>
          </cell>
          <cell r="E3578">
            <v>2299</v>
          </cell>
          <cell r="F3578" t="b">
            <v>0</v>
          </cell>
          <cell r="G3578">
            <v>2927.8178504911798</v>
          </cell>
          <cell r="H3578">
            <v>2927.8178504911798</v>
          </cell>
          <cell r="I3578">
            <v>25</v>
          </cell>
          <cell r="J3578">
            <v>1.6866407328052399E-4</v>
          </cell>
          <cell r="K3578">
            <v>570</v>
          </cell>
          <cell r="L3578">
            <v>6.63801623993346E-2</v>
          </cell>
          <cell r="M3578">
            <v>3127</v>
          </cell>
          <cell r="N3578">
            <v>1.1198450492448101E-5</v>
          </cell>
          <cell r="O3578">
            <v>3048</v>
          </cell>
          <cell r="P3578">
            <v>3.04</v>
          </cell>
          <cell r="Q3578">
            <v>566</v>
          </cell>
        </row>
        <row r="3579">
          <cell r="B3579" t="str">
            <v>WOODSIDE 110147872</v>
          </cell>
          <cell r="C3579">
            <v>24251101</v>
          </cell>
          <cell r="D3579" t="str">
            <v>WOODSIDE 1101</v>
          </cell>
          <cell r="E3579">
            <v>47872</v>
          </cell>
          <cell r="F3579" t="b">
            <v>0</v>
          </cell>
          <cell r="G3579">
            <v>6709.5897236866804</v>
          </cell>
          <cell r="H3579">
            <v>6709.5897236866804</v>
          </cell>
          <cell r="I3579">
            <v>52</v>
          </cell>
          <cell r="J3579">
            <v>1.73375110954601E-4</v>
          </cell>
          <cell r="K3579">
            <v>538</v>
          </cell>
          <cell r="L3579">
            <v>451.279882014637</v>
          </cell>
          <cell r="M3579">
            <v>1248</v>
          </cell>
          <cell r="N3579">
            <v>8.8421560900076301E-2</v>
          </cell>
          <cell r="O3579">
            <v>836</v>
          </cell>
          <cell r="P3579">
            <v>1.21</v>
          </cell>
          <cell r="Q3579">
            <v>701</v>
          </cell>
        </row>
        <row r="3580">
          <cell r="B3580" t="str">
            <v>WOODSIDE 11018522</v>
          </cell>
          <cell r="C3580">
            <v>24251101</v>
          </cell>
          <cell r="D3580" t="str">
            <v>WOODSIDE 1101</v>
          </cell>
          <cell r="E3580">
            <v>8522</v>
          </cell>
          <cell r="F3580" t="b">
            <v>0</v>
          </cell>
          <cell r="G3580">
            <v>15153.837702239</v>
          </cell>
          <cell r="H3580">
            <v>3071.20079215845</v>
          </cell>
          <cell r="I3580">
            <v>123</v>
          </cell>
          <cell r="J3580">
            <v>1.68398290797329E-4</v>
          </cell>
          <cell r="K3580">
            <v>573</v>
          </cell>
          <cell r="L3580">
            <v>8.4902979712007998</v>
          </cell>
          <cell r="M3580">
            <v>2656</v>
          </cell>
          <cell r="N3580">
            <v>1.20592750303477E-3</v>
          </cell>
          <cell r="O3580">
            <v>2596</v>
          </cell>
          <cell r="P3580">
            <v>0.11</v>
          </cell>
          <cell r="Q3580">
            <v>1425</v>
          </cell>
        </row>
        <row r="3581">
          <cell r="B3581" t="str">
            <v>WOODSIDE 11018601</v>
          </cell>
          <cell r="C3581">
            <v>24251101</v>
          </cell>
          <cell r="D3581" t="str">
            <v>WOODSIDE 1101</v>
          </cell>
          <cell r="E3581">
            <v>8601</v>
          </cell>
          <cell r="F3581" t="b">
            <v>1</v>
          </cell>
          <cell r="G3581">
            <v>961.63100032609395</v>
          </cell>
          <cell r="H3581">
            <v>961.63100032609395</v>
          </cell>
          <cell r="I3581">
            <v>9</v>
          </cell>
          <cell r="J3581">
            <v>1.5445581569413901E-4</v>
          </cell>
          <cell r="K3581">
            <v>700</v>
          </cell>
          <cell r="L3581">
            <v>60.817449816897103</v>
          </cell>
          <cell r="M3581">
            <v>2150</v>
          </cell>
          <cell r="N3581">
            <v>6.7792332448386797E-3</v>
          </cell>
          <cell r="O3581">
            <v>2103</v>
          </cell>
          <cell r="P3581">
            <v>35.86</v>
          </cell>
          <cell r="Q3581">
            <v>209</v>
          </cell>
        </row>
        <row r="3582">
          <cell r="B3582" t="str">
            <v>WOODSIDE 11018884</v>
          </cell>
          <cell r="C3582">
            <v>24251101</v>
          </cell>
          <cell r="D3582" t="str">
            <v>WOODSIDE 1101</v>
          </cell>
          <cell r="E3582">
            <v>8884</v>
          </cell>
          <cell r="F3582" t="b">
            <v>0</v>
          </cell>
          <cell r="G3582">
            <v>12033.5668557561</v>
          </cell>
          <cell r="H3582">
            <v>12033.5668557561</v>
          </cell>
          <cell r="I3582">
            <v>74</v>
          </cell>
          <cell r="J3582">
            <v>1.7464210710337199E-4</v>
          </cell>
          <cell r="K3582">
            <v>530</v>
          </cell>
          <cell r="L3582">
            <v>305.57052126333099</v>
          </cell>
          <cell r="M3582">
            <v>1438</v>
          </cell>
          <cell r="N3582">
            <v>5.2784823713057302E-2</v>
          </cell>
          <cell r="O3582">
            <v>1148</v>
          </cell>
          <cell r="P3582">
            <v>48.31</v>
          </cell>
          <cell r="Q3582">
            <v>129</v>
          </cell>
        </row>
        <row r="3583">
          <cell r="B3583" t="str">
            <v>WOODSIDE 11018912</v>
          </cell>
          <cell r="C3583">
            <v>24251101</v>
          </cell>
          <cell r="D3583" t="str">
            <v>WOODSIDE 1101</v>
          </cell>
          <cell r="E3583">
            <v>8912</v>
          </cell>
          <cell r="F3583" t="b">
            <v>0</v>
          </cell>
          <cell r="G3583">
            <v>6310.9140649278097</v>
          </cell>
          <cell r="H3583">
            <v>6268.7877059695502</v>
          </cell>
          <cell r="I3583">
            <v>52</v>
          </cell>
          <cell r="J3583">
            <v>2.0500316910043899E-4</v>
          </cell>
          <cell r="K3583">
            <v>381</v>
          </cell>
          <cell r="L3583">
            <v>25.8095638321258</v>
          </cell>
          <cell r="M3583">
            <v>2383</v>
          </cell>
          <cell r="N3583">
            <v>5.6974400924489398E-3</v>
          </cell>
          <cell r="O3583">
            <v>2169</v>
          </cell>
          <cell r="P3583">
            <v>26.71</v>
          </cell>
          <cell r="Q3583">
            <v>266</v>
          </cell>
        </row>
        <row r="3584">
          <cell r="B3584" t="str">
            <v>WOODSIDE 11018972</v>
          </cell>
          <cell r="C3584">
            <v>24251101</v>
          </cell>
          <cell r="D3584" t="str">
            <v>WOODSIDE 1101</v>
          </cell>
          <cell r="E3584">
            <v>8972</v>
          </cell>
          <cell r="F3584" t="b">
            <v>0</v>
          </cell>
          <cell r="G3584">
            <v>10000.1576712857</v>
          </cell>
          <cell r="H3584">
            <v>10000.1576712857</v>
          </cell>
          <cell r="I3584">
            <v>60</v>
          </cell>
          <cell r="J3584">
            <v>1.5146455765109999E-4</v>
          </cell>
          <cell r="K3584">
            <v>726</v>
          </cell>
          <cell r="L3584">
            <v>262.39516896613799</v>
          </cell>
          <cell r="M3584">
            <v>1516</v>
          </cell>
          <cell r="N3584">
            <v>3.4933205350869002E-2</v>
          </cell>
          <cell r="O3584">
            <v>1376</v>
          </cell>
          <cell r="P3584">
            <v>24.19</v>
          </cell>
          <cell r="Q3584">
            <v>280</v>
          </cell>
        </row>
        <row r="3585">
          <cell r="B3585" t="str">
            <v>WOODSIDE 11018974</v>
          </cell>
          <cell r="C3585">
            <v>24251101</v>
          </cell>
          <cell r="D3585" t="str">
            <v>WOODSIDE 1101</v>
          </cell>
          <cell r="E3585">
            <v>8974</v>
          </cell>
          <cell r="F3585" t="b">
            <v>0</v>
          </cell>
          <cell r="G3585">
            <v>21278.669062495501</v>
          </cell>
          <cell r="H3585">
            <v>21278.669062495501</v>
          </cell>
          <cell r="I3585">
            <v>149</v>
          </cell>
          <cell r="J3585">
            <v>2.0533573527874299E-4</v>
          </cell>
          <cell r="K3585">
            <v>378</v>
          </cell>
          <cell r="L3585">
            <v>324.74163876319699</v>
          </cell>
          <cell r="M3585">
            <v>1406</v>
          </cell>
          <cell r="N3585">
            <v>5.2990281156859602E-2</v>
          </cell>
          <cell r="O3585">
            <v>1145</v>
          </cell>
          <cell r="P3585">
            <v>76.03</v>
          </cell>
          <cell r="Q3585">
            <v>55</v>
          </cell>
        </row>
        <row r="3586">
          <cell r="B3586" t="str">
            <v>WOODSIDE 1101CB</v>
          </cell>
          <cell r="C3586">
            <v>24251101</v>
          </cell>
          <cell r="D3586" t="str">
            <v>WOODSIDE 1101</v>
          </cell>
          <cell r="E3586" t="str">
            <v>CB</v>
          </cell>
          <cell r="F3586" t="b">
            <v>1</v>
          </cell>
          <cell r="G3586">
            <v>6762.3674285632296</v>
          </cell>
          <cell r="H3586">
            <v>0</v>
          </cell>
          <cell r="I3586">
            <v>59</v>
          </cell>
          <cell r="J3586">
            <v>2.3707571619587599E-4</v>
          </cell>
          <cell r="K3586">
            <v>256</v>
          </cell>
          <cell r="L3586">
            <v>6.5168768420057699E-2</v>
          </cell>
          <cell r="M3586">
            <v>3547</v>
          </cell>
          <cell r="N3586">
            <v>1.54496744868791E-5</v>
          </cell>
          <cell r="O3586">
            <v>3003</v>
          </cell>
          <cell r="Q3586">
            <v>3195</v>
          </cell>
        </row>
        <row r="3587">
          <cell r="B3587" t="str">
            <v>WOODSIDE 1102472928</v>
          </cell>
          <cell r="C3587">
            <v>24251102</v>
          </cell>
          <cell r="D3587" t="str">
            <v>WOODSIDE 1102</v>
          </cell>
          <cell r="E3587">
            <v>472928</v>
          </cell>
          <cell r="F3587" t="b">
            <v>1</v>
          </cell>
          <cell r="G3587">
            <v>1622.1027192398899</v>
          </cell>
          <cell r="H3587">
            <v>124.825327623194</v>
          </cell>
          <cell r="I3587">
            <v>14</v>
          </cell>
          <cell r="J3587">
            <v>2.0411540877570801E-5</v>
          </cell>
          <cell r="K3587">
            <v>3541</v>
          </cell>
          <cell r="L3587">
            <v>6.5330550074577304E-2</v>
          </cell>
          <cell r="M3587">
            <v>3448</v>
          </cell>
          <cell r="N3587">
            <v>1.3331000904677899E-6</v>
          </cell>
          <cell r="O3587">
            <v>3562</v>
          </cell>
          <cell r="Q3587">
            <v>3192</v>
          </cell>
        </row>
        <row r="3588">
          <cell r="B3588" t="str">
            <v>WOODSIDE 11028862</v>
          </cell>
          <cell r="C3588">
            <v>24251102</v>
          </cell>
          <cell r="D3588" t="str">
            <v>WOODSIDE 1102</v>
          </cell>
          <cell r="E3588">
            <v>8862</v>
          </cell>
          <cell r="F3588" t="b">
            <v>1</v>
          </cell>
          <cell r="G3588">
            <v>4562.4649370357001</v>
          </cell>
          <cell r="H3588">
            <v>0</v>
          </cell>
          <cell r="I3588">
            <v>38</v>
          </cell>
          <cell r="J3588">
            <v>2.71149445754619E-5</v>
          </cell>
          <cell r="K3588">
            <v>3471</v>
          </cell>
          <cell r="L3588">
            <v>6.5146990120410905E-2</v>
          </cell>
          <cell r="M3588">
            <v>3615</v>
          </cell>
          <cell r="N3588">
            <v>1.7664570263731101E-6</v>
          </cell>
          <cell r="O3588">
            <v>3528</v>
          </cell>
          <cell r="P3588">
            <v>0.02</v>
          </cell>
          <cell r="Q3588">
            <v>2559</v>
          </cell>
        </row>
        <row r="3589">
          <cell r="B3589" t="str">
            <v>WOODSIDE 110411555</v>
          </cell>
          <cell r="C3589">
            <v>24251104</v>
          </cell>
          <cell r="D3589" t="str">
            <v>WOODSIDE 1104</v>
          </cell>
          <cell r="E3589">
            <v>11555</v>
          </cell>
          <cell r="F3589" t="b">
            <v>0</v>
          </cell>
          <cell r="G3589">
            <v>1379.98374278043</v>
          </cell>
          <cell r="H3589">
            <v>1379.98374278043</v>
          </cell>
          <cell r="I3589">
            <v>11</v>
          </cell>
          <cell r="J3589">
            <v>9.8049416093007498E-5</v>
          </cell>
          <cell r="K3589">
            <v>1688</v>
          </cell>
          <cell r="L3589">
            <v>6.6431909799575806E-2</v>
          </cell>
          <cell r="M3589">
            <v>2976</v>
          </cell>
          <cell r="N3589">
            <v>6.5136099657917499E-6</v>
          </cell>
          <cell r="O3589">
            <v>3188</v>
          </cell>
          <cell r="P3589">
            <v>0.16</v>
          </cell>
          <cell r="Q3589">
            <v>1271</v>
          </cell>
        </row>
        <row r="3590">
          <cell r="B3590" t="str">
            <v>WOODSIDE 11043583</v>
          </cell>
          <cell r="C3590">
            <v>24251104</v>
          </cell>
          <cell r="D3590" t="str">
            <v>WOODSIDE 1104</v>
          </cell>
          <cell r="E3590">
            <v>3583</v>
          </cell>
          <cell r="F3590" t="b">
            <v>0</v>
          </cell>
          <cell r="G3590">
            <v>4565.0094370075903</v>
          </cell>
          <cell r="H3590">
            <v>4565.0094370075903</v>
          </cell>
          <cell r="I3590">
            <v>38</v>
          </cell>
          <cell r="J3590">
            <v>1.3591868178321499E-4</v>
          </cell>
          <cell r="K3590">
            <v>920</v>
          </cell>
          <cell r="L3590">
            <v>25.7124564933853</v>
          </cell>
          <cell r="M3590">
            <v>2385</v>
          </cell>
          <cell r="N3590">
            <v>3.16154504067543E-3</v>
          </cell>
          <cell r="O3590">
            <v>2333</v>
          </cell>
          <cell r="P3590">
            <v>0.78</v>
          </cell>
          <cell r="Q3590">
            <v>781</v>
          </cell>
        </row>
        <row r="3591">
          <cell r="B3591" t="str">
            <v>WOODSIDE 1104420146</v>
          </cell>
          <cell r="C3591">
            <v>24251104</v>
          </cell>
          <cell r="D3591" t="str">
            <v>WOODSIDE 1104</v>
          </cell>
          <cell r="E3591">
            <v>420146</v>
          </cell>
          <cell r="F3591" t="b">
            <v>0</v>
          </cell>
          <cell r="G3591">
            <v>5058.5238700084501</v>
          </cell>
          <cell r="H3591">
            <v>4389.3602384731503</v>
          </cell>
          <cell r="I3591">
            <v>43</v>
          </cell>
          <cell r="J3591">
            <v>1.3428529682853399E-4</v>
          </cell>
          <cell r="K3591">
            <v>940</v>
          </cell>
          <cell r="L3591">
            <v>3.3820434723891402</v>
          </cell>
          <cell r="M3591">
            <v>2799</v>
          </cell>
          <cell r="N3591">
            <v>3.0412091950500698E-4</v>
          </cell>
          <cell r="O3591">
            <v>2797</v>
          </cell>
          <cell r="Q3591">
            <v>3266</v>
          </cell>
        </row>
        <row r="3592">
          <cell r="B3592" t="str">
            <v>WOODSIDE 1104520832</v>
          </cell>
          <cell r="C3592">
            <v>24251104</v>
          </cell>
          <cell r="D3592" t="str">
            <v>WOODSIDE 1104</v>
          </cell>
          <cell r="E3592">
            <v>520832</v>
          </cell>
          <cell r="F3592" t="b">
            <v>0</v>
          </cell>
          <cell r="G3592">
            <v>12960.7664436088</v>
          </cell>
          <cell r="H3592">
            <v>9719.2853256561993</v>
          </cell>
          <cell r="I3592">
            <v>90</v>
          </cell>
          <cell r="J3592">
            <v>1.4149022270307899E-4</v>
          </cell>
          <cell r="K3592">
            <v>844</v>
          </cell>
          <cell r="L3592">
            <v>3.7624285091113499</v>
          </cell>
          <cell r="M3592">
            <v>2781</v>
          </cell>
          <cell r="N3592">
            <v>4.0636158835473602E-4</v>
          </cell>
          <cell r="O3592">
            <v>2760</v>
          </cell>
          <cell r="Q3592">
            <v>2787</v>
          </cell>
        </row>
        <row r="3593">
          <cell r="B3593" t="str">
            <v>WOODSIDE 1104555372</v>
          </cell>
          <cell r="C3593">
            <v>24251104</v>
          </cell>
          <cell r="D3593" t="str">
            <v>WOODSIDE 1104</v>
          </cell>
          <cell r="E3593">
            <v>555372</v>
          </cell>
          <cell r="F3593" t="b">
            <v>0</v>
          </cell>
          <cell r="G3593">
            <v>6684.5288346530697</v>
          </cell>
          <cell r="H3593">
            <v>6684.5288346530697</v>
          </cell>
          <cell r="I3593">
            <v>54</v>
          </cell>
          <cell r="J3593">
            <v>5.52766359086726E-5</v>
          </cell>
          <cell r="K3593">
            <v>2905</v>
          </cell>
          <cell r="L3593">
            <v>6.6431909799575806E-2</v>
          </cell>
          <cell r="M3593">
            <v>2978</v>
          </cell>
          <cell r="N3593">
            <v>3.67213249070893E-6</v>
          </cell>
          <cell r="O3593">
            <v>3354</v>
          </cell>
          <cell r="P3593">
            <v>0.13</v>
          </cell>
          <cell r="Q3593">
            <v>1342</v>
          </cell>
        </row>
        <row r="3594">
          <cell r="B3594" t="str">
            <v>WOODSIDE 11049030</v>
          </cell>
          <cell r="C3594">
            <v>24251104</v>
          </cell>
          <cell r="D3594" t="str">
            <v>WOODSIDE 1104</v>
          </cell>
          <cell r="E3594">
            <v>9030</v>
          </cell>
          <cell r="F3594" t="b">
            <v>0</v>
          </cell>
          <cell r="G3594">
            <v>4149.4332776090996</v>
          </cell>
          <cell r="H3594">
            <v>3272.4558207351201</v>
          </cell>
          <cell r="I3594">
            <v>37</v>
          </cell>
          <cell r="J3594">
            <v>3.3071811058844803E-5</v>
          </cell>
          <cell r="K3594">
            <v>3384</v>
          </cell>
          <cell r="L3594">
            <v>6.6049906651715895E-2</v>
          </cell>
          <cell r="M3594">
            <v>3209</v>
          </cell>
          <cell r="N3594">
            <v>2.1865443149724198E-6</v>
          </cell>
          <cell r="O3594">
            <v>3494</v>
          </cell>
          <cell r="P3594">
            <v>0.1</v>
          </cell>
          <cell r="Q3594">
            <v>1476</v>
          </cell>
        </row>
        <row r="3595">
          <cell r="B3595" t="str">
            <v>WOODSIDE 11049032</v>
          </cell>
          <cell r="C3595">
            <v>24251104</v>
          </cell>
          <cell r="D3595" t="str">
            <v>WOODSIDE 1104</v>
          </cell>
          <cell r="E3595">
            <v>9032</v>
          </cell>
          <cell r="F3595" t="b">
            <v>0</v>
          </cell>
          <cell r="G3595">
            <v>7741.5059057512699</v>
          </cell>
          <cell r="H3595">
            <v>3452.77476976564</v>
          </cell>
          <cell r="I3595">
            <v>72</v>
          </cell>
          <cell r="J3595">
            <v>2.1410795785154E-4</v>
          </cell>
          <cell r="K3595">
            <v>342</v>
          </cell>
          <cell r="L3595">
            <v>20.4930482190845</v>
          </cell>
          <cell r="M3595">
            <v>2443</v>
          </cell>
          <cell r="N3595">
            <v>3.2244751139663399E-3</v>
          </cell>
          <cell r="O3595">
            <v>2325</v>
          </cell>
          <cell r="P3595">
            <v>0.08</v>
          </cell>
          <cell r="Q3595">
            <v>1581</v>
          </cell>
        </row>
        <row r="3596">
          <cell r="B3596" t="str">
            <v>WOODSIDE 11049116</v>
          </cell>
          <cell r="C3596">
            <v>24251104</v>
          </cell>
          <cell r="D3596" t="str">
            <v>WOODSIDE 1104</v>
          </cell>
          <cell r="E3596">
            <v>9116</v>
          </cell>
          <cell r="F3596" t="b">
            <v>0</v>
          </cell>
          <cell r="G3596">
            <v>6878.1555856544201</v>
          </cell>
          <cell r="H3596">
            <v>1335.97687481603</v>
          </cell>
          <cell r="I3596">
            <v>53</v>
          </cell>
          <cell r="J3596">
            <v>7.7353159003205896E-5</v>
          </cell>
          <cell r="K3596">
            <v>2280</v>
          </cell>
          <cell r="L3596">
            <v>6.53409402606622E-2</v>
          </cell>
          <cell r="M3596">
            <v>3442</v>
          </cell>
          <cell r="N3596">
            <v>5.04993576054369E-6</v>
          </cell>
          <cell r="O3596">
            <v>3263</v>
          </cell>
          <cell r="P3596">
            <v>0.08</v>
          </cell>
          <cell r="Q3596">
            <v>1597</v>
          </cell>
        </row>
        <row r="3597">
          <cell r="B3597" t="str">
            <v>WOODSIDE 1104CB</v>
          </cell>
          <cell r="C3597">
            <v>24251104</v>
          </cell>
          <cell r="D3597" t="str">
            <v>WOODSIDE 1104</v>
          </cell>
          <cell r="E3597" t="str">
            <v>CB</v>
          </cell>
          <cell r="F3597" t="b">
            <v>1</v>
          </cell>
          <cell r="G3597">
            <v>11988.727523842201</v>
          </cell>
          <cell r="H3597">
            <v>167.71953613119999</v>
          </cell>
          <cell r="I3597">
            <v>114</v>
          </cell>
          <cell r="J3597">
            <v>1.48239186048351E-4</v>
          </cell>
          <cell r="K3597">
            <v>761</v>
          </cell>
          <cell r="L3597">
            <v>6.5169532570922506E-2</v>
          </cell>
          <cell r="M3597">
            <v>3545</v>
          </cell>
          <cell r="N3597">
            <v>9.6632351214558696E-6</v>
          </cell>
          <cell r="O3597">
            <v>3074</v>
          </cell>
          <cell r="P3597">
            <v>7.0000000000000007E-2</v>
          </cell>
          <cell r="Q3597">
            <v>1673</v>
          </cell>
        </row>
        <row r="3598">
          <cell r="B3598" t="str">
            <v>WOODWARD 210878448</v>
          </cell>
          <cell r="C3598">
            <v>255292108</v>
          </cell>
          <cell r="D3598" t="str">
            <v>WOODWARD 2108</v>
          </cell>
          <cell r="E3598">
            <v>78448</v>
          </cell>
          <cell r="F3598" t="b">
            <v>0</v>
          </cell>
          <cell r="G3598">
            <v>47671.199682398401</v>
          </cell>
          <cell r="H3598">
            <v>31387.763874483298</v>
          </cell>
          <cell r="I3598">
            <v>188</v>
          </cell>
          <cell r="J3598">
            <v>3.16788251186085E-5</v>
          </cell>
          <cell r="K3598">
            <v>3405</v>
          </cell>
          <cell r="L3598">
            <v>4051.90563809483</v>
          </cell>
          <cell r="M3598">
            <v>146</v>
          </cell>
          <cell r="N3598">
            <v>0.123645001232634</v>
          </cell>
          <cell r="O3598">
            <v>629</v>
          </cell>
          <cell r="P3598">
            <v>0.05</v>
          </cell>
          <cell r="Q3598">
            <v>2059</v>
          </cell>
        </row>
        <row r="3599">
          <cell r="B3599" t="str">
            <v>WYANDOTTE 110213044</v>
          </cell>
          <cell r="C3599">
            <v>102911102</v>
          </cell>
          <cell r="D3599" t="str">
            <v>WYANDOTTE 1102</v>
          </cell>
          <cell r="E3599">
            <v>13044</v>
          </cell>
          <cell r="F3599" t="b">
            <v>0</v>
          </cell>
          <cell r="G3599">
            <v>9652.7071711886001</v>
          </cell>
          <cell r="H3599">
            <v>7674.8454438021399</v>
          </cell>
          <cell r="I3599">
            <v>51</v>
          </cell>
          <cell r="J3599">
            <v>1.40147477199492E-4</v>
          </cell>
          <cell r="K3599">
            <v>867</v>
          </cell>
          <cell r="L3599">
            <v>1674.4803577426701</v>
          </cell>
          <cell r="M3599">
            <v>533</v>
          </cell>
          <cell r="N3599">
            <v>0.19228500901513901</v>
          </cell>
          <cell r="O3599">
            <v>361</v>
          </cell>
          <cell r="P3599">
            <v>0.05</v>
          </cell>
          <cell r="Q3599">
            <v>1986</v>
          </cell>
        </row>
        <row r="3600">
          <cell r="B3600" t="str">
            <v>WYANDOTTE 110313018</v>
          </cell>
          <cell r="C3600">
            <v>102911103</v>
          </cell>
          <cell r="D3600" t="str">
            <v>WYANDOTTE 1103</v>
          </cell>
          <cell r="E3600">
            <v>13018</v>
          </cell>
          <cell r="F3600" t="b">
            <v>0</v>
          </cell>
          <cell r="G3600">
            <v>2657.27172424731</v>
          </cell>
          <cell r="H3600">
            <v>1090.3862099104699</v>
          </cell>
          <cell r="I3600">
            <v>20</v>
          </cell>
          <cell r="J3600">
            <v>2.4176324113796001E-4</v>
          </cell>
          <cell r="K3600">
            <v>241</v>
          </cell>
          <cell r="L3600">
            <v>916.96960639984695</v>
          </cell>
          <cell r="M3600">
            <v>877</v>
          </cell>
          <cell r="N3600">
            <v>0.21662263401614401</v>
          </cell>
          <cell r="O3600">
            <v>289</v>
          </cell>
          <cell r="P3600">
            <v>0.04</v>
          </cell>
          <cell r="Q3600">
            <v>2205</v>
          </cell>
        </row>
        <row r="3601">
          <cell r="B3601" t="str">
            <v>WYANDOTTE 11031504</v>
          </cell>
          <cell r="C3601">
            <v>102911103</v>
          </cell>
          <cell r="D3601" t="str">
            <v>WYANDOTTE 1103</v>
          </cell>
          <cell r="E3601">
            <v>1504</v>
          </cell>
          <cell r="F3601" t="b">
            <v>0</v>
          </cell>
          <cell r="G3601">
            <v>23629.240938748</v>
          </cell>
          <cell r="H3601">
            <v>17735.400721552101</v>
          </cell>
          <cell r="I3601">
            <v>186</v>
          </cell>
          <cell r="J3601">
            <v>2.11844293282352E-4</v>
          </cell>
          <cell r="K3601">
            <v>352</v>
          </cell>
          <cell r="L3601">
            <v>618.34993845684301</v>
          </cell>
          <cell r="M3601">
            <v>1084</v>
          </cell>
          <cell r="N3601">
            <v>0.120057284371561</v>
          </cell>
          <cell r="O3601">
            <v>645</v>
          </cell>
          <cell r="P3601">
            <v>0.12</v>
          </cell>
          <cell r="Q3601">
            <v>1402</v>
          </cell>
        </row>
        <row r="3602">
          <cell r="B3602" t="str">
            <v>WYANDOTTE 11031508</v>
          </cell>
          <cell r="C3602">
            <v>102911103</v>
          </cell>
          <cell r="D3602" t="str">
            <v>WYANDOTTE 1103</v>
          </cell>
          <cell r="E3602">
            <v>1508</v>
          </cell>
          <cell r="F3602" t="b">
            <v>0</v>
          </cell>
          <cell r="G3602">
            <v>43792.573260232697</v>
          </cell>
          <cell r="H3602">
            <v>43792.573260232697</v>
          </cell>
          <cell r="I3602">
            <v>249</v>
          </cell>
          <cell r="J3602">
            <v>2.2480532392834101E-4</v>
          </cell>
          <cell r="K3602">
            <v>303</v>
          </cell>
          <cell r="L3602">
            <v>269.787159833896</v>
          </cell>
          <cell r="M3602">
            <v>1498</v>
          </cell>
          <cell r="N3602">
            <v>5.0062463217611201E-2</v>
          </cell>
          <cell r="O3602">
            <v>1176</v>
          </cell>
          <cell r="P3602">
            <v>0.5</v>
          </cell>
          <cell r="Q3602">
            <v>893</v>
          </cell>
        </row>
        <row r="3603">
          <cell r="B3603" t="str">
            <v>WYANDOTTE 11031974</v>
          </cell>
          <cell r="C3603">
            <v>102911103</v>
          </cell>
          <cell r="D3603" t="str">
            <v>WYANDOTTE 1103</v>
          </cell>
          <cell r="E3603">
            <v>1974</v>
          </cell>
          <cell r="F3603" t="b">
            <v>0</v>
          </cell>
          <cell r="G3603">
            <v>36068.635275047702</v>
          </cell>
          <cell r="H3603">
            <v>36068.635275047702</v>
          </cell>
          <cell r="I3603">
            <v>259</v>
          </cell>
          <cell r="J3603">
            <v>8.2004927623860805E-5</v>
          </cell>
          <cell r="K3603">
            <v>2154</v>
          </cell>
          <cell r="L3603">
            <v>157.702024301574</v>
          </cell>
          <cell r="M3603">
            <v>1756</v>
          </cell>
          <cell r="N3603">
            <v>1.28139578906702E-2</v>
          </cell>
          <cell r="O3603">
            <v>1849</v>
          </cell>
          <cell r="P3603">
            <v>125.77</v>
          </cell>
          <cell r="Q3603">
            <v>11</v>
          </cell>
        </row>
        <row r="3604">
          <cell r="B3604" t="str">
            <v>WYANDOTTE 11031976</v>
          </cell>
          <cell r="C3604">
            <v>102911103</v>
          </cell>
          <cell r="D3604" t="str">
            <v>WYANDOTTE 1103</v>
          </cell>
          <cell r="E3604">
            <v>1976</v>
          </cell>
          <cell r="F3604" t="b">
            <v>0</v>
          </cell>
          <cell r="G3604">
            <v>38264.427700231397</v>
          </cell>
          <cell r="H3604">
            <v>38264.427700231397</v>
          </cell>
          <cell r="I3604">
            <v>217</v>
          </cell>
          <cell r="J3604">
            <v>7.4462498279525598E-5</v>
          </cell>
          <cell r="K3604">
            <v>2346</v>
          </cell>
          <cell r="L3604">
            <v>572.727770889628</v>
          </cell>
          <cell r="M3604">
            <v>1128</v>
          </cell>
          <cell r="N3604">
            <v>4.0282231617335601E-2</v>
          </cell>
          <cell r="O3604">
            <v>1299</v>
          </cell>
          <cell r="P3604">
            <v>81.96</v>
          </cell>
          <cell r="Q3604">
            <v>47</v>
          </cell>
        </row>
        <row r="3605">
          <cell r="B3605" t="str">
            <v>WYANDOTTE 110366146</v>
          </cell>
          <cell r="C3605">
            <v>102911103</v>
          </cell>
          <cell r="D3605" t="str">
            <v>WYANDOTTE 1103</v>
          </cell>
          <cell r="E3605">
            <v>66146</v>
          </cell>
          <cell r="F3605" t="b">
            <v>1</v>
          </cell>
          <cell r="G3605">
            <v>252.308263398772</v>
          </cell>
          <cell r="H3605">
            <v>252.308263398772</v>
          </cell>
          <cell r="I3605">
            <v>4</v>
          </cell>
          <cell r="J3605">
            <v>1.09836447336419E-4</v>
          </cell>
          <cell r="K3605">
            <v>1414</v>
          </cell>
          <cell r="L3605">
            <v>2698.6732403650399</v>
          </cell>
          <cell r="M3605">
            <v>313</v>
          </cell>
          <cell r="N3605">
            <v>0.24792837735182799</v>
          </cell>
          <cell r="O3605">
            <v>219</v>
          </cell>
          <cell r="P3605">
            <v>0.12</v>
          </cell>
          <cell r="Q3605">
            <v>1382</v>
          </cell>
        </row>
        <row r="3606">
          <cell r="B3606" t="str">
            <v>WYANDOTTE 1103CB</v>
          </cell>
          <cell r="C3606">
            <v>102911103</v>
          </cell>
          <cell r="D3606" t="str">
            <v>WYANDOTTE 1103</v>
          </cell>
          <cell r="E3606" t="str">
            <v>CB</v>
          </cell>
          <cell r="F3606" t="b">
            <v>1</v>
          </cell>
          <cell r="G3606">
            <v>11751.513616156701</v>
          </cell>
          <cell r="H3606">
            <v>394.00471869871302</v>
          </cell>
          <cell r="I3606">
            <v>100</v>
          </cell>
          <cell r="J3606">
            <v>1.65943426654021E-4</v>
          </cell>
          <cell r="K3606">
            <v>582</v>
          </cell>
          <cell r="L3606">
            <v>73.184427502496206</v>
          </cell>
          <cell r="M3606">
            <v>2079</v>
          </cell>
          <cell r="N3606">
            <v>2.1017428106293298E-2</v>
          </cell>
          <cell r="O3606">
            <v>1653</v>
          </cell>
          <cell r="P3606">
            <v>0.02</v>
          </cell>
          <cell r="Q3606">
            <v>2416</v>
          </cell>
        </row>
        <row r="3607">
          <cell r="B3607" t="str">
            <v>WYANDOTTE 1105329930</v>
          </cell>
          <cell r="C3607">
            <v>102911105</v>
          </cell>
          <cell r="D3607" t="str">
            <v>WYANDOTTE 1105</v>
          </cell>
          <cell r="E3607">
            <v>329930</v>
          </cell>
          <cell r="F3607" t="b">
            <v>0</v>
          </cell>
          <cell r="G3607">
            <v>19740.574844357699</v>
          </cell>
          <cell r="H3607">
            <v>10526.181183664199</v>
          </cell>
          <cell r="I3607">
            <v>137</v>
          </cell>
          <cell r="J3607">
            <v>1.25629618290716E-4</v>
          </cell>
          <cell r="K3607">
            <v>1085</v>
          </cell>
          <cell r="L3607">
            <v>89.396561430117004</v>
          </cell>
          <cell r="M3607">
            <v>2004</v>
          </cell>
          <cell r="N3607">
            <v>1.2011992904671399E-2</v>
          </cell>
          <cell r="O3607">
            <v>1883</v>
          </cell>
          <cell r="P3607">
            <v>0.03</v>
          </cell>
          <cell r="Q3607">
            <v>2300</v>
          </cell>
        </row>
        <row r="3608">
          <cell r="B3608" t="str">
            <v>WYANDOTTE 1105CB</v>
          </cell>
          <cell r="C3608">
            <v>102911105</v>
          </cell>
          <cell r="D3608" t="str">
            <v>WYANDOTTE 1105</v>
          </cell>
          <cell r="E3608" t="str">
            <v>CB</v>
          </cell>
          <cell r="F3608" t="b">
            <v>0</v>
          </cell>
          <cell r="G3608">
            <v>21689.116288926201</v>
          </cell>
          <cell r="H3608">
            <v>18499.219614551399</v>
          </cell>
          <cell r="I3608">
            <v>14</v>
          </cell>
          <cell r="J3608">
            <v>2.16180809589926E-4</v>
          </cell>
          <cell r="K3608">
            <v>336</v>
          </cell>
          <cell r="L3608">
            <v>754.19919226397803</v>
          </cell>
          <cell r="M3608">
            <v>970</v>
          </cell>
          <cell r="N3608">
            <v>8.8538532999399205E-2</v>
          </cell>
          <cell r="O3608">
            <v>834</v>
          </cell>
          <cell r="P3608">
            <v>0.04</v>
          </cell>
          <cell r="Q3608">
            <v>2124</v>
          </cell>
        </row>
        <row r="3609">
          <cell r="B3609" t="str">
            <v>WYANDOTTE 110641650</v>
          </cell>
          <cell r="C3609">
            <v>102911106</v>
          </cell>
          <cell r="D3609" t="str">
            <v>WYANDOTTE 1106</v>
          </cell>
          <cell r="E3609">
            <v>41650</v>
          </cell>
          <cell r="F3609" t="b">
            <v>0</v>
          </cell>
          <cell r="G3609">
            <v>26091.684591327401</v>
          </cell>
          <cell r="H3609">
            <v>1862.3815614326199</v>
          </cell>
          <cell r="I3609">
            <v>152</v>
          </cell>
          <cell r="J3609">
            <v>9.0143032139167095E-5</v>
          </cell>
          <cell r="K3609">
            <v>1906</v>
          </cell>
          <cell r="L3609">
            <v>368.66516466887703</v>
          </cell>
          <cell r="M3609">
            <v>1340</v>
          </cell>
          <cell r="N3609">
            <v>3.51264521087781E-2</v>
          </cell>
          <cell r="O3609">
            <v>1373</v>
          </cell>
          <cell r="P3609">
            <v>1.1499999999999999</v>
          </cell>
          <cell r="Q3609">
            <v>706</v>
          </cell>
        </row>
        <row r="3610">
          <cell r="B3610" t="str">
            <v>WYANDOTTE 11071026</v>
          </cell>
          <cell r="C3610">
            <v>102911107</v>
          </cell>
          <cell r="D3610" t="str">
            <v>WYANDOTTE 1107</v>
          </cell>
          <cell r="E3610">
            <v>1026</v>
          </cell>
          <cell r="F3610" t="b">
            <v>0</v>
          </cell>
          <cell r="G3610">
            <v>44906.734695010797</v>
          </cell>
          <cell r="H3610">
            <v>36171.542148219502</v>
          </cell>
          <cell r="I3610">
            <v>273</v>
          </cell>
          <cell r="J3610">
            <v>7.2064592911026597E-5</v>
          </cell>
          <cell r="K3610">
            <v>2414</v>
          </cell>
          <cell r="L3610">
            <v>2265.0825563507901</v>
          </cell>
          <cell r="M3610">
            <v>390</v>
          </cell>
          <cell r="N3610">
            <v>0.14731764281957699</v>
          </cell>
          <cell r="O3610">
            <v>536</v>
          </cell>
          <cell r="P3610">
            <v>0.08</v>
          </cell>
          <cell r="Q3610">
            <v>1587</v>
          </cell>
        </row>
        <row r="3611">
          <cell r="B3611" t="str">
            <v>WYANDOTTE 11071510</v>
          </cell>
          <cell r="C3611">
            <v>102911107</v>
          </cell>
          <cell r="D3611" t="str">
            <v>WYANDOTTE 1107</v>
          </cell>
          <cell r="E3611">
            <v>1510</v>
          </cell>
          <cell r="F3611" t="b">
            <v>0</v>
          </cell>
          <cell r="G3611">
            <v>41028.155678065101</v>
          </cell>
          <cell r="H3611">
            <v>41028.155678065101</v>
          </cell>
          <cell r="I3611">
            <v>243</v>
          </cell>
          <cell r="J3611">
            <v>8.8930138849718701E-5</v>
          </cell>
          <cell r="K3611">
            <v>1952</v>
          </cell>
          <cell r="L3611">
            <v>939.24575008034196</v>
          </cell>
          <cell r="M3611">
            <v>866</v>
          </cell>
          <cell r="N3611">
            <v>7.9411453850941699E-2</v>
          </cell>
          <cell r="O3611">
            <v>905</v>
          </cell>
          <cell r="P3611">
            <v>0.18</v>
          </cell>
          <cell r="Q3611">
            <v>1216</v>
          </cell>
        </row>
        <row r="3612">
          <cell r="B3612" t="str">
            <v>WYANDOTTE 110737472</v>
          </cell>
          <cell r="C3612">
            <v>102911107</v>
          </cell>
          <cell r="D3612" t="str">
            <v>WYANDOTTE 1107</v>
          </cell>
          <cell r="E3612">
            <v>37472</v>
          </cell>
          <cell r="F3612" t="b">
            <v>0</v>
          </cell>
          <cell r="G3612">
            <v>23988.055201514799</v>
          </cell>
          <cell r="H3612">
            <v>14935.901522591699</v>
          </cell>
          <cell r="I3612">
            <v>157</v>
          </cell>
          <cell r="J3612">
            <v>1.29684967830074E-4</v>
          </cell>
          <cell r="K3612">
            <v>1013</v>
          </cell>
          <cell r="L3612">
            <v>1878.4310585753799</v>
          </cell>
          <cell r="M3612">
            <v>481</v>
          </cell>
          <cell r="N3612">
            <v>0.227393149694746</v>
          </cell>
          <cell r="O3612">
            <v>265</v>
          </cell>
          <cell r="P3612">
            <v>0.05</v>
          </cell>
          <cell r="Q3612">
            <v>2001</v>
          </cell>
        </row>
        <row r="3613">
          <cell r="B3613" t="str">
            <v>WYANDOTTE 110738438</v>
          </cell>
          <cell r="C3613">
            <v>102911107</v>
          </cell>
          <cell r="D3613" t="str">
            <v>WYANDOTTE 1107</v>
          </cell>
          <cell r="E3613">
            <v>38438</v>
          </cell>
          <cell r="F3613" t="b">
            <v>0</v>
          </cell>
          <cell r="G3613">
            <v>27128.308967212299</v>
          </cell>
          <cell r="H3613">
            <v>27128.308967212299</v>
          </cell>
          <cell r="I3613">
            <v>181</v>
          </cell>
          <cell r="J3613">
            <v>9.1559624445569304E-5</v>
          </cell>
          <cell r="K3613">
            <v>1855</v>
          </cell>
          <cell r="L3613">
            <v>1679.6729792343999</v>
          </cell>
          <cell r="M3613">
            <v>529</v>
          </cell>
          <cell r="N3613">
            <v>0.159467991930244</v>
          </cell>
          <cell r="O3613">
            <v>473</v>
          </cell>
          <cell r="P3613">
            <v>0.08</v>
          </cell>
          <cell r="Q3613">
            <v>1665</v>
          </cell>
        </row>
        <row r="3614">
          <cell r="B3614" t="str">
            <v>WYANDOTTE 110777578</v>
          </cell>
          <cell r="C3614">
            <v>102911107</v>
          </cell>
          <cell r="D3614" t="str">
            <v>WYANDOTTE 1107</v>
          </cell>
          <cell r="E3614">
            <v>77578</v>
          </cell>
          <cell r="F3614" t="b">
            <v>0</v>
          </cell>
          <cell r="G3614">
            <v>51848.898671989802</v>
          </cell>
          <cell r="H3614">
            <v>34427.901386263999</v>
          </cell>
          <cell r="I3614">
            <v>389</v>
          </cell>
          <cell r="J3614">
            <v>1.4957548611236799E-4</v>
          </cell>
          <cell r="K3614">
            <v>742</v>
          </cell>
          <cell r="L3614">
            <v>862.34340087186104</v>
          </cell>
          <cell r="M3614">
            <v>907</v>
          </cell>
          <cell r="N3614">
            <v>9.3279623268838194E-2</v>
          </cell>
          <cell r="O3614">
            <v>805</v>
          </cell>
          <cell r="P3614">
            <v>0.14000000000000001</v>
          </cell>
          <cell r="Q3614">
            <v>1325</v>
          </cell>
        </row>
        <row r="3615">
          <cell r="B3615" t="str">
            <v>WYANDOTTE 1107829470</v>
          </cell>
          <cell r="C3615">
            <v>102911107</v>
          </cell>
          <cell r="D3615" t="str">
            <v>WYANDOTTE 1107</v>
          </cell>
          <cell r="E3615">
            <v>829470</v>
          </cell>
          <cell r="F3615" t="b">
            <v>0</v>
          </cell>
          <cell r="G3615">
            <v>16595.020500388498</v>
          </cell>
          <cell r="H3615">
            <v>16595.020500388498</v>
          </cell>
          <cell r="I3615">
            <v>93</v>
          </cell>
          <cell r="J3615">
            <v>1.1788029445122601E-4</v>
          </cell>
          <cell r="K3615">
            <v>1231</v>
          </cell>
          <cell r="L3615">
            <v>515.06817975967795</v>
          </cell>
          <cell r="M3615">
            <v>1185</v>
          </cell>
          <cell r="N3615">
            <v>5.5225574996005E-2</v>
          </cell>
          <cell r="O3615">
            <v>1118</v>
          </cell>
          <cell r="Q3615">
            <v>3047</v>
          </cell>
        </row>
        <row r="3616">
          <cell r="B3616" t="str">
            <v>WYANDOTTE 110796390</v>
          </cell>
          <cell r="C3616">
            <v>102911107</v>
          </cell>
          <cell r="D3616" t="str">
            <v>WYANDOTTE 1107</v>
          </cell>
          <cell r="E3616">
            <v>96390</v>
          </cell>
          <cell r="F3616" t="b">
            <v>0</v>
          </cell>
          <cell r="G3616">
            <v>16282.488532905199</v>
          </cell>
          <cell r="H3616">
            <v>13753.525019300099</v>
          </cell>
          <cell r="I3616">
            <v>124</v>
          </cell>
          <cell r="J3616">
            <v>1.6254251729532599E-4</v>
          </cell>
          <cell r="K3616">
            <v>620</v>
          </cell>
          <cell r="L3616">
            <v>924.53758586816502</v>
          </cell>
          <cell r="M3616">
            <v>871</v>
          </cell>
          <cell r="N3616">
            <v>0.13124935981316399</v>
          </cell>
          <cell r="O3616">
            <v>599</v>
          </cell>
          <cell r="P3616">
            <v>0.12</v>
          </cell>
          <cell r="Q3616">
            <v>1378</v>
          </cell>
        </row>
        <row r="3617">
          <cell r="B3617" t="str">
            <v>WYANDOTTE 1107CB</v>
          </cell>
          <cell r="C3617">
            <v>102911107</v>
          </cell>
          <cell r="D3617" t="str">
            <v>WYANDOTTE 1107</v>
          </cell>
          <cell r="E3617" t="str">
            <v>CB</v>
          </cell>
          <cell r="F3617" t="b">
            <v>0</v>
          </cell>
          <cell r="G3617">
            <v>24321.9126950022</v>
          </cell>
          <cell r="H3617">
            <v>2030.37613435292</v>
          </cell>
          <cell r="I3617">
            <v>199</v>
          </cell>
          <cell r="J3617">
            <v>1.64474795940118E-4</v>
          </cell>
          <cell r="K3617">
            <v>591</v>
          </cell>
          <cell r="L3617">
            <v>61.558581806338601</v>
          </cell>
          <cell r="M3617">
            <v>2143</v>
          </cell>
          <cell r="N3617">
            <v>8.4762588223083607E-3</v>
          </cell>
          <cell r="O3617">
            <v>2033</v>
          </cell>
          <cell r="P3617">
            <v>0.03</v>
          </cell>
          <cell r="Q3617">
            <v>2311</v>
          </cell>
        </row>
        <row r="3618">
          <cell r="B3618" t="str">
            <v>WYANDOTTE 11091040</v>
          </cell>
          <cell r="C3618">
            <v>102911109</v>
          </cell>
          <cell r="D3618" t="str">
            <v>WYANDOTTE 1109</v>
          </cell>
          <cell r="E3618">
            <v>1040</v>
          </cell>
          <cell r="F3618" t="b">
            <v>0</v>
          </cell>
          <cell r="G3618">
            <v>9753.1063230476593</v>
          </cell>
          <cell r="H3618">
            <v>1682.9824131580899</v>
          </cell>
          <cell r="I3618">
            <v>62</v>
          </cell>
          <cell r="J3618">
            <v>1.1564125523990199E-4</v>
          </cell>
          <cell r="K3618">
            <v>1281</v>
          </cell>
          <cell r="L3618">
            <v>448.39694814757701</v>
          </cell>
          <cell r="M3618">
            <v>1250</v>
          </cell>
          <cell r="N3618">
            <v>3.2998536825727898E-2</v>
          </cell>
          <cell r="O3618">
            <v>1407</v>
          </cell>
          <cell r="P3618">
            <v>0.73</v>
          </cell>
          <cell r="Q3618">
            <v>796</v>
          </cell>
        </row>
        <row r="3619">
          <cell r="B3619" t="str">
            <v>WYANDOTTE 110913052</v>
          </cell>
          <cell r="C3619">
            <v>102911109</v>
          </cell>
          <cell r="D3619" t="str">
            <v>WYANDOTTE 1109</v>
          </cell>
          <cell r="E3619">
            <v>13052</v>
          </cell>
          <cell r="F3619" t="b">
            <v>0</v>
          </cell>
          <cell r="G3619">
            <v>31493.718534824999</v>
          </cell>
          <cell r="H3619">
            <v>31480.182840055801</v>
          </cell>
          <cell r="I3619">
            <v>213</v>
          </cell>
          <cell r="J3619">
            <v>9.5257820385944195E-5</v>
          </cell>
          <cell r="K3619">
            <v>1758</v>
          </cell>
          <cell r="L3619">
            <v>2083.31719175746</v>
          </cell>
          <cell r="M3619">
            <v>433</v>
          </cell>
          <cell r="N3619">
            <v>0.18514438167199099</v>
          </cell>
          <cell r="O3619">
            <v>387</v>
          </cell>
          <cell r="P3619">
            <v>0.12</v>
          </cell>
          <cell r="Q3619">
            <v>1398</v>
          </cell>
        </row>
        <row r="3620">
          <cell r="B3620" t="str">
            <v>WYANDOTTE 11091520</v>
          </cell>
          <cell r="C3620">
            <v>102911109</v>
          </cell>
          <cell r="D3620" t="str">
            <v>WYANDOTTE 1109</v>
          </cell>
          <cell r="E3620">
            <v>1520</v>
          </cell>
          <cell r="F3620" t="b">
            <v>0</v>
          </cell>
          <cell r="G3620">
            <v>31725.400852887498</v>
          </cell>
          <cell r="H3620">
            <v>6700.2969171925897</v>
          </cell>
          <cell r="I3620">
            <v>230</v>
          </cell>
          <cell r="J3620">
            <v>1.187766786287E-4</v>
          </cell>
          <cell r="K3620">
            <v>1212</v>
          </cell>
          <cell r="L3620">
            <v>1243.3344446430799</v>
          </cell>
          <cell r="M3620">
            <v>704</v>
          </cell>
          <cell r="N3620">
            <v>0.12870049973665401</v>
          </cell>
          <cell r="O3620">
            <v>609</v>
          </cell>
          <cell r="P3620">
            <v>0.04</v>
          </cell>
          <cell r="Q3620">
            <v>2162</v>
          </cell>
        </row>
        <row r="3621">
          <cell r="B3621" t="str">
            <v>WYANDOTTE 110932586</v>
          </cell>
          <cell r="C3621">
            <v>102911109</v>
          </cell>
          <cell r="D3621" t="str">
            <v>WYANDOTTE 1109</v>
          </cell>
          <cell r="E3621">
            <v>32586</v>
          </cell>
          <cell r="F3621" t="b">
            <v>0</v>
          </cell>
          <cell r="G3621">
            <v>2375.6773179584902</v>
          </cell>
          <cell r="H3621">
            <v>2158.8587060681898</v>
          </cell>
          <cell r="I3621">
            <v>15</v>
          </cell>
          <cell r="J3621">
            <v>1.4236264541978E-4</v>
          </cell>
          <cell r="K3621">
            <v>834</v>
          </cell>
          <cell r="L3621">
            <v>3072.90057220163</v>
          </cell>
          <cell r="M3621">
            <v>260</v>
          </cell>
          <cell r="N3621">
            <v>0.52987304798146795</v>
          </cell>
          <cell r="O3621">
            <v>29</v>
          </cell>
          <cell r="P3621">
            <v>1.1299999999999999</v>
          </cell>
          <cell r="Q3621">
            <v>712</v>
          </cell>
        </row>
        <row r="3622">
          <cell r="B3622" t="str">
            <v>WYANDOTTE 110942650</v>
          </cell>
          <cell r="C3622">
            <v>102911109</v>
          </cell>
          <cell r="D3622" t="str">
            <v>WYANDOTTE 1109</v>
          </cell>
          <cell r="E3622">
            <v>42650</v>
          </cell>
          <cell r="F3622" t="b">
            <v>0</v>
          </cell>
          <cell r="G3622">
            <v>4322.5082899601703</v>
          </cell>
          <cell r="H3622">
            <v>1459.62135208173</v>
          </cell>
          <cell r="I3622">
            <v>37</v>
          </cell>
          <cell r="J3622">
            <v>1.81069796412516E-4</v>
          </cell>
          <cell r="K3622">
            <v>502</v>
          </cell>
          <cell r="L3622">
            <v>100.767599721232</v>
          </cell>
          <cell r="M3622">
            <v>1951</v>
          </cell>
          <cell r="N3622">
            <v>2.4082284287255298E-2</v>
          </cell>
          <cell r="O3622">
            <v>1577</v>
          </cell>
          <cell r="P3622">
            <v>0.04</v>
          </cell>
          <cell r="Q3622">
            <v>2229</v>
          </cell>
        </row>
        <row r="3623">
          <cell r="B3623" t="str">
            <v>WYANDOTTE 11095607</v>
          </cell>
          <cell r="C3623">
            <v>102911109</v>
          </cell>
          <cell r="D3623" t="str">
            <v>WYANDOTTE 1109</v>
          </cell>
          <cell r="E3623">
            <v>5607</v>
          </cell>
          <cell r="F3623" t="b">
            <v>0</v>
          </cell>
          <cell r="G3623">
            <v>10708.8000864882</v>
          </cell>
          <cell r="H3623">
            <v>7265.94458452043</v>
          </cell>
          <cell r="I3623">
            <v>71</v>
          </cell>
          <cell r="J3623">
            <v>6.7647088988029495E-5</v>
          </cell>
          <cell r="K3623">
            <v>2544</v>
          </cell>
          <cell r="L3623">
            <v>3213.7491744347599</v>
          </cell>
          <cell r="M3623">
            <v>235</v>
          </cell>
          <cell r="N3623">
            <v>0.191147135394615</v>
          </cell>
          <cell r="O3623">
            <v>368</v>
          </cell>
          <cell r="P3623">
            <v>0.05</v>
          </cell>
          <cell r="Q3623">
            <v>2002</v>
          </cell>
        </row>
        <row r="3624">
          <cell r="B3624" t="str">
            <v>WYANDOTTE 11095973</v>
          </cell>
          <cell r="C3624">
            <v>102911109</v>
          </cell>
          <cell r="D3624" t="str">
            <v>WYANDOTTE 1109</v>
          </cell>
          <cell r="E3624">
            <v>5973</v>
          </cell>
          <cell r="F3624" t="b">
            <v>1</v>
          </cell>
          <cell r="G3624">
            <v>3972.7876068419</v>
          </cell>
          <cell r="H3624">
            <v>138.23537260265499</v>
          </cell>
          <cell r="I3624">
            <v>35</v>
          </cell>
          <cell r="J3624">
            <v>1.12586444343573E-4</v>
          </cell>
          <cell r="K3624">
            <v>1351</v>
          </cell>
          <cell r="L3624">
            <v>248.99594667997599</v>
          </cell>
          <cell r="M3624">
            <v>1541</v>
          </cell>
          <cell r="N3624">
            <v>2.6544127490008E-2</v>
          </cell>
          <cell r="O3624">
            <v>1522</v>
          </cell>
          <cell r="Q3624">
            <v>2881</v>
          </cell>
        </row>
        <row r="3625">
          <cell r="B3625" t="str">
            <v>WYANDOTTE 1109702710</v>
          </cell>
          <cell r="C3625">
            <v>102911109</v>
          </cell>
          <cell r="D3625" t="str">
            <v>WYANDOTTE 1109</v>
          </cell>
          <cell r="E3625">
            <v>702710</v>
          </cell>
          <cell r="F3625" t="b">
            <v>0</v>
          </cell>
          <cell r="G3625">
            <v>7335.76710678172</v>
          </cell>
          <cell r="H3625">
            <v>4286.55563298584</v>
          </cell>
          <cell r="I3625">
            <v>49</v>
          </cell>
          <cell r="J3625">
            <v>2.1701780489672001E-4</v>
          </cell>
          <cell r="K3625">
            <v>330</v>
          </cell>
          <cell r="L3625">
            <v>1323.5469816959101</v>
          </cell>
          <cell r="M3625">
            <v>672</v>
          </cell>
          <cell r="N3625">
            <v>0.24844858215568</v>
          </cell>
          <cell r="O3625">
            <v>218</v>
          </cell>
          <cell r="Q3625">
            <v>3072</v>
          </cell>
        </row>
        <row r="3626">
          <cell r="B3626" t="str">
            <v>WYANDOTTE 110979932</v>
          </cell>
          <cell r="C3626">
            <v>102911109</v>
          </cell>
          <cell r="D3626" t="str">
            <v>WYANDOTTE 1109</v>
          </cell>
          <cell r="E3626">
            <v>79932</v>
          </cell>
          <cell r="F3626" t="b">
            <v>0</v>
          </cell>
          <cell r="G3626">
            <v>52854.937449618599</v>
          </cell>
          <cell r="H3626">
            <v>35504.850541098604</v>
          </cell>
          <cell r="I3626">
            <v>345</v>
          </cell>
          <cell r="J3626">
            <v>8.0348298313967005E-5</v>
          </cell>
          <cell r="K3626">
            <v>2196</v>
          </cell>
          <cell r="L3626">
            <v>2706.26956942792</v>
          </cell>
          <cell r="M3626">
            <v>310</v>
          </cell>
          <cell r="N3626">
            <v>0.20827869742152999</v>
          </cell>
          <cell r="O3626">
            <v>311</v>
          </cell>
          <cell r="P3626">
            <v>0.1</v>
          </cell>
          <cell r="Q3626">
            <v>1497</v>
          </cell>
        </row>
        <row r="3627">
          <cell r="B3627" t="str">
            <v>WYANDOTTE 1110144140</v>
          </cell>
          <cell r="C3627">
            <v>102911110</v>
          </cell>
          <cell r="D3627" t="str">
            <v>WYANDOTTE 1110</v>
          </cell>
          <cell r="E3627">
            <v>144140</v>
          </cell>
          <cell r="F3627" t="b">
            <v>1</v>
          </cell>
          <cell r="G3627">
            <v>2469.4128944344402</v>
          </cell>
          <cell r="H3627">
            <v>417.01107389353399</v>
          </cell>
          <cell r="I3627">
            <v>20</v>
          </cell>
          <cell r="J3627">
            <v>1.53731078362876E-4</v>
          </cell>
          <cell r="K3627">
            <v>713</v>
          </cell>
          <cell r="L3627">
            <v>178.870132711975</v>
          </cell>
          <cell r="M3627">
            <v>1686</v>
          </cell>
          <cell r="N3627">
            <v>2.1719253345690401E-2</v>
          </cell>
          <cell r="O3627">
            <v>1635</v>
          </cell>
          <cell r="Q3627">
            <v>3076</v>
          </cell>
        </row>
        <row r="3628">
          <cell r="B3628" t="str">
            <v>WYANDOTTE 11101954</v>
          </cell>
          <cell r="C3628">
            <v>102911110</v>
          </cell>
          <cell r="D3628" t="str">
            <v>WYANDOTTE 1110</v>
          </cell>
          <cell r="E3628">
            <v>1954</v>
          </cell>
          <cell r="F3628" t="b">
            <v>0</v>
          </cell>
          <cell r="G3628">
            <v>17187.784010775202</v>
          </cell>
          <cell r="H3628">
            <v>4223.5590517310702</v>
          </cell>
          <cell r="I3628">
            <v>132</v>
          </cell>
          <cell r="J3628">
            <v>1.6112061580665399E-4</v>
          </cell>
          <cell r="K3628">
            <v>630</v>
          </cell>
          <cell r="L3628">
            <v>102.56875510429199</v>
          </cell>
          <cell r="M3628">
            <v>1939</v>
          </cell>
          <cell r="N3628">
            <v>1.7467768943991401E-2</v>
          </cell>
          <cell r="O3628">
            <v>1724</v>
          </cell>
          <cell r="P3628">
            <v>7.0000000000000007E-2</v>
          </cell>
          <cell r="Q3628">
            <v>1692</v>
          </cell>
        </row>
        <row r="3629">
          <cell r="B3629" t="str">
            <v>WYANDOTTE 1110980944</v>
          </cell>
          <cell r="C3629">
            <v>102911110</v>
          </cell>
          <cell r="D3629" t="str">
            <v>WYANDOTTE 1110</v>
          </cell>
          <cell r="E3629">
            <v>980944</v>
          </cell>
          <cell r="F3629" t="b">
            <v>0</v>
          </cell>
          <cell r="G3629">
            <v>26900.307244583699</v>
          </cell>
          <cell r="H3629">
            <v>16783.245325943299</v>
          </cell>
          <cell r="I3629">
            <v>198</v>
          </cell>
          <cell r="J3629">
            <v>1.9807248935823599E-4</v>
          </cell>
          <cell r="K3629">
            <v>404</v>
          </cell>
          <cell r="L3629">
            <v>366.16047473804701</v>
          </cell>
          <cell r="M3629">
            <v>1345</v>
          </cell>
          <cell r="N3629">
            <v>7.0566329722031806E-2</v>
          </cell>
          <cell r="O3629">
            <v>976</v>
          </cell>
          <cell r="Q3629">
            <v>2798</v>
          </cell>
        </row>
        <row r="3630">
          <cell r="B3630" t="str">
            <v>ZACA 1101CB</v>
          </cell>
          <cell r="C3630">
            <v>182681101</v>
          </cell>
          <cell r="D3630" t="str">
            <v>ZACA 1101</v>
          </cell>
          <cell r="E3630" t="str">
            <v>CB</v>
          </cell>
          <cell r="F3630" t="b">
            <v>0</v>
          </cell>
          <cell r="G3630">
            <v>17435.944366401502</v>
          </cell>
          <cell r="H3630">
            <v>12032.479128319999</v>
          </cell>
          <cell r="I3630">
            <v>60</v>
          </cell>
          <cell r="J3630">
            <v>6.3070509114974494E-5</v>
          </cell>
          <cell r="K3630">
            <v>2678</v>
          </cell>
          <cell r="L3630">
            <v>1838.53964168777</v>
          </cell>
          <cell r="M3630">
            <v>494</v>
          </cell>
          <cell r="N3630">
            <v>0.17499092633246699</v>
          </cell>
          <cell r="O3630">
            <v>416</v>
          </cell>
          <cell r="P3630">
            <v>0.03</v>
          </cell>
          <cell r="Q3630">
            <v>2401</v>
          </cell>
        </row>
        <row r="3631">
          <cell r="B3631" t="str">
            <v>ZACA 1101Y70</v>
          </cell>
          <cell r="C3631">
            <v>182681101</v>
          </cell>
          <cell r="D3631" t="str">
            <v>ZACA 1101</v>
          </cell>
          <cell r="E3631" t="str">
            <v>Y70</v>
          </cell>
          <cell r="F3631" t="b">
            <v>0</v>
          </cell>
          <cell r="G3631">
            <v>13947.134718945301</v>
          </cell>
          <cell r="H3631">
            <v>10839.1211236504</v>
          </cell>
          <cell r="I3631">
            <v>61</v>
          </cell>
          <cell r="J3631">
            <v>5.1110689514644E-5</v>
          </cell>
          <cell r="K3631">
            <v>3011</v>
          </cell>
          <cell r="L3631">
            <v>1300.14457848655</v>
          </cell>
          <cell r="M3631">
            <v>683</v>
          </cell>
          <cell r="N3631">
            <v>6.8291408264854095E-2</v>
          </cell>
          <cell r="O3631">
            <v>992</v>
          </cell>
          <cell r="P3631">
            <v>0.02</v>
          </cell>
          <cell r="Q3631">
            <v>2489</v>
          </cell>
        </row>
        <row r="3632">
          <cell r="B3632" t="str">
            <v>ZACA 1101Y72</v>
          </cell>
          <cell r="C3632">
            <v>182681101</v>
          </cell>
          <cell r="D3632" t="str">
            <v>ZACA 1101</v>
          </cell>
          <cell r="E3632" t="str">
            <v>Y72</v>
          </cell>
          <cell r="F3632" t="b">
            <v>0</v>
          </cell>
          <cell r="G3632">
            <v>10347.4182168036</v>
          </cell>
          <cell r="H3632">
            <v>10265.635387558001</v>
          </cell>
          <cell r="I3632">
            <v>36</v>
          </cell>
          <cell r="J3632">
            <v>7.4861568716894704E-5</v>
          </cell>
          <cell r="K3632">
            <v>2335</v>
          </cell>
          <cell r="L3632">
            <v>2941.24155448397</v>
          </cell>
          <cell r="M3632">
            <v>282</v>
          </cell>
          <cell r="N3632">
            <v>0.221304982401996</v>
          </cell>
          <cell r="O3632">
            <v>282</v>
          </cell>
          <cell r="P3632">
            <v>0.05</v>
          </cell>
          <cell r="Q3632">
            <v>1994</v>
          </cell>
        </row>
        <row r="3633">
          <cell r="B3633" t="str">
            <v>ZACA 1102CB</v>
          </cell>
          <cell r="C3633">
            <v>182681102</v>
          </cell>
          <cell r="D3633" t="str">
            <v>ZACA 1102</v>
          </cell>
          <cell r="E3633" t="str">
            <v>CB</v>
          </cell>
          <cell r="F3633" t="b">
            <v>0</v>
          </cell>
          <cell r="G3633">
            <v>33441.457712349104</v>
          </cell>
          <cell r="H3633">
            <v>25226.3337588303</v>
          </cell>
          <cell r="I3633">
            <v>190</v>
          </cell>
          <cell r="J3633">
            <v>6.5983437765525905E-5</v>
          </cell>
          <cell r="K3633">
            <v>2589</v>
          </cell>
          <cell r="L3633">
            <v>2246.01108995307</v>
          </cell>
          <cell r="M3633">
            <v>394</v>
          </cell>
          <cell r="N3633">
            <v>0.16907805261572001</v>
          </cell>
          <cell r="O3633">
            <v>441</v>
          </cell>
          <cell r="P3633">
            <v>5.92</v>
          </cell>
          <cell r="Q3633">
            <v>477</v>
          </cell>
        </row>
        <row r="3634">
          <cell r="B3634" t="str">
            <v>ZACA 1102Y02</v>
          </cell>
          <cell r="C3634">
            <v>182681102</v>
          </cell>
          <cell r="D3634" t="str">
            <v>ZACA 1102</v>
          </cell>
          <cell r="E3634" t="str">
            <v>Y02</v>
          </cell>
          <cell r="F3634" t="b">
            <v>0</v>
          </cell>
          <cell r="G3634">
            <v>21138.349851574501</v>
          </cell>
          <cell r="H3634">
            <v>16812.491593667299</v>
          </cell>
          <cell r="I3634">
            <v>158</v>
          </cell>
          <cell r="J3634">
            <v>6.2767883880237695E-5</v>
          </cell>
          <cell r="K3634">
            <v>2691</v>
          </cell>
          <cell r="L3634">
            <v>3729.2173914149198</v>
          </cell>
          <cell r="M3634">
            <v>180</v>
          </cell>
          <cell r="N3634">
            <v>0.24141876470011001</v>
          </cell>
          <cell r="O3634">
            <v>233</v>
          </cell>
          <cell r="P3634">
            <v>7.0000000000000007E-2</v>
          </cell>
          <cell r="Q3634">
            <v>1717</v>
          </cell>
        </row>
        <row r="3635">
          <cell r="B3635" t="str">
            <v>ZACA 1102Y48</v>
          </cell>
          <cell r="C3635">
            <v>182681102</v>
          </cell>
          <cell r="D3635" t="str">
            <v>ZACA 1102</v>
          </cell>
          <cell r="E3635" t="str">
            <v>Y48</v>
          </cell>
          <cell r="F3635" t="b">
            <v>0</v>
          </cell>
          <cell r="G3635">
            <v>19054.689596083601</v>
          </cell>
          <cell r="H3635">
            <v>7064.31920282387</v>
          </cell>
          <cell r="I3635">
            <v>157</v>
          </cell>
          <cell r="J3635">
            <v>6.9914092492604703E-5</v>
          </cell>
          <cell r="K3635">
            <v>2475</v>
          </cell>
          <cell r="L3635">
            <v>2423.7326477493598</v>
          </cell>
          <cell r="M3635">
            <v>357</v>
          </cell>
          <cell r="N3635">
            <v>0.14907045039193001</v>
          </cell>
          <cell r="O3635">
            <v>521</v>
          </cell>
          <cell r="P3635">
            <v>0.03</v>
          </cell>
          <cell r="Q3635">
            <v>2278</v>
          </cell>
        </row>
        <row r="3636">
          <cell r="B3636" t="str">
            <v>ZACA 1102Y54</v>
          </cell>
          <cell r="C3636">
            <v>182681102</v>
          </cell>
          <cell r="D3636" t="str">
            <v>ZACA 1102</v>
          </cell>
          <cell r="E3636" t="str">
            <v>Y54</v>
          </cell>
          <cell r="F3636" t="b">
            <v>0</v>
          </cell>
          <cell r="G3636">
            <v>55238.5351262447</v>
          </cell>
          <cell r="H3636">
            <v>54847.9366068319</v>
          </cell>
          <cell r="I3636">
            <v>296</v>
          </cell>
          <cell r="J3636">
            <v>8.0012615569751902E-5</v>
          </cell>
          <cell r="K3636">
            <v>2204</v>
          </cell>
          <cell r="L3636">
            <v>4332.6245673104404</v>
          </cell>
          <cell r="M3636">
            <v>120</v>
          </cell>
          <cell r="N3636">
            <v>0.35181036359877299</v>
          </cell>
          <cell r="O3636">
            <v>94</v>
          </cell>
          <cell r="P3636">
            <v>0.39</v>
          </cell>
          <cell r="Q3636">
            <v>950</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Project List"/>
      <sheetName val="Archive"/>
      <sheetName val="conductor_pz_summary_hftd_23_re"/>
      <sheetName val="Dx - SH"/>
      <sheetName val="DX - CKT"/>
      <sheetName val="2020 1-N CKT"/>
      <sheetName val="Tier 1 circuits"/>
      <sheetName val="Tier 2 circuits"/>
      <sheetName val="Tier 3 circuits"/>
      <sheetName val="RIBA Risk Score Matrix"/>
      <sheetName val="HFTD MilesperCkt"/>
      <sheetName val="C1020_1123comparison"/>
    </sheetNames>
    <sheetDataSet>
      <sheetData sheetId="0"/>
      <sheetData sheetId="1"/>
      <sheetData sheetId="2"/>
      <sheetData sheetId="3">
        <row r="2">
          <cell r="B2" t="str">
            <v>ALHAMBRA 110213333</v>
          </cell>
          <cell r="C2">
            <v>14101102</v>
          </cell>
          <cell r="D2" t="str">
            <v>ALHAMBRA 1102</v>
          </cell>
          <cell r="E2">
            <v>13333</v>
          </cell>
          <cell r="F2" t="b">
            <v>1</v>
          </cell>
          <cell r="G2">
            <v>480.33892710418399</v>
          </cell>
          <cell r="H2">
            <v>70.786113934196194</v>
          </cell>
        </row>
        <row r="3">
          <cell r="B3" t="str">
            <v>ALHAMBRA 1102CB</v>
          </cell>
          <cell r="C3">
            <v>14101102</v>
          </cell>
          <cell r="D3" t="str">
            <v>ALHAMBRA 1102</v>
          </cell>
          <cell r="E3" t="str">
            <v>CB</v>
          </cell>
          <cell r="F3" t="b">
            <v>1</v>
          </cell>
          <cell r="G3">
            <v>9244.13915179385</v>
          </cell>
          <cell r="H3">
            <v>431.11511610011001</v>
          </cell>
        </row>
        <row r="4">
          <cell r="B4" t="str">
            <v>ALHAMBRA 110581514</v>
          </cell>
          <cell r="C4">
            <v>14101105</v>
          </cell>
          <cell r="D4" t="str">
            <v>ALHAMBRA 1105</v>
          </cell>
          <cell r="E4">
            <v>81514</v>
          </cell>
          <cell r="F4" t="b">
            <v>0</v>
          </cell>
          <cell r="G4">
            <v>7697.83923278984</v>
          </cell>
          <cell r="H4">
            <v>4781.2860297529996</v>
          </cell>
        </row>
        <row r="5">
          <cell r="B5" t="str">
            <v>ALHAMBRA 110582622</v>
          </cell>
          <cell r="C5">
            <v>14101105</v>
          </cell>
          <cell r="D5" t="str">
            <v>ALHAMBRA 1105</v>
          </cell>
          <cell r="E5">
            <v>82622</v>
          </cell>
          <cell r="F5" t="b">
            <v>0</v>
          </cell>
          <cell r="G5">
            <v>41703.381551213097</v>
          </cell>
          <cell r="H5">
            <v>41703.381551213097</v>
          </cell>
        </row>
        <row r="6">
          <cell r="B6" t="str">
            <v>ALHAMBRA 11058302</v>
          </cell>
          <cell r="C6">
            <v>14101105</v>
          </cell>
          <cell r="D6" t="str">
            <v>ALHAMBRA 1105</v>
          </cell>
          <cell r="E6">
            <v>8302</v>
          </cell>
          <cell r="F6" t="b">
            <v>0</v>
          </cell>
          <cell r="G6">
            <v>13154.222431211499</v>
          </cell>
          <cell r="H6">
            <v>13154.222431211499</v>
          </cell>
        </row>
        <row r="7">
          <cell r="B7" t="str">
            <v>ALHAMBRA 110595016</v>
          </cell>
          <cell r="C7">
            <v>14101105</v>
          </cell>
          <cell r="D7" t="str">
            <v>ALHAMBRA 1105</v>
          </cell>
          <cell r="E7">
            <v>95016</v>
          </cell>
          <cell r="F7" t="b">
            <v>0</v>
          </cell>
          <cell r="G7">
            <v>7771.8455247162501</v>
          </cell>
          <cell r="H7">
            <v>1223.0109167552901</v>
          </cell>
        </row>
        <row r="8">
          <cell r="B8" t="str">
            <v>ALHAMBRA 1105CB</v>
          </cell>
          <cell r="C8">
            <v>14101105</v>
          </cell>
          <cell r="D8" t="str">
            <v>ALHAMBRA 1105</v>
          </cell>
          <cell r="E8" t="str">
            <v>CB</v>
          </cell>
          <cell r="F8" t="b">
            <v>0</v>
          </cell>
          <cell r="G8">
            <v>3053.2386592745002</v>
          </cell>
          <cell r="H8">
            <v>1333.5261714676999</v>
          </cell>
        </row>
        <row r="9">
          <cell r="B9" t="str">
            <v>ALLEGHANY 11011101/2</v>
          </cell>
          <cell r="C9">
            <v>152101101</v>
          </cell>
          <cell r="D9" t="str">
            <v>ALLEGHANY 1101</v>
          </cell>
          <cell r="E9" t="str">
            <v>1101/2</v>
          </cell>
          <cell r="F9" t="b">
            <v>1</v>
          </cell>
          <cell r="G9">
            <v>32.882416896660999</v>
          </cell>
          <cell r="H9">
            <v>32.882416896660999</v>
          </cell>
        </row>
        <row r="10">
          <cell r="B10" t="str">
            <v>ALLEGHANY 11011101/2</v>
          </cell>
          <cell r="C10">
            <v>152101101</v>
          </cell>
          <cell r="D10" t="str">
            <v>ALLEGHANY 1101</v>
          </cell>
          <cell r="E10" t="str">
            <v>1101/2</v>
          </cell>
          <cell r="F10" t="b">
            <v>1</v>
          </cell>
          <cell r="G10">
            <v>36.983949396378897</v>
          </cell>
          <cell r="H10">
            <v>36.983949396378897</v>
          </cell>
        </row>
        <row r="11">
          <cell r="B11" t="str">
            <v>ALLEGHANY 1101804</v>
          </cell>
          <cell r="C11">
            <v>152101101</v>
          </cell>
          <cell r="D11" t="str">
            <v>ALLEGHANY 1101</v>
          </cell>
          <cell r="E11">
            <v>804</v>
          </cell>
          <cell r="F11" t="b">
            <v>0</v>
          </cell>
          <cell r="G11">
            <v>35223.487763612</v>
          </cell>
          <cell r="H11">
            <v>35223.487763612</v>
          </cell>
        </row>
        <row r="12">
          <cell r="B12" t="str">
            <v>ALLEGHANY 1101806</v>
          </cell>
          <cell r="C12">
            <v>152101101</v>
          </cell>
          <cell r="D12" t="str">
            <v>ALLEGHANY 1101</v>
          </cell>
          <cell r="E12">
            <v>806</v>
          </cell>
          <cell r="F12" t="b">
            <v>0</v>
          </cell>
          <cell r="G12">
            <v>18143.391548773201</v>
          </cell>
          <cell r="H12">
            <v>18143.391548773201</v>
          </cell>
        </row>
        <row r="13">
          <cell r="B13" t="str">
            <v>ALLEGHANY 1101808</v>
          </cell>
          <cell r="C13">
            <v>152101101</v>
          </cell>
          <cell r="D13" t="str">
            <v>ALLEGHANY 1101</v>
          </cell>
          <cell r="E13">
            <v>808</v>
          </cell>
          <cell r="F13" t="b">
            <v>0</v>
          </cell>
          <cell r="G13">
            <v>9941.3745219259599</v>
          </cell>
          <cell r="H13">
            <v>9941.3745219259599</v>
          </cell>
        </row>
        <row r="14">
          <cell r="B14" t="str">
            <v>ALLEGHANY 1101978</v>
          </cell>
          <cell r="C14">
            <v>152101101</v>
          </cell>
          <cell r="D14" t="str">
            <v>ALLEGHANY 1101</v>
          </cell>
          <cell r="E14">
            <v>978</v>
          </cell>
          <cell r="F14" t="b">
            <v>0</v>
          </cell>
          <cell r="G14">
            <v>47571.500979636599</v>
          </cell>
          <cell r="H14">
            <v>22458.202142680198</v>
          </cell>
        </row>
        <row r="15">
          <cell r="B15" t="str">
            <v>ALLEGHANY 1101CB</v>
          </cell>
          <cell r="C15">
            <v>152101101</v>
          </cell>
          <cell r="D15" t="str">
            <v>ALLEGHANY 1101</v>
          </cell>
          <cell r="E15" t="str">
            <v>CB</v>
          </cell>
          <cell r="F15" t="b">
            <v>0</v>
          </cell>
          <cell r="G15">
            <v>7034.6563030327598</v>
          </cell>
          <cell r="H15">
            <v>7034.6563030327598</v>
          </cell>
        </row>
        <row r="16">
          <cell r="B16" t="str">
            <v>ALLEGHANY 1101VR816</v>
          </cell>
          <cell r="C16">
            <v>152101101</v>
          </cell>
          <cell r="D16" t="str">
            <v>ALLEGHANY 1101</v>
          </cell>
          <cell r="E16" t="str">
            <v>VR816</v>
          </cell>
          <cell r="F16" t="b">
            <v>0</v>
          </cell>
          <cell r="G16">
            <v>6675.89352232279</v>
          </cell>
          <cell r="H16">
            <v>6675.89352232279</v>
          </cell>
        </row>
        <row r="17">
          <cell r="B17" t="str">
            <v>ALLEGHANY 11021101/2</v>
          </cell>
          <cell r="C17">
            <v>152101102</v>
          </cell>
          <cell r="D17" t="str">
            <v>ALLEGHANY 1102</v>
          </cell>
          <cell r="E17" t="str">
            <v>1101/2</v>
          </cell>
          <cell r="F17" t="b">
            <v>1</v>
          </cell>
          <cell r="G17">
            <v>31.189663899521801</v>
          </cell>
          <cell r="H17">
            <v>31.189663899521801</v>
          </cell>
        </row>
        <row r="18">
          <cell r="B18" t="str">
            <v>ALLEGHANY 1102CB</v>
          </cell>
          <cell r="C18">
            <v>152101102</v>
          </cell>
          <cell r="D18" t="str">
            <v>ALLEGHANY 1102</v>
          </cell>
          <cell r="E18" t="str">
            <v>CB</v>
          </cell>
          <cell r="F18" t="b">
            <v>0</v>
          </cell>
          <cell r="G18">
            <v>28981.299213656501</v>
          </cell>
          <cell r="H18">
            <v>28981.299213656501</v>
          </cell>
        </row>
        <row r="19">
          <cell r="B19" t="str">
            <v>ALTO 11201214</v>
          </cell>
          <cell r="C19">
            <v>42031120</v>
          </cell>
          <cell r="D19" t="str">
            <v>ALTO 1120</v>
          </cell>
          <cell r="E19">
            <v>1214</v>
          </cell>
          <cell r="F19" t="b">
            <v>0</v>
          </cell>
          <cell r="G19">
            <v>7293.1720657382002</v>
          </cell>
          <cell r="H19">
            <v>5549.8667741443896</v>
          </cell>
        </row>
        <row r="20">
          <cell r="B20" t="str">
            <v>ALTO 1120500</v>
          </cell>
          <cell r="C20">
            <v>42031120</v>
          </cell>
          <cell r="D20" t="str">
            <v>ALTO 1120</v>
          </cell>
          <cell r="E20">
            <v>500</v>
          </cell>
          <cell r="F20" t="b">
            <v>1</v>
          </cell>
          <cell r="G20">
            <v>5066.4275080494499</v>
          </cell>
          <cell r="H20">
            <v>426.221075069856</v>
          </cell>
        </row>
        <row r="21">
          <cell r="B21" t="str">
            <v>ALTO 112081716</v>
          </cell>
          <cell r="C21">
            <v>42031120</v>
          </cell>
          <cell r="D21" t="str">
            <v>ALTO 1120</v>
          </cell>
          <cell r="E21">
            <v>81716</v>
          </cell>
          <cell r="F21" t="b">
            <v>1</v>
          </cell>
          <cell r="G21">
            <v>406.75047741699501</v>
          </cell>
          <cell r="H21">
            <v>406.75047741699501</v>
          </cell>
        </row>
        <row r="22">
          <cell r="B22" t="str">
            <v>ALTO 112088190</v>
          </cell>
          <cell r="C22">
            <v>42031120</v>
          </cell>
          <cell r="D22" t="str">
            <v>ALTO 1120</v>
          </cell>
          <cell r="E22">
            <v>88190</v>
          </cell>
          <cell r="F22" t="b">
            <v>1</v>
          </cell>
          <cell r="G22">
            <v>4658.76368283791</v>
          </cell>
          <cell r="H22">
            <v>163.03482307986201</v>
          </cell>
        </row>
        <row r="23">
          <cell r="B23" t="str">
            <v>ALTO 11221212</v>
          </cell>
          <cell r="C23">
            <v>42031122</v>
          </cell>
          <cell r="D23" t="str">
            <v>ALTO 1122</v>
          </cell>
          <cell r="E23">
            <v>1212</v>
          </cell>
          <cell r="F23" t="b">
            <v>0</v>
          </cell>
          <cell r="G23">
            <v>3797.01711902341</v>
          </cell>
          <cell r="H23">
            <v>2977.1940924287101</v>
          </cell>
        </row>
        <row r="24">
          <cell r="B24" t="str">
            <v>ALTO 11221260</v>
          </cell>
          <cell r="C24">
            <v>42031122</v>
          </cell>
          <cell r="D24" t="str">
            <v>ALTO 1122</v>
          </cell>
          <cell r="E24">
            <v>1260</v>
          </cell>
          <cell r="F24" t="b">
            <v>0</v>
          </cell>
          <cell r="G24">
            <v>4901.8674250412996</v>
          </cell>
          <cell r="H24">
            <v>4807.0968629156796</v>
          </cell>
        </row>
        <row r="25">
          <cell r="B25" t="str">
            <v>ALTO 1122591122</v>
          </cell>
          <cell r="C25">
            <v>42031122</v>
          </cell>
          <cell r="D25" t="str">
            <v>ALTO 1122</v>
          </cell>
          <cell r="E25">
            <v>591122</v>
          </cell>
          <cell r="F25" t="b">
            <v>1</v>
          </cell>
          <cell r="G25">
            <v>748.68206863518003</v>
          </cell>
          <cell r="H25">
            <v>748.68206863518003</v>
          </cell>
        </row>
        <row r="26">
          <cell r="B26" t="str">
            <v>ALTO 112265474</v>
          </cell>
          <cell r="C26">
            <v>42031122</v>
          </cell>
          <cell r="D26" t="str">
            <v>ALTO 1122</v>
          </cell>
          <cell r="E26">
            <v>65474</v>
          </cell>
          <cell r="F26" t="b">
            <v>0</v>
          </cell>
          <cell r="G26">
            <v>5862.68164849608</v>
          </cell>
          <cell r="H26">
            <v>3837.7425075358201</v>
          </cell>
        </row>
        <row r="27">
          <cell r="B27" t="str">
            <v>ALTO 112278672</v>
          </cell>
          <cell r="C27">
            <v>42031122</v>
          </cell>
          <cell r="D27" t="str">
            <v>ALTO 1122</v>
          </cell>
          <cell r="E27">
            <v>78672</v>
          </cell>
          <cell r="F27" t="b">
            <v>0</v>
          </cell>
          <cell r="G27">
            <v>14393.478723009201</v>
          </cell>
          <cell r="H27">
            <v>6078.7897714523997</v>
          </cell>
        </row>
        <row r="28">
          <cell r="B28" t="str">
            <v>ALTO 1122CB</v>
          </cell>
          <cell r="C28">
            <v>42031122</v>
          </cell>
          <cell r="D28" t="str">
            <v>ALTO 1122</v>
          </cell>
          <cell r="E28" t="str">
            <v>CB</v>
          </cell>
          <cell r="F28" t="b">
            <v>0</v>
          </cell>
          <cell r="G28">
            <v>5576.1235687900298</v>
          </cell>
          <cell r="H28">
            <v>3611.6831317964202</v>
          </cell>
        </row>
        <row r="29">
          <cell r="B29" t="str">
            <v>ALTO 1123820379</v>
          </cell>
          <cell r="C29">
            <v>42031123</v>
          </cell>
          <cell r="D29" t="str">
            <v>ALTO 1123</v>
          </cell>
          <cell r="E29">
            <v>820379</v>
          </cell>
          <cell r="F29" t="b">
            <v>1</v>
          </cell>
          <cell r="G29">
            <v>298.22277074662497</v>
          </cell>
          <cell r="H29">
            <v>245.29113302261899</v>
          </cell>
        </row>
        <row r="30">
          <cell r="B30" t="str">
            <v>ALTO 1123CB</v>
          </cell>
          <cell r="C30">
            <v>42031123</v>
          </cell>
          <cell r="D30" t="str">
            <v>ALTO 1123</v>
          </cell>
          <cell r="E30" t="str">
            <v>CB</v>
          </cell>
          <cell r="F30" t="b">
            <v>1</v>
          </cell>
          <cell r="G30">
            <v>9405.5467531950399</v>
          </cell>
          <cell r="H30">
            <v>893.64617118189994</v>
          </cell>
        </row>
        <row r="31">
          <cell r="B31" t="str">
            <v>ALTO 1124246034</v>
          </cell>
          <cell r="C31">
            <v>42031124</v>
          </cell>
          <cell r="D31" t="str">
            <v>ALTO 1124</v>
          </cell>
          <cell r="E31">
            <v>246034</v>
          </cell>
          <cell r="F31" t="b">
            <v>1</v>
          </cell>
          <cell r="G31">
            <v>413.53554782104999</v>
          </cell>
          <cell r="H31">
            <v>202.275808357443</v>
          </cell>
        </row>
        <row r="32">
          <cell r="B32" t="str">
            <v>ALTO 11243121</v>
          </cell>
          <cell r="C32">
            <v>42031124</v>
          </cell>
          <cell r="D32" t="str">
            <v>ALTO 1124</v>
          </cell>
          <cell r="E32">
            <v>3121</v>
          </cell>
          <cell r="F32" t="b">
            <v>0</v>
          </cell>
          <cell r="G32">
            <v>4501.3903878763003</v>
          </cell>
          <cell r="H32">
            <v>4501.3903878763003</v>
          </cell>
        </row>
        <row r="33">
          <cell r="B33" t="str">
            <v>ALTO 1124319320</v>
          </cell>
          <cell r="C33">
            <v>42031124</v>
          </cell>
          <cell r="D33" t="str">
            <v>ALTO 1124</v>
          </cell>
          <cell r="E33">
            <v>319320</v>
          </cell>
          <cell r="F33" t="b">
            <v>1</v>
          </cell>
          <cell r="G33">
            <v>221.625213271635</v>
          </cell>
          <cell r="H33">
            <v>210.617232935462</v>
          </cell>
        </row>
        <row r="34">
          <cell r="B34" t="str">
            <v>ALTO 11243745</v>
          </cell>
          <cell r="C34">
            <v>42031124</v>
          </cell>
          <cell r="D34" t="str">
            <v>ALTO 1124</v>
          </cell>
          <cell r="E34">
            <v>3745</v>
          </cell>
          <cell r="F34" t="b">
            <v>0</v>
          </cell>
          <cell r="G34">
            <v>7247.2343248194702</v>
          </cell>
          <cell r="H34">
            <v>7247.2343248194702</v>
          </cell>
        </row>
        <row r="35">
          <cell r="B35" t="str">
            <v>ALTO 1124428</v>
          </cell>
          <cell r="C35">
            <v>42031124</v>
          </cell>
          <cell r="D35" t="str">
            <v>ALTO 1124</v>
          </cell>
          <cell r="E35">
            <v>428</v>
          </cell>
          <cell r="F35" t="b">
            <v>1</v>
          </cell>
          <cell r="G35">
            <v>2739.6912435723698</v>
          </cell>
          <cell r="H35">
            <v>0</v>
          </cell>
        </row>
        <row r="36">
          <cell r="B36" t="str">
            <v>ALTO 1124430</v>
          </cell>
          <cell r="C36">
            <v>42031124</v>
          </cell>
          <cell r="D36" t="str">
            <v>ALTO 1124</v>
          </cell>
          <cell r="E36">
            <v>430</v>
          </cell>
          <cell r="F36" t="b">
            <v>0</v>
          </cell>
          <cell r="G36">
            <v>11355.597944986301</v>
          </cell>
          <cell r="H36">
            <v>11355.597944986301</v>
          </cell>
        </row>
        <row r="37">
          <cell r="B37" t="str">
            <v>ALTO 1124432</v>
          </cell>
          <cell r="C37">
            <v>42031124</v>
          </cell>
          <cell r="D37" t="str">
            <v>ALTO 1124</v>
          </cell>
          <cell r="E37">
            <v>432</v>
          </cell>
          <cell r="F37" t="b">
            <v>0</v>
          </cell>
          <cell r="G37">
            <v>12624.335090630701</v>
          </cell>
          <cell r="H37">
            <v>12624.335090630701</v>
          </cell>
        </row>
        <row r="38">
          <cell r="B38" t="str">
            <v>ALTO 1124526955</v>
          </cell>
          <cell r="C38">
            <v>42031124</v>
          </cell>
          <cell r="D38" t="str">
            <v>ALTO 1124</v>
          </cell>
          <cell r="E38">
            <v>526955</v>
          </cell>
          <cell r="F38" t="b">
            <v>1</v>
          </cell>
          <cell r="G38">
            <v>753.54694508769001</v>
          </cell>
          <cell r="H38">
            <v>713.96112822803298</v>
          </cell>
        </row>
        <row r="39">
          <cell r="B39" t="str">
            <v>ALTO 1124553571</v>
          </cell>
          <cell r="C39">
            <v>42031124</v>
          </cell>
          <cell r="D39" t="str">
            <v>ALTO 1124</v>
          </cell>
          <cell r="E39">
            <v>553571</v>
          </cell>
          <cell r="F39" t="b">
            <v>1</v>
          </cell>
          <cell r="G39">
            <v>319.906117302891</v>
          </cell>
          <cell r="H39">
            <v>174.902858445513</v>
          </cell>
        </row>
        <row r="40">
          <cell r="B40" t="str">
            <v>ALTO 1124810594</v>
          </cell>
          <cell r="C40">
            <v>42031124</v>
          </cell>
          <cell r="D40" t="str">
            <v>ALTO 1124</v>
          </cell>
          <cell r="E40">
            <v>810594</v>
          </cell>
          <cell r="F40" t="b">
            <v>1</v>
          </cell>
          <cell r="G40">
            <v>1080.6363760444799</v>
          </cell>
          <cell r="H40">
            <v>899.40733262299796</v>
          </cell>
        </row>
        <row r="41">
          <cell r="B41" t="str">
            <v>ALTO 1124870444</v>
          </cell>
          <cell r="C41">
            <v>42031124</v>
          </cell>
          <cell r="D41" t="str">
            <v>ALTO 1124</v>
          </cell>
          <cell r="E41">
            <v>870444</v>
          </cell>
          <cell r="F41" t="b">
            <v>0</v>
          </cell>
          <cell r="G41">
            <v>4770.1260523486098</v>
          </cell>
          <cell r="H41">
            <v>4746.5040357216903</v>
          </cell>
        </row>
        <row r="42">
          <cell r="B42" t="str">
            <v>ALTO 1124884949</v>
          </cell>
          <cell r="C42">
            <v>42031124</v>
          </cell>
          <cell r="D42" t="str">
            <v>ALTO 1124</v>
          </cell>
          <cell r="E42">
            <v>884949</v>
          </cell>
          <cell r="F42" t="b">
            <v>1</v>
          </cell>
          <cell r="G42">
            <v>693.00996223508196</v>
          </cell>
          <cell r="H42">
            <v>312.73354542463397</v>
          </cell>
        </row>
        <row r="43">
          <cell r="B43" t="str">
            <v>ALTO 1124965060</v>
          </cell>
          <cell r="C43">
            <v>42031124</v>
          </cell>
          <cell r="D43" t="str">
            <v>ALTO 1124</v>
          </cell>
          <cell r="E43">
            <v>965060</v>
          </cell>
          <cell r="F43" t="b">
            <v>1</v>
          </cell>
          <cell r="G43">
            <v>112.517080709665</v>
          </cell>
          <cell r="H43">
            <v>99.654286677371402</v>
          </cell>
        </row>
        <row r="44">
          <cell r="B44" t="str">
            <v>ALTO 1124994213</v>
          </cell>
          <cell r="C44">
            <v>42031124</v>
          </cell>
          <cell r="D44" t="str">
            <v>ALTO 1124</v>
          </cell>
          <cell r="E44">
            <v>994213</v>
          </cell>
          <cell r="F44" t="b">
            <v>1</v>
          </cell>
          <cell r="G44">
            <v>860.15344111585102</v>
          </cell>
          <cell r="H44">
            <v>198.779844536751</v>
          </cell>
        </row>
        <row r="45">
          <cell r="B45" t="str">
            <v>ALTO 1124CB</v>
          </cell>
          <cell r="C45">
            <v>42031124</v>
          </cell>
          <cell r="D45" t="str">
            <v>ALTO 1124</v>
          </cell>
          <cell r="E45" t="str">
            <v>CB</v>
          </cell>
          <cell r="F45" t="b">
            <v>0</v>
          </cell>
          <cell r="G45">
            <v>9084.5964910744606</v>
          </cell>
          <cell r="H45">
            <v>2733.3479990057599</v>
          </cell>
        </row>
        <row r="46">
          <cell r="B46" t="str">
            <v>ALTO 11251158</v>
          </cell>
          <cell r="C46">
            <v>42031125</v>
          </cell>
          <cell r="D46" t="str">
            <v>ALTO 1125</v>
          </cell>
          <cell r="E46">
            <v>1158</v>
          </cell>
          <cell r="F46" t="b">
            <v>0</v>
          </cell>
          <cell r="G46">
            <v>8353.2531254057994</v>
          </cell>
          <cell r="H46">
            <v>3588.3988869251598</v>
          </cell>
        </row>
        <row r="47">
          <cell r="B47" t="str">
            <v>ALTO 11251226</v>
          </cell>
          <cell r="C47">
            <v>42031125</v>
          </cell>
          <cell r="D47" t="str">
            <v>ALTO 1125</v>
          </cell>
          <cell r="E47">
            <v>1226</v>
          </cell>
          <cell r="F47" t="b">
            <v>0</v>
          </cell>
          <cell r="G47">
            <v>12605.0062287075</v>
          </cell>
          <cell r="H47">
            <v>12282.9745054541</v>
          </cell>
        </row>
        <row r="48">
          <cell r="B48" t="str">
            <v>ALTO 11251256</v>
          </cell>
          <cell r="C48">
            <v>42031125</v>
          </cell>
          <cell r="D48" t="str">
            <v>ALTO 1125</v>
          </cell>
          <cell r="E48">
            <v>1256</v>
          </cell>
          <cell r="F48" t="b">
            <v>0</v>
          </cell>
          <cell r="G48">
            <v>12257.9124023884</v>
          </cell>
          <cell r="H48">
            <v>12003.1717853542</v>
          </cell>
        </row>
        <row r="49">
          <cell r="B49" t="str">
            <v>ALTO 1125291744</v>
          </cell>
          <cell r="C49">
            <v>42031125</v>
          </cell>
          <cell r="D49" t="str">
            <v>ALTO 1125</v>
          </cell>
          <cell r="E49">
            <v>291744</v>
          </cell>
          <cell r="F49" t="b">
            <v>1</v>
          </cell>
          <cell r="G49">
            <v>231.131413735705</v>
          </cell>
          <cell r="H49">
            <v>195.79086184995199</v>
          </cell>
        </row>
        <row r="50">
          <cell r="B50" t="str">
            <v>ALTO 1125296476</v>
          </cell>
          <cell r="C50">
            <v>42031125</v>
          </cell>
          <cell r="D50" t="str">
            <v>ALTO 1125</v>
          </cell>
          <cell r="E50">
            <v>296476</v>
          </cell>
          <cell r="F50" t="b">
            <v>0</v>
          </cell>
          <cell r="G50">
            <v>1196.64430358304</v>
          </cell>
          <cell r="H50">
            <v>1061.0327958482701</v>
          </cell>
        </row>
        <row r="51">
          <cell r="B51" t="str">
            <v>ALTO 1125510</v>
          </cell>
          <cell r="C51">
            <v>42031125</v>
          </cell>
          <cell r="D51" t="str">
            <v>ALTO 1125</v>
          </cell>
          <cell r="E51">
            <v>510</v>
          </cell>
          <cell r="F51" t="b">
            <v>0</v>
          </cell>
          <cell r="G51">
            <v>11861.6385071605</v>
          </cell>
          <cell r="H51">
            <v>11861.6385071605</v>
          </cell>
        </row>
        <row r="52">
          <cell r="B52" t="str">
            <v>ALTO 1125781759</v>
          </cell>
          <cell r="C52">
            <v>42031125</v>
          </cell>
          <cell r="D52" t="str">
            <v>ALTO 1125</v>
          </cell>
          <cell r="E52">
            <v>781759</v>
          </cell>
          <cell r="F52" t="b">
            <v>1</v>
          </cell>
          <cell r="G52">
            <v>264.55613881699799</v>
          </cell>
          <cell r="H52">
            <v>210.488708995857</v>
          </cell>
        </row>
        <row r="53">
          <cell r="B53" t="str">
            <v>ALTO 1125902</v>
          </cell>
          <cell r="C53">
            <v>42031125</v>
          </cell>
          <cell r="D53" t="str">
            <v>ALTO 1125</v>
          </cell>
          <cell r="E53">
            <v>902</v>
          </cell>
          <cell r="F53" t="b">
            <v>0</v>
          </cell>
          <cell r="G53">
            <v>19453.8935345707</v>
          </cell>
          <cell r="H53">
            <v>19453.8935345707</v>
          </cell>
        </row>
        <row r="54">
          <cell r="B54" t="str">
            <v>ANDERSON 11011752</v>
          </cell>
          <cell r="C54">
            <v>103261101</v>
          </cell>
          <cell r="D54" t="str">
            <v>ANDERSON 1101</v>
          </cell>
          <cell r="E54">
            <v>1752</v>
          </cell>
          <cell r="F54" t="b">
            <v>0</v>
          </cell>
          <cell r="G54">
            <v>16018.613374483601</v>
          </cell>
          <cell r="H54">
            <v>13551.3972770899</v>
          </cell>
        </row>
        <row r="55">
          <cell r="B55" t="str">
            <v>ANDERSON 1101426745</v>
          </cell>
          <cell r="C55">
            <v>103261101</v>
          </cell>
          <cell r="D55" t="str">
            <v>ANDERSON 1101</v>
          </cell>
          <cell r="E55">
            <v>426745</v>
          </cell>
          <cell r="F55" t="b">
            <v>1</v>
          </cell>
          <cell r="G55">
            <v>328.85614512968698</v>
          </cell>
          <cell r="H55">
            <v>328.85614512968698</v>
          </cell>
        </row>
        <row r="56">
          <cell r="B56" t="str">
            <v>ANDERSON 1101514412</v>
          </cell>
          <cell r="C56">
            <v>103261101</v>
          </cell>
          <cell r="D56" t="str">
            <v>ANDERSON 1101</v>
          </cell>
          <cell r="E56">
            <v>514412</v>
          </cell>
          <cell r="F56" t="b">
            <v>0</v>
          </cell>
          <cell r="G56">
            <v>1675.5187622716901</v>
          </cell>
          <cell r="H56">
            <v>1659.51678548051</v>
          </cell>
        </row>
        <row r="57">
          <cell r="B57" t="str">
            <v>ANDERSON 1101561686</v>
          </cell>
          <cell r="C57">
            <v>103261101</v>
          </cell>
          <cell r="D57" t="str">
            <v>ANDERSON 1101</v>
          </cell>
          <cell r="E57">
            <v>561686</v>
          </cell>
          <cell r="F57" t="b">
            <v>1</v>
          </cell>
          <cell r="G57">
            <v>147.20291916852901</v>
          </cell>
          <cell r="H57">
            <v>147.20291916852901</v>
          </cell>
        </row>
        <row r="58">
          <cell r="B58" t="str">
            <v>ANDERSON 1101583708</v>
          </cell>
          <cell r="C58">
            <v>103261101</v>
          </cell>
          <cell r="D58" t="str">
            <v>ANDERSON 1101</v>
          </cell>
          <cell r="E58">
            <v>583708</v>
          </cell>
          <cell r="F58" t="b">
            <v>0</v>
          </cell>
          <cell r="G58">
            <v>1263.07938259759</v>
          </cell>
          <cell r="H58">
            <v>1011.36412481073</v>
          </cell>
        </row>
        <row r="59">
          <cell r="B59" t="str">
            <v>ANDERSON 1101909424</v>
          </cell>
          <cell r="C59">
            <v>103261101</v>
          </cell>
          <cell r="D59" t="str">
            <v>ANDERSON 1101</v>
          </cell>
          <cell r="E59">
            <v>909424</v>
          </cell>
          <cell r="F59" t="b">
            <v>1</v>
          </cell>
          <cell r="G59">
            <v>642.31557812182905</v>
          </cell>
          <cell r="H59">
            <v>642.31557812182905</v>
          </cell>
        </row>
        <row r="60">
          <cell r="B60" t="str">
            <v>ANDERSON 1101CB</v>
          </cell>
          <cell r="C60">
            <v>103261101</v>
          </cell>
          <cell r="D60" t="str">
            <v>ANDERSON 1101</v>
          </cell>
          <cell r="E60" t="str">
            <v>CB</v>
          </cell>
          <cell r="F60" t="b">
            <v>0</v>
          </cell>
          <cell r="G60">
            <v>10780.8576647564</v>
          </cell>
          <cell r="H60">
            <v>1904.2008550826899</v>
          </cell>
        </row>
        <row r="61">
          <cell r="B61" t="str">
            <v>ANDERSON 11031600</v>
          </cell>
          <cell r="C61">
            <v>103261103</v>
          </cell>
          <cell r="D61" t="str">
            <v>ANDERSON 1103</v>
          </cell>
          <cell r="E61">
            <v>1600</v>
          </cell>
          <cell r="F61" t="b">
            <v>0</v>
          </cell>
          <cell r="G61">
            <v>17254.9785020907</v>
          </cell>
          <cell r="H61">
            <v>7231.4681876778704</v>
          </cell>
        </row>
        <row r="62">
          <cell r="B62" t="str">
            <v>ANDERSON 1103226050</v>
          </cell>
          <cell r="C62">
            <v>103261103</v>
          </cell>
          <cell r="D62" t="str">
            <v>ANDERSON 1103</v>
          </cell>
          <cell r="E62">
            <v>226050</v>
          </cell>
          <cell r="F62" t="b">
            <v>0</v>
          </cell>
          <cell r="G62">
            <v>24153.200431203401</v>
          </cell>
          <cell r="H62">
            <v>7845.4548676105696</v>
          </cell>
        </row>
        <row r="63">
          <cell r="B63" t="str">
            <v>ANITA 1106552724</v>
          </cell>
          <cell r="C63">
            <v>102841106</v>
          </cell>
          <cell r="D63" t="str">
            <v>ANITA 1106</v>
          </cell>
          <cell r="E63">
            <v>552724</v>
          </cell>
          <cell r="F63" t="b">
            <v>0</v>
          </cell>
          <cell r="G63">
            <v>23613.9533635062</v>
          </cell>
          <cell r="H63">
            <v>2363.81762627744</v>
          </cell>
        </row>
        <row r="64">
          <cell r="B64" t="str">
            <v>ANNAPOLIS 1101528344</v>
          </cell>
          <cell r="C64">
            <v>42861101</v>
          </cell>
          <cell r="D64" t="str">
            <v>ANNAPOLIS 1101</v>
          </cell>
          <cell r="E64">
            <v>528344</v>
          </cell>
          <cell r="F64" t="b">
            <v>0</v>
          </cell>
          <cell r="G64">
            <v>43372.083839683597</v>
          </cell>
          <cell r="H64">
            <v>43372.083839683597</v>
          </cell>
        </row>
        <row r="65">
          <cell r="B65" t="str">
            <v>ANNAPOLIS 1101608</v>
          </cell>
          <cell r="C65">
            <v>42861101</v>
          </cell>
          <cell r="D65" t="str">
            <v>ANNAPOLIS 1101</v>
          </cell>
          <cell r="E65">
            <v>608</v>
          </cell>
          <cell r="F65" t="b">
            <v>0</v>
          </cell>
          <cell r="G65">
            <v>28658.117485426501</v>
          </cell>
          <cell r="H65">
            <v>28658.117485426501</v>
          </cell>
        </row>
        <row r="66">
          <cell r="B66" t="str">
            <v>ANNAPOLIS 110176842</v>
          </cell>
          <cell r="C66">
            <v>42861101</v>
          </cell>
          <cell r="D66" t="str">
            <v>ANNAPOLIS 1101</v>
          </cell>
          <cell r="E66">
            <v>76842</v>
          </cell>
          <cell r="F66" t="b">
            <v>0</v>
          </cell>
          <cell r="G66">
            <v>9156.7063989070903</v>
          </cell>
          <cell r="H66">
            <v>9156.7063989070903</v>
          </cell>
        </row>
        <row r="67">
          <cell r="B67" t="str">
            <v>ANNAPOLIS 1101CB</v>
          </cell>
          <cell r="C67">
            <v>42861101</v>
          </cell>
          <cell r="D67" t="str">
            <v>ANNAPOLIS 1101</v>
          </cell>
          <cell r="E67" t="str">
            <v>CB</v>
          </cell>
          <cell r="F67" t="b">
            <v>0</v>
          </cell>
          <cell r="G67">
            <v>1058.7166057909201</v>
          </cell>
          <cell r="H67">
            <v>1058.7166057909201</v>
          </cell>
        </row>
        <row r="68">
          <cell r="B68" t="str">
            <v>ANTELOPE 1101318686</v>
          </cell>
          <cell r="C68">
            <v>252021101</v>
          </cell>
          <cell r="D68" t="str">
            <v>ANTELOPE 1101</v>
          </cell>
          <cell r="E68">
            <v>318686</v>
          </cell>
          <cell r="F68" t="b">
            <v>0</v>
          </cell>
          <cell r="G68">
            <v>4853.6414369602899</v>
          </cell>
          <cell r="H68">
            <v>2345.6024451165799</v>
          </cell>
        </row>
        <row r="69">
          <cell r="B69" t="str">
            <v>ANTLER 11011376</v>
          </cell>
          <cell r="C69">
            <v>103271101</v>
          </cell>
          <cell r="D69" t="str">
            <v>ANTLER 1101</v>
          </cell>
          <cell r="E69">
            <v>1376</v>
          </cell>
          <cell r="F69" t="b">
            <v>0</v>
          </cell>
          <cell r="G69">
            <v>14477.8455235852</v>
          </cell>
          <cell r="H69">
            <v>14477.8455235852</v>
          </cell>
        </row>
        <row r="70">
          <cell r="B70" t="str">
            <v>ANTLER 11011378</v>
          </cell>
          <cell r="C70">
            <v>103271101</v>
          </cell>
          <cell r="D70" t="str">
            <v>ANTLER 1101</v>
          </cell>
          <cell r="E70">
            <v>1378</v>
          </cell>
          <cell r="F70" t="b">
            <v>0</v>
          </cell>
          <cell r="G70">
            <v>40111.582920883498</v>
          </cell>
          <cell r="H70">
            <v>39490.714860357402</v>
          </cell>
        </row>
        <row r="71">
          <cell r="B71" t="str">
            <v>ANTLER 11011384</v>
          </cell>
          <cell r="C71">
            <v>103271101</v>
          </cell>
          <cell r="D71" t="str">
            <v>ANTLER 1101</v>
          </cell>
          <cell r="E71">
            <v>1384</v>
          </cell>
          <cell r="F71" t="b">
            <v>0</v>
          </cell>
          <cell r="G71">
            <v>14709.9252685422</v>
          </cell>
          <cell r="H71">
            <v>14709.9252685422</v>
          </cell>
        </row>
        <row r="72">
          <cell r="B72" t="str">
            <v>ANTLER 11011520</v>
          </cell>
          <cell r="C72">
            <v>103271101</v>
          </cell>
          <cell r="D72" t="str">
            <v>ANTLER 1101</v>
          </cell>
          <cell r="E72">
            <v>1520</v>
          </cell>
          <cell r="F72" t="b">
            <v>0</v>
          </cell>
          <cell r="G72">
            <v>14435.9237465603</v>
          </cell>
          <cell r="H72">
            <v>14435.9237465603</v>
          </cell>
        </row>
        <row r="73">
          <cell r="B73" t="str">
            <v>ANTLER 11011612</v>
          </cell>
          <cell r="C73">
            <v>103271101</v>
          </cell>
          <cell r="D73" t="str">
            <v>ANTLER 1101</v>
          </cell>
          <cell r="E73">
            <v>1612</v>
          </cell>
          <cell r="F73" t="b">
            <v>0</v>
          </cell>
          <cell r="G73">
            <v>14766.297060204901</v>
          </cell>
          <cell r="H73">
            <v>14766.297060204901</v>
          </cell>
        </row>
        <row r="74">
          <cell r="B74" t="str">
            <v>ANTLER 1101CB</v>
          </cell>
          <cell r="C74">
            <v>103271101</v>
          </cell>
          <cell r="D74" t="str">
            <v>ANTLER 1101</v>
          </cell>
          <cell r="E74" t="str">
            <v>CB</v>
          </cell>
          <cell r="F74" t="b">
            <v>0</v>
          </cell>
          <cell r="G74">
            <v>2574.4725295532198</v>
          </cell>
          <cell r="H74">
            <v>2574.4725295532198</v>
          </cell>
        </row>
        <row r="75">
          <cell r="B75" t="str">
            <v>APPLE HILL 110313312</v>
          </cell>
          <cell r="C75">
            <v>153661103</v>
          </cell>
          <cell r="D75" t="str">
            <v>APPLE HILL 1103</v>
          </cell>
          <cell r="E75">
            <v>13312</v>
          </cell>
          <cell r="F75" t="b">
            <v>0</v>
          </cell>
          <cell r="G75">
            <v>28501.024512268599</v>
          </cell>
          <cell r="H75">
            <v>21155.738774885602</v>
          </cell>
        </row>
        <row r="76">
          <cell r="B76" t="str">
            <v>APPLE HILL 11038412</v>
          </cell>
          <cell r="C76">
            <v>153661103</v>
          </cell>
          <cell r="D76" t="str">
            <v>APPLE HILL 1103</v>
          </cell>
          <cell r="E76">
            <v>8412</v>
          </cell>
          <cell r="F76" t="b">
            <v>0</v>
          </cell>
          <cell r="G76">
            <v>31508.675110967601</v>
          </cell>
          <cell r="H76">
            <v>31508.675110967601</v>
          </cell>
        </row>
        <row r="77">
          <cell r="B77" t="str">
            <v>APPLE HILL 1103CB</v>
          </cell>
          <cell r="C77">
            <v>153661103</v>
          </cell>
          <cell r="D77" t="str">
            <v>APPLE HILL 1103</v>
          </cell>
          <cell r="E77" t="str">
            <v>CB</v>
          </cell>
          <cell r="F77" t="b">
            <v>0</v>
          </cell>
          <cell r="G77">
            <v>36721.924205454801</v>
          </cell>
          <cell r="H77">
            <v>31128.549041220002</v>
          </cell>
        </row>
        <row r="78">
          <cell r="B78" t="str">
            <v>APPLE HILL 110412832</v>
          </cell>
          <cell r="C78">
            <v>153661104</v>
          </cell>
          <cell r="D78" t="str">
            <v>APPLE HILL 1104</v>
          </cell>
          <cell r="E78">
            <v>12832</v>
          </cell>
          <cell r="F78" t="b">
            <v>0</v>
          </cell>
          <cell r="G78">
            <v>24421.2649126129</v>
          </cell>
          <cell r="H78">
            <v>23234.360373644398</v>
          </cell>
        </row>
        <row r="79">
          <cell r="B79" t="str">
            <v>APPLE HILL 110412842</v>
          </cell>
          <cell r="C79">
            <v>153661104</v>
          </cell>
          <cell r="D79" t="str">
            <v>APPLE HILL 1104</v>
          </cell>
          <cell r="E79">
            <v>12842</v>
          </cell>
          <cell r="F79" t="b">
            <v>0</v>
          </cell>
          <cell r="G79">
            <v>27066.259530622399</v>
          </cell>
          <cell r="H79">
            <v>25454.140827929699</v>
          </cell>
        </row>
        <row r="80">
          <cell r="B80" t="str">
            <v>APPLE HILL 110412947</v>
          </cell>
          <cell r="C80">
            <v>153661104</v>
          </cell>
          <cell r="D80" t="str">
            <v>APPLE HILL 1104</v>
          </cell>
          <cell r="E80">
            <v>12947</v>
          </cell>
          <cell r="F80" t="b">
            <v>0</v>
          </cell>
          <cell r="G80">
            <v>5709.2465457927301</v>
          </cell>
          <cell r="H80">
            <v>5709.2465457927301</v>
          </cell>
        </row>
        <row r="81">
          <cell r="B81" t="str">
            <v>APPLE HILL 110413512</v>
          </cell>
          <cell r="C81">
            <v>153661104</v>
          </cell>
          <cell r="D81" t="str">
            <v>APPLE HILL 1104</v>
          </cell>
          <cell r="E81">
            <v>13512</v>
          </cell>
          <cell r="F81" t="b">
            <v>0</v>
          </cell>
          <cell r="G81">
            <v>49131.770457185499</v>
          </cell>
          <cell r="H81">
            <v>45791.886861485102</v>
          </cell>
        </row>
        <row r="82">
          <cell r="B82" t="str">
            <v>APPLE HILL 1104814656</v>
          </cell>
          <cell r="C82">
            <v>153661104</v>
          </cell>
          <cell r="D82" t="str">
            <v>APPLE HILL 1104</v>
          </cell>
          <cell r="E82">
            <v>814656</v>
          </cell>
          <cell r="F82" t="b">
            <v>1</v>
          </cell>
          <cell r="G82">
            <v>28.125195390711301</v>
          </cell>
          <cell r="H82">
            <v>28.125195390711301</v>
          </cell>
        </row>
        <row r="83">
          <cell r="B83" t="str">
            <v>APPLE HILL 110497086</v>
          </cell>
          <cell r="C83">
            <v>153661104</v>
          </cell>
          <cell r="D83" t="str">
            <v>APPLE HILL 1104</v>
          </cell>
          <cell r="E83">
            <v>97086</v>
          </cell>
          <cell r="F83" t="b">
            <v>0</v>
          </cell>
          <cell r="G83">
            <v>41345.098670548701</v>
          </cell>
          <cell r="H83">
            <v>41345.098670548701</v>
          </cell>
        </row>
        <row r="84">
          <cell r="B84" t="str">
            <v>APPLE HILL 1104CB</v>
          </cell>
          <cell r="C84">
            <v>153661104</v>
          </cell>
          <cell r="D84" t="str">
            <v>APPLE HILL 1104</v>
          </cell>
          <cell r="E84" t="str">
            <v>CB</v>
          </cell>
          <cell r="F84" t="b">
            <v>0</v>
          </cell>
          <cell r="G84">
            <v>6578.3972286028702</v>
          </cell>
          <cell r="H84">
            <v>6578.3972286028702</v>
          </cell>
        </row>
        <row r="85">
          <cell r="B85" t="str">
            <v>APPLE HILL 21021532</v>
          </cell>
          <cell r="C85">
            <v>153662102</v>
          </cell>
          <cell r="D85" t="str">
            <v>APPLE HILL 2102</v>
          </cell>
          <cell r="E85">
            <v>1532</v>
          </cell>
          <cell r="F85" t="b">
            <v>0</v>
          </cell>
          <cell r="G85">
            <v>68074.997639785899</v>
          </cell>
          <cell r="H85">
            <v>62691.336887810503</v>
          </cell>
        </row>
        <row r="86">
          <cell r="B86" t="str">
            <v>APPLE HILL 2102186912</v>
          </cell>
          <cell r="C86">
            <v>153662102</v>
          </cell>
          <cell r="D86" t="str">
            <v>APPLE HILL 2102</v>
          </cell>
          <cell r="E86">
            <v>186912</v>
          </cell>
          <cell r="F86" t="b">
            <v>0</v>
          </cell>
          <cell r="G86">
            <v>97116.524963762306</v>
          </cell>
          <cell r="H86">
            <v>94273.572339503196</v>
          </cell>
        </row>
        <row r="87">
          <cell r="B87" t="str">
            <v>APPLE HILL 210251792</v>
          </cell>
          <cell r="C87">
            <v>153662102</v>
          </cell>
          <cell r="D87" t="str">
            <v>APPLE HILL 2102</v>
          </cell>
          <cell r="E87">
            <v>51792</v>
          </cell>
          <cell r="F87" t="b">
            <v>0</v>
          </cell>
          <cell r="G87">
            <v>15055.1772031455</v>
          </cell>
          <cell r="H87">
            <v>15055.1772031455</v>
          </cell>
        </row>
        <row r="88">
          <cell r="B88" t="str">
            <v>APPLE HILL 21026552</v>
          </cell>
          <cell r="C88">
            <v>153662102</v>
          </cell>
          <cell r="D88" t="str">
            <v>APPLE HILL 2102</v>
          </cell>
          <cell r="E88">
            <v>6552</v>
          </cell>
          <cell r="F88" t="b">
            <v>0</v>
          </cell>
          <cell r="G88">
            <v>20088.956243669702</v>
          </cell>
          <cell r="H88">
            <v>20088.956243669702</v>
          </cell>
        </row>
        <row r="89">
          <cell r="B89" t="str">
            <v>APPLE HILL 21027502</v>
          </cell>
          <cell r="C89">
            <v>153662102</v>
          </cell>
          <cell r="D89" t="str">
            <v>APPLE HILL 2102</v>
          </cell>
          <cell r="E89">
            <v>7502</v>
          </cell>
          <cell r="F89" t="b">
            <v>0</v>
          </cell>
          <cell r="G89">
            <v>36933.345375395496</v>
          </cell>
          <cell r="H89">
            <v>36933.345375395496</v>
          </cell>
        </row>
        <row r="90">
          <cell r="B90" t="str">
            <v>APPLE HILL 210277546</v>
          </cell>
          <cell r="C90">
            <v>153662102</v>
          </cell>
          <cell r="D90" t="str">
            <v>APPLE HILL 2102</v>
          </cell>
          <cell r="E90">
            <v>77546</v>
          </cell>
          <cell r="F90" t="b">
            <v>0</v>
          </cell>
          <cell r="G90">
            <v>69346.932745826402</v>
          </cell>
          <cell r="H90">
            <v>69346.932745826402</v>
          </cell>
        </row>
        <row r="91">
          <cell r="B91" t="str">
            <v>APPLE HILL 21028372</v>
          </cell>
          <cell r="C91">
            <v>153662102</v>
          </cell>
          <cell r="D91" t="str">
            <v>APPLE HILL 2102</v>
          </cell>
          <cell r="E91">
            <v>8372</v>
          </cell>
          <cell r="F91" t="b">
            <v>0</v>
          </cell>
          <cell r="G91">
            <v>101264.49035794599</v>
          </cell>
          <cell r="H91">
            <v>94481.7776559544</v>
          </cell>
        </row>
        <row r="92">
          <cell r="B92" t="str">
            <v>APPLE HILL 210289934</v>
          </cell>
          <cell r="C92">
            <v>153662102</v>
          </cell>
          <cell r="D92" t="str">
            <v>APPLE HILL 2102</v>
          </cell>
          <cell r="E92">
            <v>89934</v>
          </cell>
          <cell r="F92" t="b">
            <v>0</v>
          </cell>
          <cell r="G92">
            <v>8917.9013010040508</v>
          </cell>
          <cell r="H92">
            <v>8917.9013010040508</v>
          </cell>
        </row>
        <row r="93">
          <cell r="B93" t="str">
            <v>APPLE HILL 21029722</v>
          </cell>
          <cell r="C93">
            <v>153662102</v>
          </cell>
          <cell r="D93" t="str">
            <v>APPLE HILL 2102</v>
          </cell>
          <cell r="E93">
            <v>9722</v>
          </cell>
          <cell r="F93" t="b">
            <v>0</v>
          </cell>
          <cell r="G93">
            <v>62437.516451360199</v>
          </cell>
          <cell r="H93">
            <v>62437.516451360199</v>
          </cell>
        </row>
        <row r="94">
          <cell r="B94" t="str">
            <v>APPLE HILL 210297982</v>
          </cell>
          <cell r="C94">
            <v>153662102</v>
          </cell>
          <cell r="D94" t="str">
            <v>APPLE HILL 2102</v>
          </cell>
          <cell r="E94">
            <v>97982</v>
          </cell>
          <cell r="F94" t="b">
            <v>0</v>
          </cell>
          <cell r="G94">
            <v>15545.7353675986</v>
          </cell>
          <cell r="H94">
            <v>15545.7353675986</v>
          </cell>
        </row>
        <row r="95">
          <cell r="B95" t="str">
            <v>APPLE HILL 2102CB</v>
          </cell>
          <cell r="C95">
            <v>153662102</v>
          </cell>
          <cell r="D95" t="str">
            <v>APPLE HILL 2102</v>
          </cell>
          <cell r="E95" t="str">
            <v>CB</v>
          </cell>
          <cell r="F95" t="b">
            <v>0</v>
          </cell>
          <cell r="G95">
            <v>66423.250298580504</v>
          </cell>
          <cell r="H95">
            <v>66423.250298580504</v>
          </cell>
        </row>
        <row r="96">
          <cell r="B96" t="str">
            <v>ARBUCKLE 1104669720</v>
          </cell>
          <cell r="C96">
            <v>62081104</v>
          </cell>
          <cell r="D96" t="str">
            <v>ARBUCKLE 1104</v>
          </cell>
          <cell r="E96">
            <v>669720</v>
          </cell>
          <cell r="F96" t="b">
            <v>0</v>
          </cell>
          <cell r="G96">
            <v>7831.1317627581502</v>
          </cell>
          <cell r="H96">
            <v>3612.2460812750501</v>
          </cell>
        </row>
        <row r="97">
          <cell r="B97" t="str">
            <v>ARCATA 1121716954</v>
          </cell>
          <cell r="C97">
            <v>192021121</v>
          </cell>
          <cell r="D97" t="str">
            <v>ARCATA 1121</v>
          </cell>
          <cell r="E97">
            <v>716954</v>
          </cell>
          <cell r="F97" t="b">
            <v>0</v>
          </cell>
          <cell r="G97">
            <v>18261.1322076045</v>
          </cell>
          <cell r="H97">
            <v>11115.6995080329</v>
          </cell>
        </row>
        <row r="98">
          <cell r="B98" t="str">
            <v>ARCATA 112233060</v>
          </cell>
          <cell r="C98">
            <v>192021122</v>
          </cell>
          <cell r="D98" t="str">
            <v>ARCATA 1122</v>
          </cell>
          <cell r="E98">
            <v>33060</v>
          </cell>
          <cell r="F98" t="b">
            <v>1</v>
          </cell>
          <cell r="G98">
            <v>7941.0148640264197</v>
          </cell>
          <cell r="H98">
            <v>856.27893657204299</v>
          </cell>
        </row>
        <row r="99">
          <cell r="B99" t="str">
            <v>ARCATA 11224218</v>
          </cell>
          <cell r="C99">
            <v>192021122</v>
          </cell>
          <cell r="D99" t="str">
            <v>ARCATA 1122</v>
          </cell>
          <cell r="E99">
            <v>4218</v>
          </cell>
          <cell r="F99" t="b">
            <v>0</v>
          </cell>
          <cell r="G99">
            <v>7931.9123226469601</v>
          </cell>
          <cell r="H99">
            <v>7690.2410019593099</v>
          </cell>
        </row>
        <row r="100">
          <cell r="B100" t="str">
            <v>ARCATA 11225384</v>
          </cell>
          <cell r="C100">
            <v>192021122</v>
          </cell>
          <cell r="D100" t="str">
            <v>ARCATA 1122</v>
          </cell>
          <cell r="E100">
            <v>5384</v>
          </cell>
          <cell r="F100" t="b">
            <v>0</v>
          </cell>
          <cell r="G100">
            <v>28128.095687970901</v>
          </cell>
          <cell r="H100">
            <v>25050.271158335599</v>
          </cell>
        </row>
        <row r="101">
          <cell r="B101" t="str">
            <v>ARLINGTON 0401404226</v>
          </cell>
          <cell r="C101">
            <v>13700401</v>
          </cell>
          <cell r="D101" t="str">
            <v>ARLINGTON 0401</v>
          </cell>
          <cell r="E101">
            <v>404226</v>
          </cell>
          <cell r="F101" t="b">
            <v>0</v>
          </cell>
          <cell r="G101">
            <v>1578.9747753807301</v>
          </cell>
          <cell r="H101">
            <v>1403.5727784655401</v>
          </cell>
        </row>
        <row r="102">
          <cell r="B102" t="str">
            <v>ARVIN 110194892</v>
          </cell>
          <cell r="C102">
            <v>253801101</v>
          </cell>
          <cell r="D102" t="str">
            <v>ARVIN 1101</v>
          </cell>
          <cell r="E102">
            <v>94892</v>
          </cell>
          <cell r="F102" t="b">
            <v>1</v>
          </cell>
          <cell r="G102">
            <v>15531.760884880799</v>
          </cell>
          <cell r="H102">
            <v>345.98528898161197</v>
          </cell>
        </row>
        <row r="103">
          <cell r="B103" t="str">
            <v>ATASCADERO 11012379</v>
          </cell>
          <cell r="C103">
            <v>182541101</v>
          </cell>
          <cell r="D103" t="str">
            <v>ATASCADERO 1101</v>
          </cell>
          <cell r="E103">
            <v>2379</v>
          </cell>
          <cell r="F103" t="b">
            <v>0</v>
          </cell>
          <cell r="G103">
            <v>1171.368891887</v>
          </cell>
          <cell r="H103">
            <v>1171.368891887</v>
          </cell>
        </row>
        <row r="104">
          <cell r="B104" t="str">
            <v>ATASCADERO 1101747522</v>
          </cell>
          <cell r="C104">
            <v>182541101</v>
          </cell>
          <cell r="D104" t="str">
            <v>ATASCADERO 1101</v>
          </cell>
          <cell r="E104">
            <v>747522</v>
          </cell>
          <cell r="F104" t="b">
            <v>1</v>
          </cell>
          <cell r="G104">
            <v>1686.5664360926901</v>
          </cell>
          <cell r="H104">
            <v>412.94091274442798</v>
          </cell>
        </row>
        <row r="105">
          <cell r="B105" t="str">
            <v>ATASCADERO 1101A02</v>
          </cell>
          <cell r="C105">
            <v>182541101</v>
          </cell>
          <cell r="D105" t="str">
            <v>ATASCADERO 1101</v>
          </cell>
          <cell r="E105" t="str">
            <v>A02</v>
          </cell>
          <cell r="F105" t="b">
            <v>0</v>
          </cell>
          <cell r="G105">
            <v>41006.574185768601</v>
          </cell>
          <cell r="H105">
            <v>41006.574185768601</v>
          </cell>
        </row>
        <row r="106">
          <cell r="B106" t="str">
            <v>ATASCADERO 1101A22</v>
          </cell>
          <cell r="C106">
            <v>182541101</v>
          </cell>
          <cell r="D106" t="str">
            <v>ATASCADERO 1101</v>
          </cell>
          <cell r="E106" t="str">
            <v>A22</v>
          </cell>
          <cell r="F106" t="b">
            <v>1</v>
          </cell>
          <cell r="G106">
            <v>21048.173709311799</v>
          </cell>
          <cell r="H106">
            <v>0</v>
          </cell>
        </row>
        <row r="107">
          <cell r="B107" t="str">
            <v>ATASCADERO 1101A50</v>
          </cell>
          <cell r="C107">
            <v>182541101</v>
          </cell>
          <cell r="D107" t="str">
            <v>ATASCADERO 1101</v>
          </cell>
          <cell r="E107" t="str">
            <v>A50</v>
          </cell>
          <cell r="F107" t="b">
            <v>0</v>
          </cell>
          <cell r="G107">
            <v>33669.938270298902</v>
          </cell>
          <cell r="H107">
            <v>31118.708664810099</v>
          </cell>
        </row>
        <row r="108">
          <cell r="B108" t="str">
            <v>ATASCADERO 1101CB</v>
          </cell>
          <cell r="C108">
            <v>182541101</v>
          </cell>
          <cell r="D108" t="str">
            <v>ATASCADERO 1101</v>
          </cell>
          <cell r="E108" t="str">
            <v>CB</v>
          </cell>
          <cell r="F108" t="b">
            <v>1</v>
          </cell>
          <cell r="G108">
            <v>1686.9103577240301</v>
          </cell>
          <cell r="H108">
            <v>61.190977997708401</v>
          </cell>
        </row>
        <row r="109">
          <cell r="B109" t="str">
            <v>ATASCADERO 1102825520</v>
          </cell>
          <cell r="C109">
            <v>182541102</v>
          </cell>
          <cell r="D109" t="str">
            <v>ATASCADERO 1102</v>
          </cell>
          <cell r="E109">
            <v>825520</v>
          </cell>
          <cell r="F109" t="b">
            <v>0</v>
          </cell>
          <cell r="G109">
            <v>2407.65306320945</v>
          </cell>
          <cell r="H109">
            <v>1896.92416414587</v>
          </cell>
        </row>
        <row r="110">
          <cell r="B110" t="str">
            <v>ATASCADERO 1102CB</v>
          </cell>
          <cell r="C110">
            <v>182541102</v>
          </cell>
          <cell r="D110" t="str">
            <v>ATASCADERO 1102</v>
          </cell>
          <cell r="E110" t="str">
            <v>CB</v>
          </cell>
          <cell r="F110" t="b">
            <v>1</v>
          </cell>
          <cell r="G110">
            <v>8168.5567495117803</v>
          </cell>
          <cell r="H110">
            <v>0</v>
          </cell>
        </row>
        <row r="111">
          <cell r="B111" t="str">
            <v>ATASCADERO 1103395936</v>
          </cell>
          <cell r="C111">
            <v>182541103</v>
          </cell>
          <cell r="D111" t="str">
            <v>ATASCADERO 1103</v>
          </cell>
          <cell r="E111">
            <v>395936</v>
          </cell>
          <cell r="F111" t="b">
            <v>1</v>
          </cell>
          <cell r="G111">
            <v>1081.2510992786799</v>
          </cell>
          <cell r="H111">
            <v>685.76618555263599</v>
          </cell>
        </row>
        <row r="112">
          <cell r="B112" t="str">
            <v>ATASCADERO 1103440856</v>
          </cell>
          <cell r="C112">
            <v>182541103</v>
          </cell>
          <cell r="D112" t="str">
            <v>ATASCADERO 1103</v>
          </cell>
          <cell r="E112">
            <v>440856</v>
          </cell>
          <cell r="F112" t="b">
            <v>0</v>
          </cell>
          <cell r="G112">
            <v>56881.410767057401</v>
          </cell>
          <cell r="H112">
            <v>56011.612348494302</v>
          </cell>
        </row>
        <row r="113">
          <cell r="B113" t="str">
            <v>ATASCADERO 1103492068</v>
          </cell>
          <cell r="C113">
            <v>182541103</v>
          </cell>
          <cell r="D113" t="str">
            <v>ATASCADERO 1103</v>
          </cell>
          <cell r="E113">
            <v>492068</v>
          </cell>
          <cell r="F113" t="b">
            <v>0</v>
          </cell>
          <cell r="G113">
            <v>13334.893509907301</v>
          </cell>
          <cell r="H113">
            <v>11954.628142088701</v>
          </cell>
        </row>
        <row r="114">
          <cell r="B114" t="str">
            <v>ATASCADERO 1103A06</v>
          </cell>
          <cell r="C114">
            <v>182541103</v>
          </cell>
          <cell r="D114" t="str">
            <v>ATASCADERO 1103</v>
          </cell>
          <cell r="E114" t="str">
            <v>A06</v>
          </cell>
          <cell r="F114" t="b">
            <v>1</v>
          </cell>
          <cell r="G114">
            <v>3295.4951478570301</v>
          </cell>
          <cell r="H114">
            <v>441.61268939835099</v>
          </cell>
        </row>
        <row r="115">
          <cell r="B115" t="str">
            <v>ATASCADERO 1103A14</v>
          </cell>
          <cell r="C115">
            <v>182541103</v>
          </cell>
          <cell r="D115" t="str">
            <v>ATASCADERO 1103</v>
          </cell>
          <cell r="E115" t="str">
            <v>A14</v>
          </cell>
          <cell r="F115" t="b">
            <v>0</v>
          </cell>
          <cell r="G115">
            <v>40416.423734015603</v>
          </cell>
          <cell r="H115">
            <v>40416.423734015603</v>
          </cell>
        </row>
        <row r="116">
          <cell r="B116" t="str">
            <v>ATASCADERO 1103A16</v>
          </cell>
          <cell r="C116">
            <v>182541103</v>
          </cell>
          <cell r="D116" t="str">
            <v>ATASCADERO 1103</v>
          </cell>
          <cell r="E116" t="str">
            <v>A16</v>
          </cell>
          <cell r="F116" t="b">
            <v>0</v>
          </cell>
          <cell r="G116">
            <v>32308.061863217299</v>
          </cell>
          <cell r="H116">
            <v>31835.908797152799</v>
          </cell>
        </row>
        <row r="117">
          <cell r="B117" t="str">
            <v>ATASCADERO 1103A18</v>
          </cell>
          <cell r="C117">
            <v>182541103</v>
          </cell>
          <cell r="D117" t="str">
            <v>ATASCADERO 1103</v>
          </cell>
          <cell r="E117" t="str">
            <v>A18</v>
          </cell>
          <cell r="F117" t="b">
            <v>0</v>
          </cell>
          <cell r="G117">
            <v>29115.662237062199</v>
          </cell>
          <cell r="H117">
            <v>14189.364219982999</v>
          </cell>
        </row>
        <row r="118">
          <cell r="B118" t="str">
            <v>ATASCADERO 1103A46</v>
          </cell>
          <cell r="C118">
            <v>182541103</v>
          </cell>
          <cell r="D118" t="str">
            <v>ATASCADERO 1103</v>
          </cell>
          <cell r="E118" t="str">
            <v>A46</v>
          </cell>
          <cell r="F118" t="b">
            <v>1</v>
          </cell>
          <cell r="G118">
            <v>13904.7944465367</v>
          </cell>
          <cell r="H118">
            <v>633.10984535511295</v>
          </cell>
        </row>
        <row r="119">
          <cell r="B119" t="str">
            <v>ATASCADERO 1103A88</v>
          </cell>
          <cell r="C119">
            <v>182541103</v>
          </cell>
          <cell r="D119" t="str">
            <v>ATASCADERO 1103</v>
          </cell>
          <cell r="E119" t="str">
            <v>A88</v>
          </cell>
          <cell r="F119" t="b">
            <v>0</v>
          </cell>
          <cell r="G119">
            <v>4298.2003188480203</v>
          </cell>
          <cell r="H119">
            <v>1506.8203210489201</v>
          </cell>
        </row>
        <row r="120">
          <cell r="B120" t="str">
            <v>ATASCADERO 1103CB</v>
          </cell>
          <cell r="C120">
            <v>182541103</v>
          </cell>
          <cell r="D120" t="str">
            <v>ATASCADERO 1103</v>
          </cell>
          <cell r="E120" t="str">
            <v>CB</v>
          </cell>
          <cell r="F120" t="b">
            <v>1</v>
          </cell>
          <cell r="G120">
            <v>2195.0051684820901</v>
          </cell>
          <cell r="H120">
            <v>304.33241119734902</v>
          </cell>
        </row>
        <row r="121">
          <cell r="B121" t="str">
            <v>AUBERRY 1101176050</v>
          </cell>
          <cell r="C121">
            <v>254151101</v>
          </cell>
          <cell r="D121" t="str">
            <v>AUBERRY 1101</v>
          </cell>
          <cell r="E121">
            <v>176050</v>
          </cell>
          <cell r="F121" t="b">
            <v>0</v>
          </cell>
          <cell r="G121">
            <v>33994.9383950056</v>
          </cell>
          <cell r="H121">
            <v>33994.9383950056</v>
          </cell>
        </row>
        <row r="122">
          <cell r="B122" t="str">
            <v>AUBERRY 110137536</v>
          </cell>
          <cell r="C122">
            <v>254151101</v>
          </cell>
          <cell r="D122" t="str">
            <v>AUBERRY 1101</v>
          </cell>
          <cell r="E122">
            <v>37536</v>
          </cell>
          <cell r="F122" t="b">
            <v>0</v>
          </cell>
          <cell r="G122">
            <v>8687.6907299792292</v>
          </cell>
          <cell r="H122">
            <v>8687.6907299792292</v>
          </cell>
        </row>
        <row r="123">
          <cell r="B123" t="str">
            <v>AUBERRY 110149122</v>
          </cell>
          <cell r="C123">
            <v>254151101</v>
          </cell>
          <cell r="D123" t="str">
            <v>AUBERRY 1101</v>
          </cell>
          <cell r="E123">
            <v>49122</v>
          </cell>
          <cell r="F123" t="b">
            <v>0</v>
          </cell>
          <cell r="G123">
            <v>6376.3554464265999</v>
          </cell>
          <cell r="H123">
            <v>6376.3554464265999</v>
          </cell>
        </row>
        <row r="124">
          <cell r="B124" t="str">
            <v>AUBERRY 1101CB</v>
          </cell>
          <cell r="C124">
            <v>254151101</v>
          </cell>
          <cell r="D124" t="str">
            <v>AUBERRY 1101</v>
          </cell>
          <cell r="E124" t="str">
            <v>CB</v>
          </cell>
          <cell r="F124" t="b">
            <v>0</v>
          </cell>
          <cell r="G124">
            <v>29229.217199372099</v>
          </cell>
          <cell r="H124">
            <v>29229.217199372099</v>
          </cell>
        </row>
        <row r="125">
          <cell r="B125" t="str">
            <v>AUBERRY 1101D4982</v>
          </cell>
          <cell r="C125">
            <v>254151101</v>
          </cell>
          <cell r="D125" t="str">
            <v>AUBERRY 1101</v>
          </cell>
          <cell r="E125" t="str">
            <v>D4982</v>
          </cell>
          <cell r="F125" t="b">
            <v>0</v>
          </cell>
          <cell r="G125">
            <v>4312.8610379173697</v>
          </cell>
          <cell r="H125">
            <v>4312.8610379173697</v>
          </cell>
        </row>
        <row r="126">
          <cell r="B126" t="str">
            <v>AUBERRY 1101R2578</v>
          </cell>
          <cell r="C126">
            <v>254151101</v>
          </cell>
          <cell r="D126" t="str">
            <v>AUBERRY 1101</v>
          </cell>
          <cell r="E126" t="str">
            <v>R2578</v>
          </cell>
          <cell r="F126" t="b">
            <v>0</v>
          </cell>
          <cell r="G126">
            <v>74560.009949177693</v>
          </cell>
          <cell r="H126">
            <v>74560.009949177693</v>
          </cell>
        </row>
        <row r="127">
          <cell r="B127" t="str">
            <v>AUBERRY 1101R2579</v>
          </cell>
          <cell r="C127">
            <v>254151101</v>
          </cell>
          <cell r="D127" t="str">
            <v>AUBERRY 1101</v>
          </cell>
          <cell r="E127" t="str">
            <v>R2579</v>
          </cell>
          <cell r="F127" t="b">
            <v>0</v>
          </cell>
          <cell r="G127">
            <v>56162.7607335867</v>
          </cell>
          <cell r="H127">
            <v>56162.7607335867</v>
          </cell>
        </row>
        <row r="128">
          <cell r="B128" t="str">
            <v>AUBERRY 1101R2838</v>
          </cell>
          <cell r="C128">
            <v>254151101</v>
          </cell>
          <cell r="D128" t="str">
            <v>AUBERRY 1101</v>
          </cell>
          <cell r="E128" t="str">
            <v>R2838</v>
          </cell>
          <cell r="F128" t="b">
            <v>0</v>
          </cell>
          <cell r="G128">
            <v>32896.729961233403</v>
          </cell>
          <cell r="H128">
            <v>32896.729961233403</v>
          </cell>
        </row>
        <row r="129">
          <cell r="B129" t="str">
            <v>AUBERRY 1101R2839</v>
          </cell>
          <cell r="C129">
            <v>254151101</v>
          </cell>
          <cell r="D129" t="str">
            <v>AUBERRY 1101</v>
          </cell>
          <cell r="E129" t="str">
            <v>R2839</v>
          </cell>
          <cell r="F129" t="b">
            <v>0</v>
          </cell>
          <cell r="G129">
            <v>20608.9537063721</v>
          </cell>
          <cell r="H129">
            <v>20608.9537063721</v>
          </cell>
        </row>
        <row r="130">
          <cell r="B130" t="str">
            <v>AUBERRY 1101R2845</v>
          </cell>
          <cell r="C130">
            <v>254151101</v>
          </cell>
          <cell r="D130" t="str">
            <v>AUBERRY 1101</v>
          </cell>
          <cell r="E130" t="str">
            <v>R2845</v>
          </cell>
          <cell r="F130" t="b">
            <v>0</v>
          </cell>
          <cell r="G130">
            <v>28680.0592660681</v>
          </cell>
          <cell r="H130">
            <v>28680.0592660681</v>
          </cell>
        </row>
        <row r="131">
          <cell r="B131" t="str">
            <v>AUBERRY 1101R314</v>
          </cell>
          <cell r="C131">
            <v>254151101</v>
          </cell>
          <cell r="D131" t="str">
            <v>AUBERRY 1101</v>
          </cell>
          <cell r="E131" t="str">
            <v>R314</v>
          </cell>
          <cell r="F131" t="b">
            <v>0</v>
          </cell>
          <cell r="G131">
            <v>71701.239616999694</v>
          </cell>
          <cell r="H131">
            <v>68245.532350119494</v>
          </cell>
        </row>
        <row r="132">
          <cell r="B132" t="str">
            <v>AUBERRY 1101R322</v>
          </cell>
          <cell r="C132">
            <v>254151101</v>
          </cell>
          <cell r="D132" t="str">
            <v>AUBERRY 1101</v>
          </cell>
          <cell r="E132" t="str">
            <v>R322</v>
          </cell>
          <cell r="F132" t="b">
            <v>0</v>
          </cell>
          <cell r="G132">
            <v>12336.4698828771</v>
          </cell>
          <cell r="H132">
            <v>12336.4698828771</v>
          </cell>
        </row>
        <row r="133">
          <cell r="B133" t="str">
            <v>AUBERRY 1101R324</v>
          </cell>
          <cell r="C133">
            <v>254151101</v>
          </cell>
          <cell r="D133" t="str">
            <v>AUBERRY 1101</v>
          </cell>
          <cell r="E133" t="str">
            <v>R324</v>
          </cell>
          <cell r="F133" t="b">
            <v>0</v>
          </cell>
          <cell r="G133">
            <v>17238.393393885999</v>
          </cell>
          <cell r="H133">
            <v>17238.393393885999</v>
          </cell>
        </row>
        <row r="134">
          <cell r="B134" t="str">
            <v>AUBERRY 110237466</v>
          </cell>
          <cell r="C134">
            <v>254151102</v>
          </cell>
          <cell r="D134" t="str">
            <v>AUBERRY 1102</v>
          </cell>
          <cell r="E134">
            <v>37466</v>
          </cell>
          <cell r="F134" t="b">
            <v>0</v>
          </cell>
          <cell r="G134">
            <v>50978.082489944303</v>
          </cell>
          <cell r="H134">
            <v>50460.228711966804</v>
          </cell>
        </row>
        <row r="135">
          <cell r="B135" t="str">
            <v>AUBERRY 1102CB</v>
          </cell>
          <cell r="C135">
            <v>254151102</v>
          </cell>
          <cell r="D135" t="str">
            <v>AUBERRY 1102</v>
          </cell>
          <cell r="E135" t="str">
            <v>CB</v>
          </cell>
          <cell r="F135" t="b">
            <v>0</v>
          </cell>
          <cell r="G135">
            <v>55860.832528418803</v>
          </cell>
          <cell r="H135">
            <v>55860.832528418803</v>
          </cell>
        </row>
        <row r="136">
          <cell r="B136" t="str">
            <v>AUBERRY 1102R1013</v>
          </cell>
          <cell r="C136">
            <v>254151102</v>
          </cell>
          <cell r="D136" t="str">
            <v>AUBERRY 1102</v>
          </cell>
          <cell r="E136" t="str">
            <v>R1013</v>
          </cell>
          <cell r="F136" t="b">
            <v>0</v>
          </cell>
          <cell r="G136">
            <v>20054.430754174999</v>
          </cell>
          <cell r="H136">
            <v>20054.430754174999</v>
          </cell>
        </row>
        <row r="137">
          <cell r="B137" t="str">
            <v>AUBERRY 1102R2850</v>
          </cell>
          <cell r="C137">
            <v>254151102</v>
          </cell>
          <cell r="D137" t="str">
            <v>AUBERRY 1102</v>
          </cell>
          <cell r="E137" t="str">
            <v>R2850</v>
          </cell>
          <cell r="F137" t="b">
            <v>0</v>
          </cell>
          <cell r="G137">
            <v>42428.426507024102</v>
          </cell>
          <cell r="H137">
            <v>42428.426507024102</v>
          </cell>
        </row>
        <row r="138">
          <cell r="B138" t="str">
            <v>AUBERRY 1102R309</v>
          </cell>
          <cell r="C138">
            <v>254151102</v>
          </cell>
          <cell r="D138" t="str">
            <v>AUBERRY 1102</v>
          </cell>
          <cell r="E138" t="str">
            <v>R309</v>
          </cell>
          <cell r="F138" t="b">
            <v>0</v>
          </cell>
          <cell r="G138">
            <v>13825.8858633821</v>
          </cell>
          <cell r="H138">
            <v>13825.8858633821</v>
          </cell>
        </row>
        <row r="139">
          <cell r="B139" t="str">
            <v>AUBERRY 1102R902</v>
          </cell>
          <cell r="C139">
            <v>254151102</v>
          </cell>
          <cell r="D139" t="str">
            <v>AUBERRY 1102</v>
          </cell>
          <cell r="E139" t="str">
            <v>R902</v>
          </cell>
          <cell r="F139" t="b">
            <v>0</v>
          </cell>
          <cell r="G139">
            <v>24261.144021322099</v>
          </cell>
          <cell r="H139">
            <v>24261.144021322099</v>
          </cell>
        </row>
        <row r="140">
          <cell r="B140" t="str">
            <v>AUBURN 1101173014</v>
          </cell>
          <cell r="C140">
            <v>152161101</v>
          </cell>
          <cell r="D140" t="str">
            <v>AUBURN 1101</v>
          </cell>
          <cell r="E140">
            <v>173014</v>
          </cell>
          <cell r="F140" t="b">
            <v>0</v>
          </cell>
          <cell r="G140">
            <v>5456.0353043852301</v>
          </cell>
          <cell r="H140">
            <v>5290.53133635021</v>
          </cell>
        </row>
        <row r="141">
          <cell r="B141" t="str">
            <v>AUBURN 11028611</v>
          </cell>
          <cell r="C141">
            <v>152161102</v>
          </cell>
          <cell r="D141" t="str">
            <v>AUBURN 1102</v>
          </cell>
          <cell r="E141">
            <v>8611</v>
          </cell>
          <cell r="F141" t="b">
            <v>0</v>
          </cell>
          <cell r="G141">
            <v>2893.9316818331299</v>
          </cell>
          <cell r="H141">
            <v>2893.9316818331299</v>
          </cell>
        </row>
        <row r="142">
          <cell r="B142" t="str">
            <v>AUBURN 1102CB</v>
          </cell>
          <cell r="C142">
            <v>152161102</v>
          </cell>
          <cell r="D142" t="str">
            <v>AUBURN 1102</v>
          </cell>
          <cell r="E142" t="str">
            <v>CB</v>
          </cell>
          <cell r="F142" t="b">
            <v>0</v>
          </cell>
          <cell r="G142">
            <v>11489.455621274799</v>
          </cell>
          <cell r="H142">
            <v>2237.7237610944899</v>
          </cell>
        </row>
        <row r="143">
          <cell r="B143" t="str">
            <v>BALCH NO 1 1101CB</v>
          </cell>
          <cell r="C143">
            <v>252501101</v>
          </cell>
          <cell r="D143" t="str">
            <v>BALCH NO 1 1101</v>
          </cell>
          <cell r="E143" t="str">
            <v>CB</v>
          </cell>
          <cell r="F143" t="b">
            <v>0</v>
          </cell>
          <cell r="G143">
            <v>16978.503858669799</v>
          </cell>
          <cell r="H143">
            <v>16978.503858669799</v>
          </cell>
        </row>
        <row r="144">
          <cell r="B144" t="str">
            <v>BALCH NO 1 1101R372</v>
          </cell>
          <cell r="C144">
            <v>252501101</v>
          </cell>
          <cell r="D144" t="str">
            <v>BALCH NO 1 1101</v>
          </cell>
          <cell r="E144" t="str">
            <v>R372</v>
          </cell>
          <cell r="F144" t="b">
            <v>0</v>
          </cell>
          <cell r="G144">
            <v>6703.9319226017997</v>
          </cell>
          <cell r="H144">
            <v>6703.9319226017997</v>
          </cell>
        </row>
        <row r="145">
          <cell r="B145" t="str">
            <v>BANCROFT 0401CB</v>
          </cell>
          <cell r="C145">
            <v>13030401</v>
          </cell>
          <cell r="D145" t="str">
            <v>BANCROFT 0401</v>
          </cell>
          <cell r="E145" t="str">
            <v>CB</v>
          </cell>
          <cell r="F145" t="b">
            <v>1</v>
          </cell>
          <cell r="G145">
            <v>13277.3464854541</v>
          </cell>
          <cell r="H145">
            <v>69.307347939202998</v>
          </cell>
        </row>
        <row r="146">
          <cell r="B146" t="str">
            <v>BANCROFT 0402CB</v>
          </cell>
          <cell r="C146">
            <v>13030402</v>
          </cell>
          <cell r="D146" t="str">
            <v>BANCROFT 0402</v>
          </cell>
          <cell r="E146" t="str">
            <v>CB</v>
          </cell>
          <cell r="F146" t="b">
            <v>1</v>
          </cell>
          <cell r="G146">
            <v>7369.63474951237</v>
          </cell>
          <cell r="H146">
            <v>597.20843852682196</v>
          </cell>
        </row>
        <row r="147">
          <cell r="B147" t="str">
            <v>BANGOR 11011804</v>
          </cell>
          <cell r="C147">
            <v>103191101</v>
          </cell>
          <cell r="D147" t="str">
            <v>BANGOR 1101</v>
          </cell>
          <cell r="E147">
            <v>1804</v>
          </cell>
          <cell r="F147" t="b">
            <v>0</v>
          </cell>
          <cell r="G147">
            <v>69024.130087398502</v>
          </cell>
          <cell r="H147">
            <v>69024.130087398502</v>
          </cell>
        </row>
        <row r="148">
          <cell r="B148" t="str">
            <v>BANGOR 11011806</v>
          </cell>
          <cell r="C148">
            <v>103191101</v>
          </cell>
          <cell r="D148" t="str">
            <v>BANGOR 1101</v>
          </cell>
          <cell r="E148">
            <v>1806</v>
          </cell>
          <cell r="F148" t="b">
            <v>0</v>
          </cell>
          <cell r="G148">
            <v>6482.8364848872498</v>
          </cell>
          <cell r="H148">
            <v>6482.8364848872498</v>
          </cell>
        </row>
        <row r="149">
          <cell r="B149" t="str">
            <v>BANGOR 11011958</v>
          </cell>
          <cell r="C149">
            <v>103191101</v>
          </cell>
          <cell r="D149" t="str">
            <v>BANGOR 1101</v>
          </cell>
          <cell r="E149">
            <v>1958</v>
          </cell>
          <cell r="F149" t="b">
            <v>0</v>
          </cell>
          <cell r="G149">
            <v>54465.342627058199</v>
          </cell>
          <cell r="H149">
            <v>54465.342627058199</v>
          </cell>
        </row>
        <row r="150">
          <cell r="B150" t="str">
            <v>BANGOR 1101301886</v>
          </cell>
          <cell r="C150">
            <v>103191101</v>
          </cell>
          <cell r="D150" t="str">
            <v>BANGOR 1101</v>
          </cell>
          <cell r="E150">
            <v>301886</v>
          </cell>
          <cell r="F150" t="b">
            <v>0</v>
          </cell>
          <cell r="G150">
            <v>12466.949870647</v>
          </cell>
          <cell r="H150">
            <v>4239.6365304301798</v>
          </cell>
        </row>
        <row r="151">
          <cell r="B151" t="str">
            <v>BANGOR 110131502</v>
          </cell>
          <cell r="C151">
            <v>103191101</v>
          </cell>
          <cell r="D151" t="str">
            <v>BANGOR 1101</v>
          </cell>
          <cell r="E151">
            <v>31502</v>
          </cell>
          <cell r="F151" t="b">
            <v>0</v>
          </cell>
          <cell r="G151">
            <v>19104.368626605599</v>
          </cell>
          <cell r="H151">
            <v>19104.368626605599</v>
          </cell>
        </row>
        <row r="152">
          <cell r="B152" t="str">
            <v>BANGOR 110155206</v>
          </cell>
          <cell r="C152">
            <v>103191101</v>
          </cell>
          <cell r="D152" t="str">
            <v>BANGOR 1101</v>
          </cell>
          <cell r="E152">
            <v>55206</v>
          </cell>
          <cell r="F152" t="b">
            <v>1</v>
          </cell>
          <cell r="G152">
            <v>3467.0084007866799</v>
          </cell>
          <cell r="H152">
            <v>0</v>
          </cell>
        </row>
        <row r="153">
          <cell r="B153" t="str">
            <v>BANGOR 11017446</v>
          </cell>
          <cell r="C153">
            <v>103191101</v>
          </cell>
          <cell r="D153" t="str">
            <v>BANGOR 1101</v>
          </cell>
          <cell r="E153">
            <v>7446</v>
          </cell>
          <cell r="F153" t="b">
            <v>0</v>
          </cell>
          <cell r="G153">
            <v>69991.894162771496</v>
          </cell>
          <cell r="H153">
            <v>69991.894162771496</v>
          </cell>
        </row>
        <row r="154">
          <cell r="B154" t="str">
            <v>BANGOR 110180670</v>
          </cell>
          <cell r="C154">
            <v>103191101</v>
          </cell>
          <cell r="D154" t="str">
            <v>BANGOR 1101</v>
          </cell>
          <cell r="E154">
            <v>80670</v>
          </cell>
          <cell r="F154" t="b">
            <v>0</v>
          </cell>
          <cell r="G154">
            <v>26435.388682132299</v>
          </cell>
          <cell r="H154">
            <v>23201.6685286996</v>
          </cell>
        </row>
        <row r="155">
          <cell r="B155" t="str">
            <v>BANGOR 110182350</v>
          </cell>
          <cell r="C155">
            <v>103191101</v>
          </cell>
          <cell r="D155" t="str">
            <v>BANGOR 1101</v>
          </cell>
          <cell r="E155">
            <v>82350</v>
          </cell>
          <cell r="F155" t="b">
            <v>0</v>
          </cell>
          <cell r="G155">
            <v>33588.8136275613</v>
          </cell>
          <cell r="H155">
            <v>31579.276499639</v>
          </cell>
        </row>
        <row r="156">
          <cell r="B156" t="str">
            <v>BANGOR 1101870548</v>
          </cell>
          <cell r="C156">
            <v>103191101</v>
          </cell>
          <cell r="D156" t="str">
            <v>BANGOR 1101</v>
          </cell>
          <cell r="E156">
            <v>870548</v>
          </cell>
          <cell r="F156" t="b">
            <v>0</v>
          </cell>
          <cell r="G156">
            <v>8185.9486754209702</v>
          </cell>
          <cell r="H156">
            <v>8185.9486754209702</v>
          </cell>
        </row>
        <row r="157">
          <cell r="B157" t="str">
            <v>BANGOR 1101979830</v>
          </cell>
          <cell r="C157">
            <v>103191101</v>
          </cell>
          <cell r="D157" t="str">
            <v>BANGOR 1101</v>
          </cell>
          <cell r="E157">
            <v>979830</v>
          </cell>
          <cell r="F157" t="b">
            <v>1</v>
          </cell>
          <cell r="G157">
            <v>696.75306889762601</v>
          </cell>
          <cell r="H157">
            <v>680.75108733340005</v>
          </cell>
        </row>
        <row r="158">
          <cell r="B158" t="str">
            <v>BANGOR 1101CB</v>
          </cell>
          <cell r="C158">
            <v>103191101</v>
          </cell>
          <cell r="D158" t="str">
            <v>BANGOR 1101</v>
          </cell>
          <cell r="E158" t="str">
            <v>CB</v>
          </cell>
          <cell r="F158" t="b">
            <v>0</v>
          </cell>
          <cell r="G158">
            <v>34332.330083804001</v>
          </cell>
          <cell r="H158">
            <v>30178.562329378801</v>
          </cell>
        </row>
        <row r="159">
          <cell r="B159" t="str">
            <v>BASALT 1106657038</v>
          </cell>
          <cell r="C159">
            <v>42461106</v>
          </cell>
          <cell r="D159" t="str">
            <v>BASALT 1106</v>
          </cell>
          <cell r="E159">
            <v>657038</v>
          </cell>
          <cell r="F159" t="b">
            <v>0</v>
          </cell>
          <cell r="G159">
            <v>16275.5331377947</v>
          </cell>
          <cell r="H159">
            <v>4182.6167424154</v>
          </cell>
        </row>
        <row r="160">
          <cell r="B160" t="str">
            <v>BAY MEADOWS 210257886</v>
          </cell>
          <cell r="C160">
            <v>24012102</v>
          </cell>
          <cell r="D160" t="str">
            <v>BAY MEADOWS 2102</v>
          </cell>
          <cell r="E160">
            <v>57886</v>
          </cell>
          <cell r="F160" t="b">
            <v>0</v>
          </cell>
          <cell r="G160">
            <v>8466.0843061917294</v>
          </cell>
          <cell r="H160">
            <v>6549.4744549260404</v>
          </cell>
        </row>
        <row r="161">
          <cell r="B161" t="str">
            <v>BAY MEADOWS 2102CB</v>
          </cell>
          <cell r="C161">
            <v>24012102</v>
          </cell>
          <cell r="D161" t="str">
            <v>BAY MEADOWS 2102</v>
          </cell>
          <cell r="E161" t="str">
            <v>CB</v>
          </cell>
          <cell r="F161" t="b">
            <v>1</v>
          </cell>
          <cell r="G161">
            <v>11158.1130388284</v>
          </cell>
          <cell r="H161">
            <v>159.35022470415899</v>
          </cell>
        </row>
        <row r="162">
          <cell r="B162" t="str">
            <v>BAYWOOD 1101CB</v>
          </cell>
          <cell r="C162">
            <v>182801101</v>
          </cell>
          <cell r="D162" t="str">
            <v>BAYWOOD 1101</v>
          </cell>
          <cell r="E162" t="str">
            <v>CB</v>
          </cell>
          <cell r="F162" t="b">
            <v>0</v>
          </cell>
          <cell r="G162">
            <v>46476.810902981102</v>
          </cell>
          <cell r="H162">
            <v>7426.5464811830298</v>
          </cell>
        </row>
        <row r="163">
          <cell r="B163" t="str">
            <v>BEAR VALLEY 210110000</v>
          </cell>
          <cell r="C163">
            <v>252192101</v>
          </cell>
          <cell r="D163" t="str">
            <v>BEAR VALLEY 2101</v>
          </cell>
          <cell r="E163">
            <v>10000</v>
          </cell>
          <cell r="F163" t="b">
            <v>0</v>
          </cell>
          <cell r="G163">
            <v>53656.122946630203</v>
          </cell>
          <cell r="H163">
            <v>47097.190418544596</v>
          </cell>
        </row>
        <row r="164">
          <cell r="B164" t="str">
            <v>BEAR VALLEY 210110019</v>
          </cell>
          <cell r="C164">
            <v>252192101</v>
          </cell>
          <cell r="D164" t="str">
            <v>BEAR VALLEY 2101</v>
          </cell>
          <cell r="E164">
            <v>10019</v>
          </cell>
          <cell r="F164" t="b">
            <v>0</v>
          </cell>
          <cell r="G164">
            <v>3187.4940657104598</v>
          </cell>
          <cell r="H164">
            <v>3187.4940657104598</v>
          </cell>
        </row>
        <row r="165">
          <cell r="B165" t="str">
            <v>BEAR VALLEY 21014160</v>
          </cell>
          <cell r="C165">
            <v>252192101</v>
          </cell>
          <cell r="D165" t="str">
            <v>BEAR VALLEY 2101</v>
          </cell>
          <cell r="E165">
            <v>4160</v>
          </cell>
          <cell r="F165" t="b">
            <v>0</v>
          </cell>
          <cell r="G165">
            <v>36723.983376933502</v>
          </cell>
          <cell r="H165">
            <v>36723.983376933502</v>
          </cell>
        </row>
        <row r="166">
          <cell r="B166" t="str">
            <v>BEAR VALLEY 21014500</v>
          </cell>
          <cell r="C166">
            <v>252192101</v>
          </cell>
          <cell r="D166" t="str">
            <v>BEAR VALLEY 2101</v>
          </cell>
          <cell r="E166">
            <v>4500</v>
          </cell>
          <cell r="F166" t="b">
            <v>0</v>
          </cell>
          <cell r="G166">
            <v>132540.174263986</v>
          </cell>
          <cell r="H166">
            <v>38902.954409121099</v>
          </cell>
        </row>
        <row r="167">
          <cell r="B167" t="str">
            <v>BEAR VALLEY 210190550</v>
          </cell>
          <cell r="C167">
            <v>252192101</v>
          </cell>
          <cell r="D167" t="str">
            <v>BEAR VALLEY 2101</v>
          </cell>
          <cell r="E167">
            <v>90550</v>
          </cell>
          <cell r="F167" t="b">
            <v>0</v>
          </cell>
          <cell r="G167">
            <v>12911.277203547001</v>
          </cell>
          <cell r="H167">
            <v>12911.277203547001</v>
          </cell>
        </row>
        <row r="168">
          <cell r="B168" t="str">
            <v>BEAR VALLEY 2101CB</v>
          </cell>
          <cell r="C168">
            <v>252192101</v>
          </cell>
          <cell r="D168" t="str">
            <v>BEAR VALLEY 2101</v>
          </cell>
          <cell r="E168" t="str">
            <v>CB</v>
          </cell>
          <cell r="F168" t="b">
            <v>0</v>
          </cell>
          <cell r="G168">
            <v>30214.0129507528</v>
          </cell>
          <cell r="H168">
            <v>30214.0129507528</v>
          </cell>
        </row>
        <row r="169">
          <cell r="B169" t="str">
            <v>BEAR VALLEY 210511210</v>
          </cell>
          <cell r="C169">
            <v>252192105</v>
          </cell>
          <cell r="D169" t="str">
            <v>BEAR VALLEY 2105</v>
          </cell>
          <cell r="E169">
            <v>11210</v>
          </cell>
          <cell r="F169" t="b">
            <v>0</v>
          </cell>
          <cell r="G169">
            <v>27492.788602133001</v>
          </cell>
          <cell r="H169">
            <v>27492.788602133001</v>
          </cell>
        </row>
        <row r="170">
          <cell r="B170" t="str">
            <v>BEAR VALLEY 210513430</v>
          </cell>
          <cell r="C170">
            <v>252192105</v>
          </cell>
          <cell r="D170" t="str">
            <v>BEAR VALLEY 2105</v>
          </cell>
          <cell r="E170">
            <v>13430</v>
          </cell>
          <cell r="F170" t="b">
            <v>0</v>
          </cell>
          <cell r="G170">
            <v>21106.603636269399</v>
          </cell>
          <cell r="H170">
            <v>21106.603636269399</v>
          </cell>
        </row>
        <row r="171">
          <cell r="B171" t="str">
            <v>BEAR VALLEY 210521160</v>
          </cell>
          <cell r="C171">
            <v>252192105</v>
          </cell>
          <cell r="D171" t="str">
            <v>BEAR VALLEY 2105</v>
          </cell>
          <cell r="E171">
            <v>21160</v>
          </cell>
          <cell r="F171" t="b">
            <v>0</v>
          </cell>
          <cell r="G171">
            <v>38269.477287060901</v>
          </cell>
          <cell r="H171">
            <v>38269.477287060901</v>
          </cell>
        </row>
        <row r="172">
          <cell r="B172" t="str">
            <v>BEAR VALLEY 21054170</v>
          </cell>
          <cell r="C172">
            <v>252192105</v>
          </cell>
          <cell r="D172" t="str">
            <v>BEAR VALLEY 2105</v>
          </cell>
          <cell r="E172">
            <v>4170</v>
          </cell>
          <cell r="F172" t="b">
            <v>0</v>
          </cell>
          <cell r="G172">
            <v>15319.640487197399</v>
          </cell>
          <cell r="H172">
            <v>15319.640487197399</v>
          </cell>
        </row>
        <row r="173">
          <cell r="B173" t="str">
            <v>BEAR VALLEY 2105454432</v>
          </cell>
          <cell r="C173">
            <v>252192105</v>
          </cell>
          <cell r="D173" t="str">
            <v>BEAR VALLEY 2105</v>
          </cell>
          <cell r="E173">
            <v>454432</v>
          </cell>
          <cell r="F173" t="b">
            <v>0</v>
          </cell>
          <cell r="G173">
            <v>23226.240143089999</v>
          </cell>
          <cell r="H173">
            <v>23226.240143089999</v>
          </cell>
        </row>
        <row r="174">
          <cell r="B174" t="str">
            <v>BEAR VALLEY 21054609</v>
          </cell>
          <cell r="C174">
            <v>252192105</v>
          </cell>
          <cell r="D174" t="str">
            <v>BEAR VALLEY 2105</v>
          </cell>
          <cell r="E174">
            <v>4609</v>
          </cell>
          <cell r="F174" t="b">
            <v>0</v>
          </cell>
          <cell r="G174">
            <v>7321.9226773728997</v>
          </cell>
          <cell r="H174">
            <v>7321.9226773728997</v>
          </cell>
        </row>
        <row r="175">
          <cell r="B175" t="str">
            <v>BEAR VALLEY 210576694</v>
          </cell>
          <cell r="C175">
            <v>252192105</v>
          </cell>
          <cell r="D175" t="str">
            <v>BEAR VALLEY 2105</v>
          </cell>
          <cell r="E175">
            <v>76694</v>
          </cell>
          <cell r="F175" t="b">
            <v>0</v>
          </cell>
          <cell r="G175">
            <v>7317.3510416434201</v>
          </cell>
          <cell r="H175">
            <v>7317.3510416434201</v>
          </cell>
        </row>
        <row r="176">
          <cell r="B176" t="str">
            <v>BEAR VALLEY 21059480</v>
          </cell>
          <cell r="C176">
            <v>252192105</v>
          </cell>
          <cell r="D176" t="str">
            <v>BEAR VALLEY 2105</v>
          </cell>
          <cell r="E176">
            <v>9480</v>
          </cell>
          <cell r="F176" t="b">
            <v>0</v>
          </cell>
          <cell r="G176">
            <v>19971.397691555499</v>
          </cell>
          <cell r="H176">
            <v>19971.397691555499</v>
          </cell>
        </row>
        <row r="177">
          <cell r="B177" t="str">
            <v>BEAR VALLEY 21059560</v>
          </cell>
          <cell r="C177">
            <v>252192105</v>
          </cell>
          <cell r="D177" t="str">
            <v>BEAR VALLEY 2105</v>
          </cell>
          <cell r="E177">
            <v>9560</v>
          </cell>
          <cell r="F177" t="b">
            <v>0</v>
          </cell>
          <cell r="G177">
            <v>35435.963001746597</v>
          </cell>
          <cell r="H177">
            <v>35435.963001746597</v>
          </cell>
        </row>
        <row r="178">
          <cell r="B178" t="str">
            <v>BEAR VALLEY 21059570</v>
          </cell>
          <cell r="C178">
            <v>252192105</v>
          </cell>
          <cell r="D178" t="str">
            <v>BEAR VALLEY 2105</v>
          </cell>
          <cell r="E178">
            <v>9570</v>
          </cell>
          <cell r="F178" t="b">
            <v>0</v>
          </cell>
          <cell r="G178">
            <v>12951.799652555101</v>
          </cell>
          <cell r="H178">
            <v>12951.799652555101</v>
          </cell>
        </row>
        <row r="179">
          <cell r="B179" t="str">
            <v>BEAR VALLEY 2105CB</v>
          </cell>
          <cell r="C179">
            <v>252192105</v>
          </cell>
          <cell r="D179" t="str">
            <v>BEAR VALLEY 2105</v>
          </cell>
          <cell r="E179" t="str">
            <v>CB</v>
          </cell>
          <cell r="F179" t="b">
            <v>0</v>
          </cell>
          <cell r="G179">
            <v>6175.40752796792</v>
          </cell>
          <cell r="H179">
            <v>6175.40752796792</v>
          </cell>
        </row>
        <row r="180">
          <cell r="B180" t="str">
            <v>BELL 11072400</v>
          </cell>
          <cell r="C180">
            <v>152701107</v>
          </cell>
          <cell r="D180" t="str">
            <v>BELL 1107</v>
          </cell>
          <cell r="E180">
            <v>2400</v>
          </cell>
          <cell r="F180" t="b">
            <v>0</v>
          </cell>
          <cell r="G180">
            <v>44680.554930289501</v>
          </cell>
          <cell r="H180">
            <v>41414.8348624184</v>
          </cell>
        </row>
        <row r="181">
          <cell r="B181" t="str">
            <v>BELL 110750172</v>
          </cell>
          <cell r="C181">
            <v>152701107</v>
          </cell>
          <cell r="D181" t="str">
            <v>BELL 1107</v>
          </cell>
          <cell r="E181">
            <v>50172</v>
          </cell>
          <cell r="F181" t="b">
            <v>0</v>
          </cell>
          <cell r="G181">
            <v>30233.910288119801</v>
          </cell>
          <cell r="H181">
            <v>28142.3136012215</v>
          </cell>
        </row>
        <row r="182">
          <cell r="B182" t="str">
            <v>BELL 1107643778</v>
          </cell>
          <cell r="C182">
            <v>152701107</v>
          </cell>
          <cell r="D182" t="str">
            <v>BELL 1107</v>
          </cell>
          <cell r="E182">
            <v>643778</v>
          </cell>
          <cell r="F182" t="b">
            <v>1</v>
          </cell>
          <cell r="G182">
            <v>406.31479880115501</v>
          </cell>
          <cell r="H182">
            <v>270.30509570942502</v>
          </cell>
        </row>
        <row r="183">
          <cell r="B183" t="str">
            <v>BELL 1107912460</v>
          </cell>
          <cell r="C183">
            <v>152701107</v>
          </cell>
          <cell r="D183" t="str">
            <v>BELL 1107</v>
          </cell>
          <cell r="E183">
            <v>912460</v>
          </cell>
          <cell r="F183" t="b">
            <v>1</v>
          </cell>
          <cell r="G183">
            <v>716.94151427076099</v>
          </cell>
          <cell r="H183">
            <v>226.21876146199301</v>
          </cell>
        </row>
        <row r="184">
          <cell r="B184" t="str">
            <v>BELL 11082202</v>
          </cell>
          <cell r="C184">
            <v>152701108</v>
          </cell>
          <cell r="D184" t="str">
            <v>BELL 1108</v>
          </cell>
          <cell r="E184">
            <v>2202</v>
          </cell>
          <cell r="F184" t="b">
            <v>0</v>
          </cell>
          <cell r="G184">
            <v>53635.093183983401</v>
          </cell>
          <cell r="H184">
            <v>52339.4362753737</v>
          </cell>
        </row>
        <row r="185">
          <cell r="B185" t="str">
            <v>BELL 11082226</v>
          </cell>
          <cell r="C185">
            <v>152701108</v>
          </cell>
          <cell r="D185" t="str">
            <v>BELL 1108</v>
          </cell>
          <cell r="E185">
            <v>2226</v>
          </cell>
          <cell r="F185" t="b">
            <v>0</v>
          </cell>
          <cell r="G185">
            <v>41003.119439949398</v>
          </cell>
          <cell r="H185">
            <v>38762.648209492298</v>
          </cell>
        </row>
        <row r="186">
          <cell r="B186" t="str">
            <v>BELL 1108339792</v>
          </cell>
          <cell r="C186">
            <v>152701108</v>
          </cell>
          <cell r="D186" t="str">
            <v>BELL 1108</v>
          </cell>
          <cell r="E186">
            <v>339792</v>
          </cell>
          <cell r="F186" t="b">
            <v>0</v>
          </cell>
          <cell r="G186">
            <v>5788.3896770372403</v>
          </cell>
          <cell r="H186">
            <v>4221.2235590678802</v>
          </cell>
        </row>
        <row r="187">
          <cell r="B187" t="str">
            <v>BELL 1108467470</v>
          </cell>
          <cell r="C187">
            <v>152701108</v>
          </cell>
          <cell r="D187" t="str">
            <v>BELL 1108</v>
          </cell>
          <cell r="E187">
            <v>467470</v>
          </cell>
          <cell r="F187" t="b">
            <v>0</v>
          </cell>
          <cell r="G187">
            <v>4805.9001738704201</v>
          </cell>
          <cell r="H187">
            <v>2987.89998432528</v>
          </cell>
        </row>
        <row r="188">
          <cell r="B188" t="str">
            <v>BELL 11085703</v>
          </cell>
          <cell r="C188">
            <v>152701108</v>
          </cell>
          <cell r="D188" t="str">
            <v>BELL 1108</v>
          </cell>
          <cell r="E188">
            <v>5703</v>
          </cell>
          <cell r="F188" t="b">
            <v>0</v>
          </cell>
          <cell r="G188">
            <v>12751.5705226643</v>
          </cell>
          <cell r="H188">
            <v>8525.0586269595206</v>
          </cell>
        </row>
        <row r="189">
          <cell r="B189" t="str">
            <v>BELL 110880680</v>
          </cell>
          <cell r="C189">
            <v>152701108</v>
          </cell>
          <cell r="D189" t="str">
            <v>BELL 1108</v>
          </cell>
          <cell r="E189">
            <v>80680</v>
          </cell>
          <cell r="F189" t="b">
            <v>0</v>
          </cell>
          <cell r="G189">
            <v>2866.51848473061</v>
          </cell>
          <cell r="H189">
            <v>1030.5857349164</v>
          </cell>
        </row>
        <row r="190">
          <cell r="B190" t="str">
            <v>BELL 1108CB</v>
          </cell>
          <cell r="C190">
            <v>152701108</v>
          </cell>
          <cell r="D190" t="str">
            <v>BELL 1108</v>
          </cell>
          <cell r="E190" t="str">
            <v>CB</v>
          </cell>
          <cell r="F190" t="b">
            <v>1</v>
          </cell>
          <cell r="G190">
            <v>9628.7581980244195</v>
          </cell>
          <cell r="H190">
            <v>0</v>
          </cell>
        </row>
        <row r="191">
          <cell r="B191" t="str">
            <v>BELL 1109724884</v>
          </cell>
          <cell r="C191">
            <v>152701109</v>
          </cell>
          <cell r="D191" t="str">
            <v>BELL 1109</v>
          </cell>
          <cell r="E191">
            <v>724884</v>
          </cell>
          <cell r="F191" t="b">
            <v>0</v>
          </cell>
          <cell r="G191">
            <v>22726.021509513899</v>
          </cell>
          <cell r="H191">
            <v>22589.091999099299</v>
          </cell>
        </row>
        <row r="192">
          <cell r="B192" t="str">
            <v>BELL 1109CB</v>
          </cell>
          <cell r="C192">
            <v>152701109</v>
          </cell>
          <cell r="D192" t="str">
            <v>BELL 1109</v>
          </cell>
          <cell r="E192" t="str">
            <v>CB</v>
          </cell>
          <cell r="F192" t="b">
            <v>1</v>
          </cell>
          <cell r="G192">
            <v>5601.5401562266898</v>
          </cell>
          <cell r="H192">
            <v>484.84163870785301</v>
          </cell>
        </row>
        <row r="193">
          <cell r="B193" t="str">
            <v>BELL 1110946229</v>
          </cell>
          <cell r="C193">
            <v>152701110</v>
          </cell>
          <cell r="D193" t="str">
            <v>BELL 1110</v>
          </cell>
          <cell r="E193">
            <v>946229</v>
          </cell>
          <cell r="F193" t="b">
            <v>1</v>
          </cell>
          <cell r="G193">
            <v>3345.1938433877499</v>
          </cell>
          <cell r="H193">
            <v>352.39123695623999</v>
          </cell>
        </row>
        <row r="194">
          <cell r="B194" t="str">
            <v>BELLEVUE 1102392</v>
          </cell>
          <cell r="C194">
            <v>43181102</v>
          </cell>
          <cell r="D194" t="str">
            <v>BELLEVUE 1102</v>
          </cell>
          <cell r="E194">
            <v>392</v>
          </cell>
          <cell r="F194" t="b">
            <v>1</v>
          </cell>
          <cell r="G194">
            <v>10922.111597507999</v>
          </cell>
          <cell r="H194">
            <v>404.91145803936701</v>
          </cell>
        </row>
        <row r="195">
          <cell r="B195" t="str">
            <v>BELLEVUE 2103478</v>
          </cell>
          <cell r="C195">
            <v>43182103</v>
          </cell>
          <cell r="D195" t="str">
            <v>BELLEVUE 2103</v>
          </cell>
          <cell r="E195">
            <v>478</v>
          </cell>
          <cell r="F195" t="b">
            <v>0</v>
          </cell>
          <cell r="G195">
            <v>32233.02864158</v>
          </cell>
          <cell r="H195">
            <v>13396.685919580499</v>
          </cell>
        </row>
        <row r="196">
          <cell r="B196" t="str">
            <v>BELLEVUE 2103552</v>
          </cell>
          <cell r="C196">
            <v>43182103</v>
          </cell>
          <cell r="D196" t="str">
            <v>BELLEVUE 2103</v>
          </cell>
          <cell r="E196">
            <v>552</v>
          </cell>
          <cell r="F196" t="b">
            <v>0</v>
          </cell>
          <cell r="G196">
            <v>24092.9743775061</v>
          </cell>
          <cell r="H196">
            <v>15233.615579933101</v>
          </cell>
        </row>
        <row r="197">
          <cell r="B197" t="str">
            <v>BELLEVUE 2103646</v>
          </cell>
          <cell r="C197">
            <v>43182103</v>
          </cell>
          <cell r="D197" t="str">
            <v>BELLEVUE 2103</v>
          </cell>
          <cell r="E197">
            <v>646</v>
          </cell>
          <cell r="F197" t="b">
            <v>0</v>
          </cell>
          <cell r="G197">
            <v>19795.1477634728</v>
          </cell>
          <cell r="H197">
            <v>13544.3225401329</v>
          </cell>
        </row>
        <row r="198">
          <cell r="B198" t="str">
            <v>BELLEVUE 2103648</v>
          </cell>
          <cell r="C198">
            <v>43182103</v>
          </cell>
          <cell r="D198" t="str">
            <v>BELLEVUE 2103</v>
          </cell>
          <cell r="E198">
            <v>648</v>
          </cell>
          <cell r="F198" t="b">
            <v>0</v>
          </cell>
          <cell r="G198">
            <v>26216.5178756924</v>
          </cell>
          <cell r="H198">
            <v>6117.4964595584797</v>
          </cell>
        </row>
        <row r="199">
          <cell r="B199" t="str">
            <v>BELMONT 11038956</v>
          </cell>
          <cell r="C199">
            <v>24031103</v>
          </cell>
          <cell r="D199" t="str">
            <v>BELMONT 1103</v>
          </cell>
          <cell r="E199">
            <v>8956</v>
          </cell>
          <cell r="F199" t="b">
            <v>1</v>
          </cell>
          <cell r="G199">
            <v>2231.1916527388498</v>
          </cell>
          <cell r="H199">
            <v>474.61324998703401</v>
          </cell>
        </row>
        <row r="200">
          <cell r="B200" t="str">
            <v>BELMONT 11038958</v>
          </cell>
          <cell r="C200">
            <v>24031103</v>
          </cell>
          <cell r="D200" t="str">
            <v>BELMONT 1103</v>
          </cell>
          <cell r="E200">
            <v>8958</v>
          </cell>
          <cell r="F200" t="b">
            <v>0</v>
          </cell>
          <cell r="G200">
            <v>9585.6332609458805</v>
          </cell>
          <cell r="H200">
            <v>5438.9296904011399</v>
          </cell>
        </row>
        <row r="201">
          <cell r="B201" t="str">
            <v>BELMONT 1110330790</v>
          </cell>
          <cell r="C201">
            <v>24031110</v>
          </cell>
          <cell r="D201" t="str">
            <v>BELMONT 1110</v>
          </cell>
          <cell r="E201">
            <v>330790</v>
          </cell>
          <cell r="F201" t="b">
            <v>1</v>
          </cell>
          <cell r="G201">
            <v>714.07907671143005</v>
          </cell>
          <cell r="H201">
            <v>199.56241388408199</v>
          </cell>
        </row>
        <row r="202">
          <cell r="B202" t="str">
            <v>BELMONT 11109090</v>
          </cell>
          <cell r="C202">
            <v>24031110</v>
          </cell>
          <cell r="D202" t="str">
            <v>BELMONT 1110</v>
          </cell>
          <cell r="E202">
            <v>9090</v>
          </cell>
          <cell r="F202" t="b">
            <v>1</v>
          </cell>
          <cell r="G202">
            <v>4202.8057306224</v>
          </cell>
          <cell r="H202">
            <v>0</v>
          </cell>
        </row>
        <row r="203">
          <cell r="B203" t="str">
            <v>BEN LOMOND 040116010</v>
          </cell>
          <cell r="C203">
            <v>83040401</v>
          </cell>
          <cell r="D203" t="str">
            <v>BEN LOMOND 0401</v>
          </cell>
          <cell r="E203">
            <v>16010</v>
          </cell>
          <cell r="F203" t="b">
            <v>0</v>
          </cell>
          <cell r="G203">
            <v>2728.9115091387598</v>
          </cell>
          <cell r="H203">
            <v>2728.9115091387598</v>
          </cell>
        </row>
        <row r="204">
          <cell r="B204" t="str">
            <v>BEN LOMOND 04015144</v>
          </cell>
          <cell r="C204">
            <v>83040401</v>
          </cell>
          <cell r="D204" t="str">
            <v>BEN LOMOND 0401</v>
          </cell>
          <cell r="E204">
            <v>5144</v>
          </cell>
          <cell r="F204" t="b">
            <v>0</v>
          </cell>
          <cell r="G204">
            <v>6368.9287845208801</v>
          </cell>
          <cell r="H204">
            <v>6368.9287845208801</v>
          </cell>
        </row>
        <row r="205">
          <cell r="B205" t="str">
            <v>BEN LOMOND 04015206</v>
          </cell>
          <cell r="C205">
            <v>83040401</v>
          </cell>
          <cell r="D205" t="str">
            <v>BEN LOMOND 0401</v>
          </cell>
          <cell r="E205">
            <v>5206</v>
          </cell>
          <cell r="F205" t="b">
            <v>0</v>
          </cell>
          <cell r="G205">
            <v>11520.377397435999</v>
          </cell>
          <cell r="H205">
            <v>11520.377397435999</v>
          </cell>
        </row>
        <row r="206">
          <cell r="B206" t="str">
            <v>BEN LOMOND 04015400</v>
          </cell>
          <cell r="C206">
            <v>83040401</v>
          </cell>
          <cell r="D206" t="str">
            <v>BEN LOMOND 0401</v>
          </cell>
          <cell r="E206">
            <v>5400</v>
          </cell>
          <cell r="F206" t="b">
            <v>1</v>
          </cell>
          <cell r="G206">
            <v>731.42411497907096</v>
          </cell>
          <cell r="H206">
            <v>731.42411497907096</v>
          </cell>
        </row>
        <row r="207">
          <cell r="B207" t="str">
            <v>BEN LOMOND 0401CB</v>
          </cell>
          <cell r="C207">
            <v>83040401</v>
          </cell>
          <cell r="D207" t="str">
            <v>BEN LOMOND 0401</v>
          </cell>
          <cell r="E207" t="str">
            <v>CB</v>
          </cell>
          <cell r="F207" t="b">
            <v>0</v>
          </cell>
          <cell r="G207">
            <v>12509.552787282801</v>
          </cell>
          <cell r="H207">
            <v>12509.552787282801</v>
          </cell>
        </row>
        <row r="208">
          <cell r="B208" t="str">
            <v>BEN LOMOND 110196738</v>
          </cell>
          <cell r="C208">
            <v>83041101</v>
          </cell>
          <cell r="D208" t="str">
            <v>BEN LOMOND 1101</v>
          </cell>
          <cell r="E208">
            <v>96738</v>
          </cell>
          <cell r="F208" t="b">
            <v>0</v>
          </cell>
          <cell r="G208">
            <v>10792.8538311702</v>
          </cell>
          <cell r="H208">
            <v>10792.8538311702</v>
          </cell>
        </row>
        <row r="209">
          <cell r="B209" t="str">
            <v>BEN LOMOND 1101BL 1101</v>
          </cell>
          <cell r="C209">
            <v>83041101</v>
          </cell>
          <cell r="D209" t="str">
            <v>BEN LOMOND 1101</v>
          </cell>
          <cell r="E209" t="str">
            <v>BL 1101</v>
          </cell>
          <cell r="F209" t="b">
            <v>0</v>
          </cell>
          <cell r="G209">
            <v>13568.3760643972</v>
          </cell>
          <cell r="H209">
            <v>13568.3760643972</v>
          </cell>
        </row>
        <row r="210">
          <cell r="B210" t="str">
            <v>BERESFORD 0403435168</v>
          </cell>
          <cell r="C210">
            <v>24040403</v>
          </cell>
          <cell r="D210" t="str">
            <v>BERESFORD 0403</v>
          </cell>
          <cell r="E210">
            <v>435168</v>
          </cell>
          <cell r="F210" t="b">
            <v>0</v>
          </cell>
          <cell r="G210">
            <v>2902.29551037684</v>
          </cell>
          <cell r="H210">
            <v>2068.40767296582</v>
          </cell>
        </row>
        <row r="211">
          <cell r="B211" t="str">
            <v>BERESFORD 04039154</v>
          </cell>
          <cell r="C211">
            <v>24040403</v>
          </cell>
          <cell r="D211" t="str">
            <v>BERESFORD 0403</v>
          </cell>
          <cell r="E211">
            <v>9154</v>
          </cell>
          <cell r="F211" t="b">
            <v>0</v>
          </cell>
          <cell r="G211">
            <v>10556.7719001356</v>
          </cell>
          <cell r="H211">
            <v>6776.6761810650496</v>
          </cell>
        </row>
        <row r="212">
          <cell r="B212" t="str">
            <v>BERKELEY F 0402502466</v>
          </cell>
          <cell r="C212">
            <v>12060402</v>
          </cell>
          <cell r="D212" t="str">
            <v>BERKELEY F 0402</v>
          </cell>
          <cell r="E212">
            <v>502466</v>
          </cell>
          <cell r="F212" t="b">
            <v>1</v>
          </cell>
          <cell r="G212">
            <v>854.28386320211598</v>
          </cell>
          <cell r="H212">
            <v>226.023835945272</v>
          </cell>
        </row>
        <row r="213">
          <cell r="B213" t="str">
            <v>BERKELEY F 0402CB</v>
          </cell>
          <cell r="C213">
            <v>12060402</v>
          </cell>
          <cell r="D213" t="str">
            <v>BERKELEY F 0402</v>
          </cell>
          <cell r="E213" t="str">
            <v>CB</v>
          </cell>
          <cell r="F213" t="b">
            <v>1</v>
          </cell>
          <cell r="G213">
            <v>2575.0656974707399</v>
          </cell>
          <cell r="H213">
            <v>47.0230865460655</v>
          </cell>
        </row>
        <row r="214">
          <cell r="B214" t="str">
            <v>BERKELEY F 1103162952</v>
          </cell>
          <cell r="C214">
            <v>12061103</v>
          </cell>
          <cell r="D214" t="str">
            <v>BERKELEY F 1103</v>
          </cell>
          <cell r="E214">
            <v>162952</v>
          </cell>
          <cell r="F214" t="b">
            <v>0</v>
          </cell>
          <cell r="G214">
            <v>3475.2505770595699</v>
          </cell>
          <cell r="H214">
            <v>2846.7584701732198</v>
          </cell>
        </row>
        <row r="215">
          <cell r="B215" t="str">
            <v>BERKELEY F 1103620294</v>
          </cell>
          <cell r="C215">
            <v>12061103</v>
          </cell>
          <cell r="D215" t="str">
            <v>BERKELEY F 1103</v>
          </cell>
          <cell r="E215">
            <v>620294</v>
          </cell>
          <cell r="F215" t="b">
            <v>1</v>
          </cell>
          <cell r="G215">
            <v>312.27217764295102</v>
          </cell>
          <cell r="H215">
            <v>249.663665394605</v>
          </cell>
        </row>
        <row r="216">
          <cell r="B216" t="str">
            <v>BERKELEY F 1103813976</v>
          </cell>
          <cell r="C216">
            <v>12061103</v>
          </cell>
          <cell r="D216" t="str">
            <v>BERKELEY F 1103</v>
          </cell>
          <cell r="E216">
            <v>813976</v>
          </cell>
          <cell r="F216" t="b">
            <v>1</v>
          </cell>
          <cell r="G216">
            <v>328.18081893226798</v>
          </cell>
          <cell r="H216">
            <v>312.29782492929297</v>
          </cell>
        </row>
        <row r="217">
          <cell r="B217" t="str">
            <v>BERKELEY F 1103BR110</v>
          </cell>
          <cell r="C217">
            <v>12061103</v>
          </cell>
          <cell r="D217" t="str">
            <v>BERKELEY F 1103</v>
          </cell>
          <cell r="E217" t="str">
            <v>BR110</v>
          </cell>
          <cell r="F217" t="b">
            <v>1</v>
          </cell>
          <cell r="G217">
            <v>5064.9775389901797</v>
          </cell>
          <cell r="H217">
            <v>0</v>
          </cell>
        </row>
        <row r="218">
          <cell r="B218" t="str">
            <v>BERKELEY F 1105189500</v>
          </cell>
          <cell r="C218">
            <v>12061105</v>
          </cell>
          <cell r="D218" t="str">
            <v>BERKELEY F 1105</v>
          </cell>
          <cell r="E218">
            <v>189500</v>
          </cell>
          <cell r="F218" t="b">
            <v>0</v>
          </cell>
          <cell r="G218">
            <v>1726.24020811173</v>
          </cell>
          <cell r="H218">
            <v>1225.6859610224501</v>
          </cell>
        </row>
        <row r="219">
          <cell r="B219" t="str">
            <v>BERKELEY F 1105849701</v>
          </cell>
          <cell r="C219">
            <v>12061105</v>
          </cell>
          <cell r="D219" t="str">
            <v>BERKELEY F 1105</v>
          </cell>
          <cell r="E219">
            <v>849701</v>
          </cell>
          <cell r="F219" t="b">
            <v>1</v>
          </cell>
          <cell r="G219">
            <v>220.60385199341499</v>
          </cell>
          <cell r="H219">
            <v>213.772431455358</v>
          </cell>
        </row>
        <row r="220">
          <cell r="B220" t="str">
            <v>BERKELEY F 1105BR166</v>
          </cell>
          <cell r="C220">
            <v>12061105</v>
          </cell>
          <cell r="D220" t="str">
            <v>BERKELEY F 1105</v>
          </cell>
          <cell r="E220" t="str">
            <v>BR166</v>
          </cell>
          <cell r="F220" t="b">
            <v>1</v>
          </cell>
          <cell r="G220">
            <v>61.4345106783041</v>
          </cell>
          <cell r="H220">
            <v>61.4345106783041</v>
          </cell>
        </row>
        <row r="221">
          <cell r="B221" t="str">
            <v>BERKELEY F 1105CB</v>
          </cell>
          <cell r="C221">
            <v>12061105</v>
          </cell>
          <cell r="D221" t="str">
            <v>BERKELEY F 1105</v>
          </cell>
          <cell r="E221" t="str">
            <v>CB</v>
          </cell>
          <cell r="F221" t="b">
            <v>0</v>
          </cell>
          <cell r="G221">
            <v>12969.644547673301</v>
          </cell>
          <cell r="H221">
            <v>1669.14517217611</v>
          </cell>
        </row>
        <row r="222">
          <cell r="B222" t="str">
            <v>BERKELEY T 0404CB</v>
          </cell>
          <cell r="C222">
            <v>12660404</v>
          </cell>
          <cell r="D222" t="str">
            <v>BERKELEY T 0404</v>
          </cell>
          <cell r="E222" t="str">
            <v>CB</v>
          </cell>
          <cell r="F222" t="b">
            <v>1</v>
          </cell>
          <cell r="G222">
            <v>1942.0348964326899</v>
          </cell>
          <cell r="H222">
            <v>0</v>
          </cell>
        </row>
        <row r="223">
          <cell r="B223" t="str">
            <v>BIG BASIN 110110296</v>
          </cell>
          <cell r="C223">
            <v>82841101</v>
          </cell>
          <cell r="D223" t="str">
            <v>BIG BASIN 1101</v>
          </cell>
          <cell r="E223">
            <v>10296</v>
          </cell>
          <cell r="F223" t="b">
            <v>0</v>
          </cell>
          <cell r="G223">
            <v>23203.580421509501</v>
          </cell>
          <cell r="H223">
            <v>23203.580421509501</v>
          </cell>
        </row>
        <row r="224">
          <cell r="B224" t="str">
            <v>BIG BASIN 110110720</v>
          </cell>
          <cell r="C224">
            <v>82841101</v>
          </cell>
          <cell r="D224" t="str">
            <v>BIG BASIN 1101</v>
          </cell>
          <cell r="E224">
            <v>10720</v>
          </cell>
          <cell r="F224" t="b">
            <v>0</v>
          </cell>
          <cell r="G224">
            <v>7578.3101545016498</v>
          </cell>
          <cell r="H224">
            <v>7578.3101545016498</v>
          </cell>
        </row>
        <row r="225">
          <cell r="B225" t="str">
            <v>BIG BASIN 110112838</v>
          </cell>
          <cell r="C225">
            <v>82841101</v>
          </cell>
          <cell r="D225" t="str">
            <v>BIG BASIN 1101</v>
          </cell>
          <cell r="E225">
            <v>12838</v>
          </cell>
          <cell r="F225" t="b">
            <v>0</v>
          </cell>
          <cell r="G225">
            <v>3807.4911109578602</v>
          </cell>
          <cell r="H225">
            <v>3807.4911109578602</v>
          </cell>
        </row>
        <row r="226">
          <cell r="B226" t="str">
            <v>BIG BASIN 11015000</v>
          </cell>
          <cell r="C226">
            <v>82841101</v>
          </cell>
          <cell r="D226" t="str">
            <v>BIG BASIN 1101</v>
          </cell>
          <cell r="E226">
            <v>5000</v>
          </cell>
          <cell r="F226" t="b">
            <v>0</v>
          </cell>
          <cell r="G226">
            <v>3149.0185626931002</v>
          </cell>
          <cell r="H226">
            <v>3149.0185626931002</v>
          </cell>
        </row>
        <row r="227">
          <cell r="B227" t="str">
            <v>BIG BASIN 11015028</v>
          </cell>
          <cell r="C227">
            <v>82841101</v>
          </cell>
          <cell r="D227" t="str">
            <v>BIG BASIN 1101</v>
          </cell>
          <cell r="E227">
            <v>5028</v>
          </cell>
          <cell r="F227" t="b">
            <v>0</v>
          </cell>
          <cell r="G227">
            <v>8087.7218931861798</v>
          </cell>
          <cell r="H227">
            <v>8087.7218931861798</v>
          </cell>
        </row>
        <row r="228">
          <cell r="B228" t="str">
            <v>BIG BASIN 11015479</v>
          </cell>
          <cell r="C228">
            <v>82841101</v>
          </cell>
          <cell r="D228" t="str">
            <v>BIG BASIN 1101</v>
          </cell>
          <cell r="E228">
            <v>5479</v>
          </cell>
          <cell r="F228" t="b">
            <v>1</v>
          </cell>
          <cell r="G228">
            <v>289.277679652887</v>
          </cell>
          <cell r="H228">
            <v>289.277679652887</v>
          </cell>
        </row>
        <row r="229">
          <cell r="B229" t="str">
            <v>BIG BASIN 110165444</v>
          </cell>
          <cell r="C229">
            <v>82841101</v>
          </cell>
          <cell r="D229" t="str">
            <v>BIG BASIN 1101</v>
          </cell>
          <cell r="E229">
            <v>65444</v>
          </cell>
          <cell r="F229" t="b">
            <v>1</v>
          </cell>
          <cell r="G229">
            <v>757.25933679154298</v>
          </cell>
          <cell r="H229">
            <v>757.25933679154298</v>
          </cell>
        </row>
        <row r="230">
          <cell r="B230" t="str">
            <v>BIG BASIN 110169550</v>
          </cell>
          <cell r="C230">
            <v>82841101</v>
          </cell>
          <cell r="D230" t="str">
            <v>BIG BASIN 1101</v>
          </cell>
          <cell r="E230">
            <v>69550</v>
          </cell>
          <cell r="F230" t="b">
            <v>0</v>
          </cell>
          <cell r="G230">
            <v>28222.949910847299</v>
          </cell>
          <cell r="H230">
            <v>28222.949910847299</v>
          </cell>
        </row>
        <row r="231">
          <cell r="B231" t="str">
            <v>BIG BASIN 110195690</v>
          </cell>
          <cell r="C231">
            <v>82841101</v>
          </cell>
          <cell r="D231" t="str">
            <v>BIG BASIN 1101</v>
          </cell>
          <cell r="E231">
            <v>95690</v>
          </cell>
          <cell r="F231" t="b">
            <v>0</v>
          </cell>
          <cell r="G231">
            <v>6226.9882008554496</v>
          </cell>
          <cell r="H231">
            <v>6226.9882008554496</v>
          </cell>
        </row>
        <row r="232">
          <cell r="B232" t="str">
            <v>BIG BASIN 11019773</v>
          </cell>
          <cell r="C232">
            <v>82841101</v>
          </cell>
          <cell r="D232" t="str">
            <v>BIG BASIN 1101</v>
          </cell>
          <cell r="E232">
            <v>9773</v>
          </cell>
          <cell r="F232" t="b">
            <v>1</v>
          </cell>
          <cell r="G232">
            <v>724.85451530008299</v>
          </cell>
          <cell r="H232">
            <v>724.85451530008299</v>
          </cell>
        </row>
        <row r="233">
          <cell r="B233" t="str">
            <v>BIG BASIN 1101CB</v>
          </cell>
          <cell r="C233">
            <v>82841101</v>
          </cell>
          <cell r="D233" t="str">
            <v>BIG BASIN 1101</v>
          </cell>
          <cell r="E233" t="str">
            <v>CB</v>
          </cell>
          <cell r="F233" t="b">
            <v>0</v>
          </cell>
          <cell r="G233">
            <v>7486.7826707435797</v>
          </cell>
          <cell r="H233">
            <v>7486.7826707435797</v>
          </cell>
        </row>
        <row r="234">
          <cell r="B234" t="str">
            <v>BIG BASIN 110210254</v>
          </cell>
          <cell r="C234">
            <v>82841102</v>
          </cell>
          <cell r="D234" t="str">
            <v>BIG BASIN 1102</v>
          </cell>
          <cell r="E234">
            <v>10254</v>
          </cell>
          <cell r="F234" t="b">
            <v>0</v>
          </cell>
          <cell r="G234">
            <v>3449.8350903844798</v>
          </cell>
          <cell r="H234">
            <v>3449.8350903844798</v>
          </cell>
        </row>
        <row r="235">
          <cell r="B235" t="str">
            <v>BIG BASIN 110211062</v>
          </cell>
          <cell r="C235">
            <v>82841102</v>
          </cell>
          <cell r="D235" t="str">
            <v>BIG BASIN 1102</v>
          </cell>
          <cell r="E235">
            <v>11062</v>
          </cell>
          <cell r="F235" t="b">
            <v>0</v>
          </cell>
          <cell r="G235">
            <v>21428.234301208398</v>
          </cell>
          <cell r="H235">
            <v>21428.234301208398</v>
          </cell>
        </row>
        <row r="236">
          <cell r="B236" t="str">
            <v>BIG BASIN 110212124</v>
          </cell>
          <cell r="C236">
            <v>82841102</v>
          </cell>
          <cell r="D236" t="str">
            <v>BIG BASIN 1102</v>
          </cell>
          <cell r="E236">
            <v>12124</v>
          </cell>
          <cell r="F236" t="b">
            <v>0</v>
          </cell>
          <cell r="G236">
            <v>7217.2961941693902</v>
          </cell>
          <cell r="H236">
            <v>7217.2961941693902</v>
          </cell>
        </row>
        <row r="237">
          <cell r="B237" t="str">
            <v>BIG BASIN 110212758</v>
          </cell>
          <cell r="C237">
            <v>82841102</v>
          </cell>
          <cell r="D237" t="str">
            <v>BIG BASIN 1102</v>
          </cell>
          <cell r="E237">
            <v>12758</v>
          </cell>
          <cell r="F237" t="b">
            <v>0</v>
          </cell>
          <cell r="G237">
            <v>9624.9944894049204</v>
          </cell>
          <cell r="H237">
            <v>9624.9944894049204</v>
          </cell>
        </row>
        <row r="238">
          <cell r="B238" t="str">
            <v>BIG BASIN 110212992</v>
          </cell>
          <cell r="C238">
            <v>82841102</v>
          </cell>
          <cell r="D238" t="str">
            <v>BIG BASIN 1102</v>
          </cell>
          <cell r="E238">
            <v>12992</v>
          </cell>
          <cell r="F238" t="b">
            <v>0</v>
          </cell>
          <cell r="G238">
            <v>22915.456873319701</v>
          </cell>
          <cell r="H238">
            <v>22915.456873319701</v>
          </cell>
        </row>
        <row r="239">
          <cell r="B239" t="str">
            <v>BIG BASIN 11022253</v>
          </cell>
          <cell r="C239">
            <v>82841102</v>
          </cell>
          <cell r="D239" t="str">
            <v>BIG BASIN 1102</v>
          </cell>
          <cell r="E239">
            <v>2253</v>
          </cell>
          <cell r="F239" t="b">
            <v>0</v>
          </cell>
          <cell r="G239">
            <v>2335.3362898405799</v>
          </cell>
          <cell r="H239">
            <v>2335.3362898405799</v>
          </cell>
        </row>
        <row r="240">
          <cell r="B240" t="str">
            <v>BIG BASIN 11025066</v>
          </cell>
          <cell r="C240">
            <v>82841102</v>
          </cell>
          <cell r="D240" t="str">
            <v>BIG BASIN 1102</v>
          </cell>
          <cell r="E240">
            <v>5066</v>
          </cell>
          <cell r="F240" t="b">
            <v>0</v>
          </cell>
          <cell r="G240">
            <v>22120.764003686301</v>
          </cell>
          <cell r="H240">
            <v>22120.764003686301</v>
          </cell>
        </row>
        <row r="241">
          <cell r="B241" t="str">
            <v>BIG BASIN 11026219</v>
          </cell>
          <cell r="C241">
            <v>82841102</v>
          </cell>
          <cell r="D241" t="str">
            <v>BIG BASIN 1102</v>
          </cell>
          <cell r="E241">
            <v>6219</v>
          </cell>
          <cell r="F241" t="b">
            <v>0</v>
          </cell>
          <cell r="G241">
            <v>1488.62624821074</v>
          </cell>
          <cell r="H241">
            <v>1488.62624821074</v>
          </cell>
        </row>
        <row r="242">
          <cell r="B242" t="str">
            <v>BIG BASIN 110276752</v>
          </cell>
          <cell r="C242">
            <v>82841102</v>
          </cell>
          <cell r="D242" t="str">
            <v>BIG BASIN 1102</v>
          </cell>
          <cell r="E242">
            <v>76752</v>
          </cell>
          <cell r="F242" t="b">
            <v>0</v>
          </cell>
          <cell r="G242">
            <v>4380.3191790584697</v>
          </cell>
          <cell r="H242">
            <v>4380.3191790584697</v>
          </cell>
        </row>
        <row r="243">
          <cell r="B243" t="str">
            <v>BIG BASIN 11028403</v>
          </cell>
          <cell r="C243">
            <v>82841102</v>
          </cell>
          <cell r="D243" t="str">
            <v>BIG BASIN 1102</v>
          </cell>
          <cell r="E243">
            <v>8403</v>
          </cell>
          <cell r="F243" t="b">
            <v>0</v>
          </cell>
          <cell r="G243">
            <v>7867.72923810065</v>
          </cell>
          <cell r="H243">
            <v>7867.72923810065</v>
          </cell>
        </row>
        <row r="244">
          <cell r="B244" t="str">
            <v>BIG BASIN 110296986</v>
          </cell>
          <cell r="C244">
            <v>82841102</v>
          </cell>
          <cell r="D244" t="str">
            <v>BIG BASIN 1102</v>
          </cell>
          <cell r="E244">
            <v>96986</v>
          </cell>
          <cell r="F244" t="b">
            <v>0</v>
          </cell>
          <cell r="G244">
            <v>9497.5054656972097</v>
          </cell>
          <cell r="H244">
            <v>9497.5054656972097</v>
          </cell>
        </row>
        <row r="245">
          <cell r="B245" t="str">
            <v>BIG BASIN 11029741</v>
          </cell>
          <cell r="C245">
            <v>82841102</v>
          </cell>
          <cell r="D245" t="str">
            <v>BIG BASIN 1102</v>
          </cell>
          <cell r="E245">
            <v>9741</v>
          </cell>
          <cell r="F245" t="b">
            <v>0</v>
          </cell>
          <cell r="G245">
            <v>1036.46610646314</v>
          </cell>
          <cell r="H245">
            <v>1036.46610646314</v>
          </cell>
        </row>
        <row r="246">
          <cell r="B246" t="str">
            <v>BIG BASIN 1102CB</v>
          </cell>
          <cell r="C246">
            <v>82841102</v>
          </cell>
          <cell r="D246" t="str">
            <v>BIG BASIN 1102</v>
          </cell>
          <cell r="E246" t="str">
            <v>CB</v>
          </cell>
          <cell r="F246" t="b">
            <v>0</v>
          </cell>
          <cell r="G246">
            <v>9963.4072989740198</v>
          </cell>
          <cell r="H246">
            <v>9963.4072989740198</v>
          </cell>
        </row>
        <row r="247">
          <cell r="B247" t="str">
            <v>BIG BEND 11011704</v>
          </cell>
          <cell r="C247">
            <v>103751101</v>
          </cell>
          <cell r="D247" t="str">
            <v>BIG BEND 1101</v>
          </cell>
          <cell r="E247">
            <v>1704</v>
          </cell>
          <cell r="F247" t="b">
            <v>0</v>
          </cell>
          <cell r="G247">
            <v>4825.0455514817904</v>
          </cell>
          <cell r="H247">
            <v>4825.0455514817904</v>
          </cell>
        </row>
        <row r="248">
          <cell r="B248" t="str">
            <v>BIG BEND 1101180398</v>
          </cell>
          <cell r="C248">
            <v>103751101</v>
          </cell>
          <cell r="D248" t="str">
            <v>BIG BEND 1101</v>
          </cell>
          <cell r="E248">
            <v>180398</v>
          </cell>
          <cell r="F248" t="b">
            <v>0</v>
          </cell>
          <cell r="G248">
            <v>8946.0191295261702</v>
          </cell>
          <cell r="H248">
            <v>8946.0191295261702</v>
          </cell>
        </row>
        <row r="249">
          <cell r="B249" t="str">
            <v>BIG BEND 1101641808</v>
          </cell>
          <cell r="C249">
            <v>103751101</v>
          </cell>
          <cell r="D249" t="str">
            <v>BIG BEND 1101</v>
          </cell>
          <cell r="E249">
            <v>641808</v>
          </cell>
          <cell r="F249" t="b">
            <v>0</v>
          </cell>
          <cell r="G249">
            <v>41435.702901771903</v>
          </cell>
          <cell r="H249">
            <v>41435.702901771903</v>
          </cell>
        </row>
        <row r="250">
          <cell r="B250" t="str">
            <v>BIG BEND 1101CB</v>
          </cell>
          <cell r="C250">
            <v>103751101</v>
          </cell>
          <cell r="D250" t="str">
            <v>BIG BEND 1101</v>
          </cell>
          <cell r="E250" t="str">
            <v>CB</v>
          </cell>
          <cell r="F250" t="b">
            <v>0</v>
          </cell>
          <cell r="G250">
            <v>37377.208935817704</v>
          </cell>
          <cell r="H250">
            <v>37377.208935817704</v>
          </cell>
        </row>
        <row r="251">
          <cell r="B251" t="str">
            <v>BIG BEND 11021972</v>
          </cell>
          <cell r="C251">
            <v>103751102</v>
          </cell>
          <cell r="D251" t="str">
            <v>BIG BEND 1102</v>
          </cell>
          <cell r="E251">
            <v>1972</v>
          </cell>
          <cell r="F251" t="b">
            <v>0</v>
          </cell>
          <cell r="G251">
            <v>34265.982701558001</v>
          </cell>
          <cell r="H251">
            <v>34265.982701558001</v>
          </cell>
        </row>
        <row r="252">
          <cell r="B252" t="str">
            <v>BIG BEND 1102CB</v>
          </cell>
          <cell r="C252">
            <v>103751102</v>
          </cell>
          <cell r="D252" t="str">
            <v>BIG BEND 1102</v>
          </cell>
          <cell r="E252" t="str">
            <v>CB</v>
          </cell>
          <cell r="F252" t="b">
            <v>0</v>
          </cell>
          <cell r="G252">
            <v>27411.829298561301</v>
          </cell>
          <cell r="H252">
            <v>27411.829298561301</v>
          </cell>
        </row>
        <row r="253">
          <cell r="B253" t="str">
            <v>BIG MEADOWS 21012016</v>
          </cell>
          <cell r="C253">
            <v>102812101</v>
          </cell>
          <cell r="D253" t="str">
            <v>BIG MEADOWS 2101</v>
          </cell>
          <cell r="E253">
            <v>2016</v>
          </cell>
          <cell r="F253" t="b">
            <v>1</v>
          </cell>
          <cell r="G253">
            <v>6829.69916177494</v>
          </cell>
          <cell r="H253">
            <v>150.972394486127</v>
          </cell>
        </row>
        <row r="254">
          <cell r="B254" t="str">
            <v>BIG MEADOWS 21012246</v>
          </cell>
          <cell r="C254">
            <v>102812101</v>
          </cell>
          <cell r="D254" t="str">
            <v>BIG MEADOWS 2101</v>
          </cell>
          <cell r="E254">
            <v>2246</v>
          </cell>
          <cell r="F254" t="b">
            <v>0</v>
          </cell>
          <cell r="G254">
            <v>2937.4924004444601</v>
          </cell>
          <cell r="H254">
            <v>2937.4924004444601</v>
          </cell>
        </row>
        <row r="255">
          <cell r="B255" t="str">
            <v>BIG MEADOWS 21012248</v>
          </cell>
          <cell r="C255">
            <v>102812101</v>
          </cell>
          <cell r="D255" t="str">
            <v>BIG MEADOWS 2101</v>
          </cell>
          <cell r="E255">
            <v>2248</v>
          </cell>
          <cell r="F255" t="b">
            <v>0</v>
          </cell>
          <cell r="G255">
            <v>14727.9743932937</v>
          </cell>
          <cell r="H255">
            <v>14727.9743932937</v>
          </cell>
        </row>
        <row r="256">
          <cell r="B256" t="str">
            <v>BIG MEADOWS 21012260</v>
          </cell>
          <cell r="C256">
            <v>102812101</v>
          </cell>
          <cell r="D256" t="str">
            <v>BIG MEADOWS 2101</v>
          </cell>
          <cell r="E256">
            <v>2260</v>
          </cell>
          <cell r="F256" t="b">
            <v>0</v>
          </cell>
          <cell r="G256">
            <v>36303.335324739703</v>
          </cell>
          <cell r="H256">
            <v>25414.2278657518</v>
          </cell>
        </row>
        <row r="257">
          <cell r="B257" t="str">
            <v>BIG MEADOWS 21012474</v>
          </cell>
          <cell r="C257">
            <v>102812101</v>
          </cell>
          <cell r="D257" t="str">
            <v>BIG MEADOWS 2101</v>
          </cell>
          <cell r="E257">
            <v>2474</v>
          </cell>
          <cell r="F257" t="b">
            <v>0</v>
          </cell>
          <cell r="G257">
            <v>13467.349786508699</v>
          </cell>
          <cell r="H257">
            <v>13410.8685054377</v>
          </cell>
        </row>
        <row r="258">
          <cell r="B258" t="str">
            <v>BIG MEADOWS 21012476</v>
          </cell>
          <cell r="C258">
            <v>102812101</v>
          </cell>
          <cell r="D258" t="str">
            <v>BIG MEADOWS 2101</v>
          </cell>
          <cell r="E258">
            <v>2476</v>
          </cell>
          <cell r="F258" t="b">
            <v>0</v>
          </cell>
          <cell r="G258">
            <v>14000.893084928101</v>
          </cell>
          <cell r="H258">
            <v>13050.712216203699</v>
          </cell>
        </row>
        <row r="259">
          <cell r="B259" t="str">
            <v>BIG MEADOWS 21012510</v>
          </cell>
          <cell r="C259">
            <v>102812101</v>
          </cell>
          <cell r="D259" t="str">
            <v>BIG MEADOWS 2101</v>
          </cell>
          <cell r="E259">
            <v>2510</v>
          </cell>
          <cell r="F259" t="b">
            <v>0</v>
          </cell>
          <cell r="G259">
            <v>14243.477031604099</v>
          </cell>
          <cell r="H259">
            <v>12778.5067860979</v>
          </cell>
        </row>
        <row r="260">
          <cell r="B260" t="str">
            <v>BIG MEADOWS 21012586</v>
          </cell>
          <cell r="C260">
            <v>102812101</v>
          </cell>
          <cell r="D260" t="str">
            <v>BIG MEADOWS 2101</v>
          </cell>
          <cell r="E260">
            <v>2586</v>
          </cell>
          <cell r="F260" t="b">
            <v>0</v>
          </cell>
          <cell r="G260">
            <v>17615.516767710498</v>
          </cell>
          <cell r="H260">
            <v>10070.6101047106</v>
          </cell>
        </row>
        <row r="261">
          <cell r="B261" t="str">
            <v>BIG MEADOWS 2101439</v>
          </cell>
          <cell r="C261">
            <v>102812101</v>
          </cell>
          <cell r="D261" t="str">
            <v>BIG MEADOWS 2101</v>
          </cell>
          <cell r="E261">
            <v>439</v>
          </cell>
          <cell r="F261" t="b">
            <v>0</v>
          </cell>
          <cell r="G261">
            <v>1501.1744737901199</v>
          </cell>
          <cell r="H261">
            <v>1069.2533497187601</v>
          </cell>
        </row>
        <row r="262">
          <cell r="B262" t="str">
            <v>BIG MEADOWS 2101CB</v>
          </cell>
          <cell r="C262">
            <v>102812101</v>
          </cell>
          <cell r="D262" t="str">
            <v>BIG MEADOWS 2101</v>
          </cell>
          <cell r="E262" t="str">
            <v>CB</v>
          </cell>
          <cell r="F262" t="b">
            <v>0</v>
          </cell>
          <cell r="G262">
            <v>3388.6183732371601</v>
          </cell>
          <cell r="H262">
            <v>3388.6183732371601</v>
          </cell>
        </row>
        <row r="263">
          <cell r="B263" t="str">
            <v>BIG RIVER 11011052</v>
          </cell>
          <cell r="C263">
            <v>43081101</v>
          </cell>
          <cell r="D263" t="str">
            <v>BIG RIVER 1101</v>
          </cell>
          <cell r="E263">
            <v>1052</v>
          </cell>
          <cell r="F263" t="b">
            <v>0</v>
          </cell>
          <cell r="G263">
            <v>6204.8696331601004</v>
          </cell>
          <cell r="H263">
            <v>5356.1469746908897</v>
          </cell>
        </row>
        <row r="264">
          <cell r="B264" t="str">
            <v>BIG RIVER 11011286</v>
          </cell>
          <cell r="C264">
            <v>43081101</v>
          </cell>
          <cell r="D264" t="str">
            <v>BIG RIVER 1101</v>
          </cell>
          <cell r="E264">
            <v>1286</v>
          </cell>
          <cell r="F264" t="b">
            <v>0</v>
          </cell>
          <cell r="G264">
            <v>12241.8562919207</v>
          </cell>
          <cell r="H264">
            <v>7682.9666429933104</v>
          </cell>
        </row>
        <row r="265">
          <cell r="B265" t="str">
            <v>BIG RIVER 11012183</v>
          </cell>
          <cell r="C265">
            <v>43081101</v>
          </cell>
          <cell r="D265" t="str">
            <v>BIG RIVER 1101</v>
          </cell>
          <cell r="E265">
            <v>2183</v>
          </cell>
          <cell r="F265" t="b">
            <v>0</v>
          </cell>
          <cell r="G265">
            <v>4246.8638286935602</v>
          </cell>
          <cell r="H265">
            <v>4246.8638286935602</v>
          </cell>
        </row>
        <row r="266">
          <cell r="B266" t="str">
            <v>BIG RIVER 1101262924</v>
          </cell>
          <cell r="C266">
            <v>43081101</v>
          </cell>
          <cell r="D266" t="str">
            <v>BIG RIVER 1101</v>
          </cell>
          <cell r="E266">
            <v>262924</v>
          </cell>
          <cell r="F266" t="b">
            <v>0</v>
          </cell>
          <cell r="G266">
            <v>3139.88684484128</v>
          </cell>
          <cell r="H266">
            <v>3032.2864879500598</v>
          </cell>
        </row>
        <row r="267">
          <cell r="B267" t="str">
            <v>BIG RIVER 11013002</v>
          </cell>
          <cell r="C267">
            <v>43081101</v>
          </cell>
          <cell r="D267" t="str">
            <v>BIG RIVER 1101</v>
          </cell>
          <cell r="E267">
            <v>3002</v>
          </cell>
          <cell r="F267" t="b">
            <v>0</v>
          </cell>
          <cell r="G267">
            <v>13206.834200761499</v>
          </cell>
          <cell r="H267">
            <v>11656.2738853582</v>
          </cell>
        </row>
        <row r="268">
          <cell r="B268" t="str">
            <v>BIG RIVER 11013019</v>
          </cell>
          <cell r="C268">
            <v>43081101</v>
          </cell>
          <cell r="D268" t="str">
            <v>BIG RIVER 1101</v>
          </cell>
          <cell r="E268">
            <v>3019</v>
          </cell>
          <cell r="F268" t="b">
            <v>1</v>
          </cell>
          <cell r="G268">
            <v>1511.59810632994</v>
          </cell>
          <cell r="H268">
            <v>426.93679365134602</v>
          </cell>
        </row>
        <row r="269">
          <cell r="B269" t="str">
            <v>BIG RIVER 11015065</v>
          </cell>
          <cell r="C269">
            <v>43081101</v>
          </cell>
          <cell r="D269" t="str">
            <v>BIG RIVER 1101</v>
          </cell>
          <cell r="E269">
            <v>5065</v>
          </cell>
          <cell r="F269" t="b">
            <v>0</v>
          </cell>
          <cell r="G269">
            <v>3543.5773702966098</v>
          </cell>
          <cell r="H269">
            <v>3543.5773702966098</v>
          </cell>
        </row>
        <row r="270">
          <cell r="B270" t="str">
            <v>BIG RIVER 110155402</v>
          </cell>
          <cell r="C270">
            <v>43081101</v>
          </cell>
          <cell r="D270" t="str">
            <v>BIG RIVER 1101</v>
          </cell>
          <cell r="E270">
            <v>55402</v>
          </cell>
          <cell r="F270" t="b">
            <v>0</v>
          </cell>
          <cell r="G270">
            <v>14989.688695141</v>
          </cell>
          <cell r="H270">
            <v>3994.4824843582301</v>
          </cell>
        </row>
        <row r="271">
          <cell r="B271" t="str">
            <v>BIG RIVER 110169032</v>
          </cell>
          <cell r="C271">
            <v>43081101</v>
          </cell>
          <cell r="D271" t="str">
            <v>BIG RIVER 1101</v>
          </cell>
          <cell r="E271">
            <v>69032</v>
          </cell>
          <cell r="F271" t="b">
            <v>0</v>
          </cell>
          <cell r="G271">
            <v>13655.5842234502</v>
          </cell>
          <cell r="H271">
            <v>13655.5842234502</v>
          </cell>
        </row>
        <row r="272">
          <cell r="B272" t="str">
            <v>BIG RIVER 11017273</v>
          </cell>
          <cell r="C272">
            <v>43081101</v>
          </cell>
          <cell r="D272" t="str">
            <v>BIG RIVER 1101</v>
          </cell>
          <cell r="E272">
            <v>7273</v>
          </cell>
          <cell r="F272" t="b">
            <v>0</v>
          </cell>
          <cell r="G272">
            <v>10648.417936575501</v>
          </cell>
          <cell r="H272">
            <v>10648.417936575501</v>
          </cell>
        </row>
        <row r="273">
          <cell r="B273" t="str">
            <v>BIG RIVER 110179628</v>
          </cell>
          <cell r="C273">
            <v>43081101</v>
          </cell>
          <cell r="D273" t="str">
            <v>BIG RIVER 1101</v>
          </cell>
          <cell r="E273">
            <v>79628</v>
          </cell>
          <cell r="F273" t="b">
            <v>0</v>
          </cell>
          <cell r="G273">
            <v>23813.935757742998</v>
          </cell>
          <cell r="H273">
            <v>23813.935757742998</v>
          </cell>
        </row>
        <row r="274">
          <cell r="B274" t="str">
            <v>BIG RIVER 1101952</v>
          </cell>
          <cell r="C274">
            <v>43081101</v>
          </cell>
          <cell r="D274" t="str">
            <v>BIG RIVER 1101</v>
          </cell>
          <cell r="E274">
            <v>952</v>
          </cell>
          <cell r="F274" t="b">
            <v>0</v>
          </cell>
          <cell r="G274">
            <v>16341.5936371401</v>
          </cell>
          <cell r="H274">
            <v>16341.5936371401</v>
          </cell>
        </row>
        <row r="275">
          <cell r="B275" t="str">
            <v>BIG RIVER 1101954</v>
          </cell>
          <cell r="C275">
            <v>43081101</v>
          </cell>
          <cell r="D275" t="str">
            <v>BIG RIVER 1101</v>
          </cell>
          <cell r="E275">
            <v>954</v>
          </cell>
          <cell r="F275" t="b">
            <v>0</v>
          </cell>
          <cell r="G275">
            <v>13095.059150621701</v>
          </cell>
          <cell r="H275">
            <v>12372.699042807501</v>
          </cell>
        </row>
        <row r="276">
          <cell r="B276" t="str">
            <v>BIG RIVER 1101CB</v>
          </cell>
          <cell r="C276">
            <v>43081101</v>
          </cell>
          <cell r="D276" t="str">
            <v>BIG RIVER 1101</v>
          </cell>
          <cell r="E276" t="str">
            <v>CB</v>
          </cell>
          <cell r="F276" t="b">
            <v>1</v>
          </cell>
          <cell r="G276">
            <v>35.381507119560098</v>
          </cell>
          <cell r="H276">
            <v>35.381507119560098</v>
          </cell>
        </row>
        <row r="277">
          <cell r="B277" t="str">
            <v>BIG TREES  04025300</v>
          </cell>
          <cell r="C277">
            <v>83050402</v>
          </cell>
          <cell r="D277" t="str">
            <v>BIG TREES  0402</v>
          </cell>
          <cell r="E277">
            <v>5300</v>
          </cell>
          <cell r="F277" t="b">
            <v>0</v>
          </cell>
          <cell r="G277">
            <v>15760.3239417283</v>
          </cell>
          <cell r="H277">
            <v>15760.3239417283</v>
          </cell>
        </row>
        <row r="278">
          <cell r="B278" t="str">
            <v>BIG TREES  0402737512</v>
          </cell>
          <cell r="C278">
            <v>83050402</v>
          </cell>
          <cell r="D278" t="str">
            <v>BIG TREES  0402</v>
          </cell>
          <cell r="E278">
            <v>737512</v>
          </cell>
          <cell r="F278" t="b">
            <v>0</v>
          </cell>
          <cell r="G278">
            <v>11180.7592509309</v>
          </cell>
          <cell r="H278">
            <v>10917.393277589001</v>
          </cell>
        </row>
        <row r="279">
          <cell r="B279" t="str">
            <v>BOGARD 1101CB</v>
          </cell>
          <cell r="C279">
            <v>103301101</v>
          </cell>
          <cell r="D279" t="str">
            <v>BOGARD 1101</v>
          </cell>
          <cell r="E279" t="str">
            <v>CB</v>
          </cell>
          <cell r="F279" t="b">
            <v>1</v>
          </cell>
          <cell r="G279">
            <v>830.50118554781204</v>
          </cell>
          <cell r="H279">
            <v>830.50118554781204</v>
          </cell>
        </row>
        <row r="280">
          <cell r="B280" t="str">
            <v>BOLINAS 11011064</v>
          </cell>
          <cell r="C280">
            <v>42261101</v>
          </cell>
          <cell r="D280" t="str">
            <v>BOLINAS 1101</v>
          </cell>
          <cell r="E280">
            <v>1064</v>
          </cell>
          <cell r="F280" t="b">
            <v>0</v>
          </cell>
          <cell r="G280">
            <v>7144.3315527908399</v>
          </cell>
          <cell r="H280">
            <v>1005.39003120823</v>
          </cell>
        </row>
        <row r="281">
          <cell r="B281" t="str">
            <v>BOLINAS 11011232</v>
          </cell>
          <cell r="C281">
            <v>42261101</v>
          </cell>
          <cell r="D281" t="str">
            <v>BOLINAS 1101</v>
          </cell>
          <cell r="E281">
            <v>1232</v>
          </cell>
          <cell r="F281" t="b">
            <v>0</v>
          </cell>
          <cell r="G281">
            <v>3935.77244151375</v>
          </cell>
          <cell r="H281">
            <v>3637.3088289874099</v>
          </cell>
        </row>
        <row r="282">
          <cell r="B282" t="str">
            <v>BOLINAS 11011236</v>
          </cell>
          <cell r="C282">
            <v>42261101</v>
          </cell>
          <cell r="D282" t="str">
            <v>BOLINAS 1101</v>
          </cell>
          <cell r="E282">
            <v>1236</v>
          </cell>
          <cell r="F282" t="b">
            <v>0</v>
          </cell>
          <cell r="G282">
            <v>6557.8128617972397</v>
          </cell>
          <cell r="H282">
            <v>5809.1132779005602</v>
          </cell>
        </row>
        <row r="283">
          <cell r="B283" t="str">
            <v>BOLINAS 110137034</v>
          </cell>
          <cell r="C283">
            <v>42261101</v>
          </cell>
          <cell r="D283" t="str">
            <v>BOLINAS 1101</v>
          </cell>
          <cell r="E283">
            <v>37034</v>
          </cell>
          <cell r="F283" t="b">
            <v>0</v>
          </cell>
          <cell r="G283">
            <v>7287.0481453562898</v>
          </cell>
          <cell r="H283">
            <v>7287.0481453562898</v>
          </cell>
        </row>
        <row r="284">
          <cell r="B284" t="str">
            <v>BOLINAS 1101504</v>
          </cell>
          <cell r="C284">
            <v>42261101</v>
          </cell>
          <cell r="D284" t="str">
            <v>BOLINAS 1101</v>
          </cell>
          <cell r="E284">
            <v>504</v>
          </cell>
          <cell r="F284" t="b">
            <v>0</v>
          </cell>
          <cell r="G284">
            <v>10763.125211411199</v>
          </cell>
          <cell r="H284">
            <v>10763.125211411199</v>
          </cell>
        </row>
        <row r="285">
          <cell r="B285" t="str">
            <v>BOLINAS 1101528</v>
          </cell>
          <cell r="C285">
            <v>42261101</v>
          </cell>
          <cell r="D285" t="str">
            <v>BOLINAS 1101</v>
          </cell>
          <cell r="E285">
            <v>528</v>
          </cell>
          <cell r="F285" t="b">
            <v>0</v>
          </cell>
          <cell r="G285">
            <v>4980.1499578889598</v>
          </cell>
          <cell r="H285">
            <v>2865.78483655747</v>
          </cell>
        </row>
        <row r="286">
          <cell r="B286" t="str">
            <v>BOLINAS 1101530</v>
          </cell>
          <cell r="C286">
            <v>42261101</v>
          </cell>
          <cell r="D286" t="str">
            <v>BOLINAS 1101</v>
          </cell>
          <cell r="E286">
            <v>530</v>
          </cell>
          <cell r="F286" t="b">
            <v>0</v>
          </cell>
          <cell r="G286">
            <v>17644.165646213001</v>
          </cell>
          <cell r="H286">
            <v>17644.165646213001</v>
          </cell>
        </row>
        <row r="287">
          <cell r="B287" t="str">
            <v>BOLINAS 1101806</v>
          </cell>
          <cell r="C287">
            <v>42261101</v>
          </cell>
          <cell r="D287" t="str">
            <v>BOLINAS 1101</v>
          </cell>
          <cell r="E287">
            <v>806</v>
          </cell>
          <cell r="F287" t="b">
            <v>0</v>
          </cell>
          <cell r="G287">
            <v>4898.4532963849397</v>
          </cell>
          <cell r="H287">
            <v>4898.4532963849397</v>
          </cell>
        </row>
        <row r="288">
          <cell r="B288" t="str">
            <v>BOLINAS 1101CB</v>
          </cell>
          <cell r="C288">
            <v>42261101</v>
          </cell>
          <cell r="D288" t="str">
            <v>BOLINAS 1101</v>
          </cell>
          <cell r="E288" t="str">
            <v>CB</v>
          </cell>
          <cell r="F288" t="b">
            <v>0</v>
          </cell>
          <cell r="G288">
            <v>3500.02298516274</v>
          </cell>
          <cell r="H288">
            <v>3442.3440920092899</v>
          </cell>
        </row>
        <row r="289">
          <cell r="B289" t="str">
            <v>BONNIE NOOK 110186696</v>
          </cell>
          <cell r="C289">
            <v>152301101</v>
          </cell>
          <cell r="D289" t="str">
            <v>BONNIE NOOK 1101</v>
          </cell>
          <cell r="E289">
            <v>86696</v>
          </cell>
          <cell r="F289" t="b">
            <v>0</v>
          </cell>
          <cell r="G289">
            <v>15512.388617143401</v>
          </cell>
          <cell r="H289">
            <v>15512.388617143401</v>
          </cell>
        </row>
        <row r="290">
          <cell r="B290" t="str">
            <v>BONNIE NOOK 1101CB</v>
          </cell>
          <cell r="C290">
            <v>152301101</v>
          </cell>
          <cell r="D290" t="str">
            <v>BONNIE NOOK 1101</v>
          </cell>
          <cell r="E290" t="str">
            <v>CB</v>
          </cell>
          <cell r="F290" t="b">
            <v>0</v>
          </cell>
          <cell r="G290">
            <v>23251.1044123233</v>
          </cell>
          <cell r="H290">
            <v>23251.1044123233</v>
          </cell>
        </row>
        <row r="291">
          <cell r="B291" t="str">
            <v>BONNIE NOOK 1102CB</v>
          </cell>
          <cell r="C291">
            <v>152301102</v>
          </cell>
          <cell r="D291" t="str">
            <v>BONNIE NOOK 1102</v>
          </cell>
          <cell r="E291" t="str">
            <v>CB</v>
          </cell>
          <cell r="F291" t="b">
            <v>0</v>
          </cell>
          <cell r="G291">
            <v>54723.580461758</v>
          </cell>
          <cell r="H291">
            <v>54723.580461758</v>
          </cell>
        </row>
        <row r="292">
          <cell r="B292" t="str">
            <v>BOSTON 0401CR242</v>
          </cell>
          <cell r="C292">
            <v>13320401</v>
          </cell>
          <cell r="D292" t="str">
            <v>BOSTON 0401</v>
          </cell>
          <cell r="E292" t="str">
            <v>CR242</v>
          </cell>
          <cell r="F292" t="b">
            <v>1</v>
          </cell>
          <cell r="G292">
            <v>7351.3671785337701</v>
          </cell>
          <cell r="H292">
            <v>499.48896822679802</v>
          </cell>
        </row>
        <row r="293">
          <cell r="B293" t="str">
            <v>BRENTWOOD 2105502672</v>
          </cell>
          <cell r="C293">
            <v>14592105</v>
          </cell>
          <cell r="D293" t="str">
            <v>BRENTWOOD 2105</v>
          </cell>
          <cell r="E293">
            <v>502672</v>
          </cell>
          <cell r="F293" t="b">
            <v>0</v>
          </cell>
          <cell r="G293">
            <v>30486.2559509233</v>
          </cell>
          <cell r="H293">
            <v>2285.3290666573698</v>
          </cell>
        </row>
        <row r="294">
          <cell r="B294" t="str">
            <v>BRENTWOOD 21056512</v>
          </cell>
          <cell r="C294">
            <v>14592105</v>
          </cell>
          <cell r="D294" t="str">
            <v>BRENTWOOD 2105</v>
          </cell>
          <cell r="E294">
            <v>6512</v>
          </cell>
          <cell r="F294" t="b">
            <v>0</v>
          </cell>
          <cell r="G294">
            <v>1047.79962319022</v>
          </cell>
          <cell r="H294">
            <v>1047.79962319022</v>
          </cell>
        </row>
        <row r="295">
          <cell r="B295" t="str">
            <v>BRENTWOOD 210596324</v>
          </cell>
          <cell r="C295">
            <v>14592105</v>
          </cell>
          <cell r="D295" t="str">
            <v>BRENTWOOD 2105</v>
          </cell>
          <cell r="E295">
            <v>96324</v>
          </cell>
          <cell r="F295" t="b">
            <v>1</v>
          </cell>
          <cell r="G295">
            <v>775.76844114851599</v>
          </cell>
          <cell r="H295">
            <v>775.76844114851599</v>
          </cell>
        </row>
        <row r="296">
          <cell r="B296" t="str">
            <v>BRENTWOOD 210598606</v>
          </cell>
          <cell r="C296">
            <v>14592105</v>
          </cell>
          <cell r="D296" t="str">
            <v>BRENTWOOD 2105</v>
          </cell>
          <cell r="E296">
            <v>98606</v>
          </cell>
          <cell r="F296" t="b">
            <v>1</v>
          </cell>
          <cell r="G296">
            <v>13179.766687244901</v>
          </cell>
          <cell r="H296">
            <v>138.47819657036899</v>
          </cell>
        </row>
        <row r="297">
          <cell r="B297" t="str">
            <v>BRENTWOOD 2105B504R</v>
          </cell>
          <cell r="C297">
            <v>14592105</v>
          </cell>
          <cell r="D297" t="str">
            <v>BRENTWOOD 2105</v>
          </cell>
          <cell r="E297" t="str">
            <v>B504R</v>
          </cell>
          <cell r="F297" t="b">
            <v>0</v>
          </cell>
          <cell r="G297">
            <v>18129.264734500801</v>
          </cell>
          <cell r="H297">
            <v>14074.6886739615</v>
          </cell>
        </row>
        <row r="298">
          <cell r="B298" t="str">
            <v>BRIDGEVILLE 110137484</v>
          </cell>
          <cell r="C298">
            <v>192461101</v>
          </cell>
          <cell r="D298" t="str">
            <v>BRIDGEVILLE 1101</v>
          </cell>
          <cell r="E298">
            <v>37484</v>
          </cell>
          <cell r="F298" t="b">
            <v>0</v>
          </cell>
          <cell r="G298">
            <v>15938.075587789899</v>
          </cell>
          <cell r="H298">
            <v>12688.695842360699</v>
          </cell>
        </row>
        <row r="299">
          <cell r="B299" t="str">
            <v>BRIDGEVILLE 110169866</v>
          </cell>
          <cell r="C299">
            <v>192461101</v>
          </cell>
          <cell r="D299" t="str">
            <v>BRIDGEVILLE 1101</v>
          </cell>
          <cell r="E299">
            <v>69866</v>
          </cell>
          <cell r="F299" t="b">
            <v>0</v>
          </cell>
          <cell r="G299">
            <v>10571.2355566197</v>
          </cell>
          <cell r="H299">
            <v>10571.2355566197</v>
          </cell>
        </row>
        <row r="300">
          <cell r="B300" t="str">
            <v>BRIDGEVILLE 1101CB</v>
          </cell>
          <cell r="C300">
            <v>192461101</v>
          </cell>
          <cell r="D300" t="str">
            <v>BRIDGEVILLE 1101</v>
          </cell>
          <cell r="E300" t="str">
            <v>CB</v>
          </cell>
          <cell r="F300" t="b">
            <v>0</v>
          </cell>
          <cell r="G300">
            <v>13703.2012357326</v>
          </cell>
          <cell r="H300">
            <v>13703.2012357326</v>
          </cell>
        </row>
        <row r="301">
          <cell r="B301" t="str">
            <v>BRIDGEVILLE 110237486</v>
          </cell>
          <cell r="C301">
            <v>192461102</v>
          </cell>
          <cell r="D301" t="str">
            <v>BRIDGEVILLE 1102</v>
          </cell>
          <cell r="E301">
            <v>37486</v>
          </cell>
          <cell r="F301" t="b">
            <v>0</v>
          </cell>
          <cell r="G301">
            <v>12199.508780791301</v>
          </cell>
          <cell r="H301">
            <v>11162.2657847009</v>
          </cell>
        </row>
        <row r="302">
          <cell r="B302" t="str">
            <v>BRIDGEVILLE 1102384530</v>
          </cell>
          <cell r="C302">
            <v>192461102</v>
          </cell>
          <cell r="D302" t="str">
            <v>BRIDGEVILLE 1102</v>
          </cell>
          <cell r="E302">
            <v>384530</v>
          </cell>
          <cell r="F302" t="b">
            <v>0</v>
          </cell>
          <cell r="G302">
            <v>6144.6716129315</v>
          </cell>
          <cell r="H302">
            <v>6144.6716129315</v>
          </cell>
        </row>
        <row r="303">
          <cell r="B303" t="str">
            <v>BRIDGEVILLE 110255612</v>
          </cell>
          <cell r="C303">
            <v>192461102</v>
          </cell>
          <cell r="D303" t="str">
            <v>BRIDGEVILLE 1102</v>
          </cell>
          <cell r="E303">
            <v>55612</v>
          </cell>
          <cell r="F303" t="b">
            <v>0</v>
          </cell>
          <cell r="G303">
            <v>35781.531384269503</v>
          </cell>
          <cell r="H303">
            <v>35781.531384269503</v>
          </cell>
        </row>
        <row r="304">
          <cell r="B304" t="str">
            <v>BRIDGEVILLE 1102CB</v>
          </cell>
          <cell r="C304">
            <v>192461102</v>
          </cell>
          <cell r="D304" t="str">
            <v>BRIDGEVILLE 1102</v>
          </cell>
          <cell r="E304" t="str">
            <v>CB</v>
          </cell>
          <cell r="F304" t="b">
            <v>0</v>
          </cell>
          <cell r="G304">
            <v>19625.35361826</v>
          </cell>
          <cell r="H304">
            <v>4723.1827147056902</v>
          </cell>
        </row>
        <row r="305">
          <cell r="B305" t="str">
            <v>BROWNS VALLEY 11011268</v>
          </cell>
          <cell r="C305">
            <v>152921101</v>
          </cell>
          <cell r="D305" t="str">
            <v>BROWNS VALLEY 1101</v>
          </cell>
          <cell r="E305">
            <v>1268</v>
          </cell>
          <cell r="F305" t="b">
            <v>0</v>
          </cell>
          <cell r="G305">
            <v>17550.338428113198</v>
          </cell>
          <cell r="H305">
            <v>17538.544680374202</v>
          </cell>
        </row>
        <row r="306">
          <cell r="B306" t="str">
            <v>BROWNS VALLEY 110117011</v>
          </cell>
          <cell r="C306">
            <v>152921101</v>
          </cell>
          <cell r="D306" t="str">
            <v>BROWNS VALLEY 1101</v>
          </cell>
          <cell r="E306">
            <v>17011</v>
          </cell>
          <cell r="F306" t="b">
            <v>0</v>
          </cell>
          <cell r="G306">
            <v>3005.3172043977902</v>
          </cell>
          <cell r="H306">
            <v>3005.3172043977902</v>
          </cell>
        </row>
        <row r="307">
          <cell r="B307" t="str">
            <v>BROWNS VALLEY 110136622</v>
          </cell>
          <cell r="C307">
            <v>152921101</v>
          </cell>
          <cell r="D307" t="str">
            <v>BROWNS VALLEY 1101</v>
          </cell>
          <cell r="E307">
            <v>36622</v>
          </cell>
          <cell r="F307" t="b">
            <v>0</v>
          </cell>
          <cell r="G307">
            <v>15095.817368390301</v>
          </cell>
          <cell r="H307">
            <v>8277.8200119190205</v>
          </cell>
        </row>
        <row r="308">
          <cell r="B308" t="str">
            <v>BROWNS VALLEY 110193870</v>
          </cell>
          <cell r="C308">
            <v>152921101</v>
          </cell>
          <cell r="D308" t="str">
            <v>BROWNS VALLEY 1101</v>
          </cell>
          <cell r="E308">
            <v>93870</v>
          </cell>
          <cell r="F308" t="b">
            <v>0</v>
          </cell>
          <cell r="G308">
            <v>54990.458209420001</v>
          </cell>
          <cell r="H308">
            <v>29826.959728018999</v>
          </cell>
        </row>
        <row r="309">
          <cell r="B309" t="str">
            <v>BROWNS VALLEY 110197188</v>
          </cell>
          <cell r="C309">
            <v>152921101</v>
          </cell>
          <cell r="D309" t="str">
            <v>BROWNS VALLEY 1101</v>
          </cell>
          <cell r="E309">
            <v>97188</v>
          </cell>
          <cell r="F309" t="b">
            <v>0</v>
          </cell>
          <cell r="G309">
            <v>10919.7898734623</v>
          </cell>
          <cell r="H309">
            <v>10919.7898734623</v>
          </cell>
        </row>
        <row r="310">
          <cell r="B310" t="str">
            <v>BROWNS VALLEY 1101CB</v>
          </cell>
          <cell r="C310">
            <v>152921101</v>
          </cell>
          <cell r="D310" t="str">
            <v>BROWNS VALLEY 1101</v>
          </cell>
          <cell r="E310" t="str">
            <v>CB</v>
          </cell>
          <cell r="F310" t="b">
            <v>0</v>
          </cell>
          <cell r="G310">
            <v>4580.4087777343502</v>
          </cell>
          <cell r="H310">
            <v>3639.3630722637799</v>
          </cell>
        </row>
        <row r="311">
          <cell r="B311" t="str">
            <v>BRUNSWICK 11021010</v>
          </cell>
          <cell r="C311">
            <v>152481102</v>
          </cell>
          <cell r="D311" t="str">
            <v>BRUNSWICK 1102</v>
          </cell>
          <cell r="E311">
            <v>1010</v>
          </cell>
          <cell r="F311" t="b">
            <v>0</v>
          </cell>
          <cell r="G311">
            <v>71394.2707333336</v>
          </cell>
          <cell r="H311">
            <v>71394.2707333336</v>
          </cell>
        </row>
        <row r="312">
          <cell r="B312" t="str">
            <v>BRUNSWICK 1102940</v>
          </cell>
          <cell r="C312">
            <v>152481102</v>
          </cell>
          <cell r="D312" t="str">
            <v>BRUNSWICK 1102</v>
          </cell>
          <cell r="E312">
            <v>940</v>
          </cell>
          <cell r="F312" t="b">
            <v>0</v>
          </cell>
          <cell r="G312">
            <v>5636.9671767769796</v>
          </cell>
          <cell r="H312">
            <v>1911.10102216939</v>
          </cell>
        </row>
        <row r="313">
          <cell r="B313" t="str">
            <v>BRUNSWICK 1102CB</v>
          </cell>
          <cell r="C313">
            <v>152481102</v>
          </cell>
          <cell r="D313" t="str">
            <v>BRUNSWICK 1102</v>
          </cell>
          <cell r="E313" t="str">
            <v>CB</v>
          </cell>
          <cell r="F313" t="b">
            <v>0</v>
          </cell>
          <cell r="G313">
            <v>10098.7974434648</v>
          </cell>
          <cell r="H313">
            <v>10098.7974434648</v>
          </cell>
        </row>
        <row r="314">
          <cell r="B314" t="str">
            <v>BRUNSWICK 1103173934</v>
          </cell>
          <cell r="C314">
            <v>152481103</v>
          </cell>
          <cell r="D314" t="str">
            <v>BRUNSWICK 1103</v>
          </cell>
          <cell r="E314">
            <v>173934</v>
          </cell>
          <cell r="F314" t="b">
            <v>0</v>
          </cell>
          <cell r="G314">
            <v>17611.715335083099</v>
          </cell>
          <cell r="H314">
            <v>17611.715335083099</v>
          </cell>
        </row>
        <row r="315">
          <cell r="B315" t="str">
            <v>BRUNSWICK 11032200</v>
          </cell>
          <cell r="C315">
            <v>152481103</v>
          </cell>
          <cell r="D315" t="str">
            <v>BRUNSWICK 1103</v>
          </cell>
          <cell r="E315">
            <v>2200</v>
          </cell>
          <cell r="F315" t="b">
            <v>0</v>
          </cell>
          <cell r="G315">
            <v>8965.9105577369501</v>
          </cell>
          <cell r="H315">
            <v>8965.9105577369501</v>
          </cell>
        </row>
        <row r="316">
          <cell r="B316" t="str">
            <v>BRUNSWICK 1103234378</v>
          </cell>
          <cell r="C316">
            <v>152481103</v>
          </cell>
          <cell r="D316" t="str">
            <v>BRUNSWICK 1103</v>
          </cell>
          <cell r="E316">
            <v>234378</v>
          </cell>
          <cell r="F316" t="b">
            <v>0</v>
          </cell>
          <cell r="G316">
            <v>1230.3375261574499</v>
          </cell>
          <cell r="H316">
            <v>1030.7217086435501</v>
          </cell>
        </row>
        <row r="317">
          <cell r="B317" t="str">
            <v>BRUNSWICK 1103262343</v>
          </cell>
          <cell r="C317">
            <v>152481103</v>
          </cell>
          <cell r="D317" t="str">
            <v>BRUNSWICK 1103</v>
          </cell>
          <cell r="E317">
            <v>262343</v>
          </cell>
          <cell r="F317" t="b">
            <v>0</v>
          </cell>
          <cell r="G317">
            <v>1232.8709085740099</v>
          </cell>
          <cell r="H317">
            <v>1232.8709085740099</v>
          </cell>
        </row>
        <row r="318">
          <cell r="B318" t="str">
            <v>BRUNSWICK 11032784</v>
          </cell>
          <cell r="C318">
            <v>152481103</v>
          </cell>
          <cell r="D318" t="str">
            <v>BRUNSWICK 1103</v>
          </cell>
          <cell r="E318">
            <v>2784</v>
          </cell>
          <cell r="F318" t="b">
            <v>0</v>
          </cell>
          <cell r="G318">
            <v>24673.550267195998</v>
          </cell>
          <cell r="H318">
            <v>23592.237913381701</v>
          </cell>
        </row>
        <row r="319">
          <cell r="B319" t="str">
            <v>BRUNSWICK 110350070</v>
          </cell>
          <cell r="C319">
            <v>152481103</v>
          </cell>
          <cell r="D319" t="str">
            <v>BRUNSWICK 1103</v>
          </cell>
          <cell r="E319">
            <v>50070</v>
          </cell>
          <cell r="F319" t="b">
            <v>0</v>
          </cell>
          <cell r="G319">
            <v>28555.341244700601</v>
          </cell>
          <cell r="H319">
            <v>28555.341244700601</v>
          </cell>
        </row>
        <row r="320">
          <cell r="B320" t="str">
            <v>BRUNSWICK 110378862</v>
          </cell>
          <cell r="C320">
            <v>152481103</v>
          </cell>
          <cell r="D320" t="str">
            <v>BRUNSWICK 1103</v>
          </cell>
          <cell r="E320">
            <v>78862</v>
          </cell>
          <cell r="F320" t="b">
            <v>1</v>
          </cell>
          <cell r="G320">
            <v>1804.46345103372</v>
          </cell>
          <cell r="H320">
            <v>123.60876282049</v>
          </cell>
        </row>
        <row r="321">
          <cell r="B321" t="str">
            <v>BRUNSWICK 1103851116</v>
          </cell>
          <cell r="C321">
            <v>152481103</v>
          </cell>
          <cell r="D321" t="str">
            <v>BRUNSWICK 1103</v>
          </cell>
          <cell r="E321">
            <v>851116</v>
          </cell>
          <cell r="F321" t="b">
            <v>1</v>
          </cell>
          <cell r="G321">
            <v>405.84419385118002</v>
          </cell>
          <cell r="H321">
            <v>316.00084469173902</v>
          </cell>
        </row>
        <row r="322">
          <cell r="B322" t="str">
            <v>BRUNSWICK 11038918</v>
          </cell>
          <cell r="C322">
            <v>152481103</v>
          </cell>
          <cell r="D322" t="str">
            <v>BRUNSWICK 1103</v>
          </cell>
          <cell r="E322">
            <v>8918</v>
          </cell>
          <cell r="F322" t="b">
            <v>0</v>
          </cell>
          <cell r="G322">
            <v>3457.8850267589601</v>
          </cell>
          <cell r="H322">
            <v>2431.0442232421301</v>
          </cell>
        </row>
        <row r="323">
          <cell r="B323" t="str">
            <v>BRUNSWICK 1103904574</v>
          </cell>
          <cell r="C323">
            <v>152481103</v>
          </cell>
          <cell r="D323" t="str">
            <v>BRUNSWICK 1103</v>
          </cell>
          <cell r="E323">
            <v>904574</v>
          </cell>
          <cell r="F323" t="b">
            <v>0</v>
          </cell>
          <cell r="G323">
            <v>2518.7659002786299</v>
          </cell>
          <cell r="H323">
            <v>2518.7659002786299</v>
          </cell>
        </row>
        <row r="324">
          <cell r="B324" t="str">
            <v>BRUNSWICK 1103956424</v>
          </cell>
          <cell r="C324">
            <v>152481103</v>
          </cell>
          <cell r="D324" t="str">
            <v>BRUNSWICK 1103</v>
          </cell>
          <cell r="E324">
            <v>956424</v>
          </cell>
          <cell r="F324" t="b">
            <v>0</v>
          </cell>
          <cell r="G324">
            <v>2618.25828047613</v>
          </cell>
          <cell r="H324">
            <v>1661.8271743677999</v>
          </cell>
        </row>
        <row r="325">
          <cell r="B325" t="str">
            <v>BRUNSWICK 1103CB</v>
          </cell>
          <cell r="C325">
            <v>152481103</v>
          </cell>
          <cell r="D325" t="str">
            <v>BRUNSWICK 1103</v>
          </cell>
          <cell r="E325" t="str">
            <v>CB</v>
          </cell>
          <cell r="F325" t="b">
            <v>0</v>
          </cell>
          <cell r="G325">
            <v>8801.7452161412002</v>
          </cell>
          <cell r="H325">
            <v>2701.0977603371598</v>
          </cell>
        </row>
        <row r="326">
          <cell r="B326" t="str">
            <v>BRUNSWICK 11041020</v>
          </cell>
          <cell r="C326">
            <v>152481104</v>
          </cell>
          <cell r="D326" t="str">
            <v>BRUNSWICK 1104</v>
          </cell>
          <cell r="E326">
            <v>1020</v>
          </cell>
          <cell r="F326" t="b">
            <v>0</v>
          </cell>
          <cell r="G326">
            <v>46299.321043612697</v>
          </cell>
          <cell r="H326">
            <v>46299.321043612697</v>
          </cell>
        </row>
        <row r="327">
          <cell r="B327" t="str">
            <v>BRUNSWICK 11042112</v>
          </cell>
          <cell r="C327">
            <v>152481104</v>
          </cell>
          <cell r="D327" t="str">
            <v>BRUNSWICK 1104</v>
          </cell>
          <cell r="E327">
            <v>2112</v>
          </cell>
          <cell r="F327" t="b">
            <v>0</v>
          </cell>
          <cell r="G327">
            <v>31201.901643884601</v>
          </cell>
          <cell r="H327">
            <v>31201.901643884601</v>
          </cell>
        </row>
        <row r="328">
          <cell r="B328" t="str">
            <v>BRUNSWICK 1104244027</v>
          </cell>
          <cell r="C328">
            <v>152481104</v>
          </cell>
          <cell r="D328" t="str">
            <v>BRUNSWICK 1104</v>
          </cell>
          <cell r="E328">
            <v>244027</v>
          </cell>
          <cell r="F328" t="b">
            <v>1</v>
          </cell>
          <cell r="G328">
            <v>620.973846089522</v>
          </cell>
          <cell r="H328">
            <v>492.750223151819</v>
          </cell>
        </row>
        <row r="329">
          <cell r="B329" t="str">
            <v>BRUNSWICK 1104285704</v>
          </cell>
          <cell r="C329">
            <v>152481104</v>
          </cell>
          <cell r="D329" t="str">
            <v>BRUNSWICK 1104</v>
          </cell>
          <cell r="E329">
            <v>285704</v>
          </cell>
          <cell r="F329" t="b">
            <v>0</v>
          </cell>
          <cell r="G329">
            <v>1923.7716920988601</v>
          </cell>
          <cell r="H329">
            <v>1685.8276180324301</v>
          </cell>
        </row>
        <row r="330">
          <cell r="B330" t="str">
            <v>BRUNSWICK 1104327226</v>
          </cell>
          <cell r="C330">
            <v>152481104</v>
          </cell>
          <cell r="D330" t="str">
            <v>BRUNSWICK 1104</v>
          </cell>
          <cell r="E330">
            <v>327226</v>
          </cell>
          <cell r="F330" t="b">
            <v>1</v>
          </cell>
          <cell r="G330">
            <v>144.386116155651</v>
          </cell>
          <cell r="H330">
            <v>79.583343739780005</v>
          </cell>
        </row>
        <row r="331">
          <cell r="B331" t="str">
            <v>BRUNSWICK 110456468</v>
          </cell>
          <cell r="C331">
            <v>152481104</v>
          </cell>
          <cell r="D331" t="str">
            <v>BRUNSWICK 1104</v>
          </cell>
          <cell r="E331">
            <v>56468</v>
          </cell>
          <cell r="F331" t="b">
            <v>0</v>
          </cell>
          <cell r="G331">
            <v>9625.3333966369901</v>
          </cell>
          <cell r="H331">
            <v>8910.5893450433105</v>
          </cell>
        </row>
        <row r="332">
          <cell r="B332" t="str">
            <v>BRUNSWICK 11047181</v>
          </cell>
          <cell r="C332">
            <v>152481104</v>
          </cell>
          <cell r="D332" t="str">
            <v>BRUNSWICK 1104</v>
          </cell>
          <cell r="E332">
            <v>7181</v>
          </cell>
          <cell r="F332" t="b">
            <v>0</v>
          </cell>
          <cell r="G332">
            <v>1244.14430332966</v>
          </cell>
          <cell r="H332">
            <v>1244.14430332966</v>
          </cell>
        </row>
        <row r="333">
          <cell r="B333" t="str">
            <v>BRUNSWICK 1104761310</v>
          </cell>
          <cell r="C333">
            <v>152481104</v>
          </cell>
          <cell r="D333" t="str">
            <v>BRUNSWICK 1104</v>
          </cell>
          <cell r="E333">
            <v>761310</v>
          </cell>
          <cell r="F333" t="b">
            <v>1</v>
          </cell>
          <cell r="G333">
            <v>43.105262736765397</v>
          </cell>
          <cell r="H333">
            <v>43.105262736765397</v>
          </cell>
        </row>
        <row r="334">
          <cell r="B334" t="str">
            <v>BRUNSWICK 1104CB</v>
          </cell>
          <cell r="C334">
            <v>152481104</v>
          </cell>
          <cell r="D334" t="str">
            <v>BRUNSWICK 1104</v>
          </cell>
          <cell r="E334" t="str">
            <v>CB</v>
          </cell>
          <cell r="F334" t="b">
            <v>1</v>
          </cell>
          <cell r="G334">
            <v>2139.8632912615999</v>
          </cell>
          <cell r="H334">
            <v>621.73868892079599</v>
          </cell>
        </row>
        <row r="335">
          <cell r="B335" t="str">
            <v>BRUNSWICK 11051030</v>
          </cell>
          <cell r="C335">
            <v>152481105</v>
          </cell>
          <cell r="D335" t="str">
            <v>BRUNSWICK 1105</v>
          </cell>
          <cell r="E335">
            <v>1030</v>
          </cell>
          <cell r="F335" t="b">
            <v>0</v>
          </cell>
          <cell r="G335">
            <v>25567.0003407398</v>
          </cell>
          <cell r="H335">
            <v>25567.0003407398</v>
          </cell>
        </row>
        <row r="336">
          <cell r="B336" t="str">
            <v>BRUNSWICK 11052100</v>
          </cell>
          <cell r="C336">
            <v>152481105</v>
          </cell>
          <cell r="D336" t="str">
            <v>BRUNSWICK 1105</v>
          </cell>
          <cell r="E336">
            <v>2100</v>
          </cell>
          <cell r="F336" t="b">
            <v>0</v>
          </cell>
          <cell r="G336">
            <v>6391.6671975847303</v>
          </cell>
          <cell r="H336">
            <v>6391.6671975847303</v>
          </cell>
        </row>
        <row r="337">
          <cell r="B337" t="str">
            <v>BRUNSWICK 11052130</v>
          </cell>
          <cell r="C337">
            <v>152481105</v>
          </cell>
          <cell r="D337" t="str">
            <v>BRUNSWICK 1105</v>
          </cell>
          <cell r="E337">
            <v>2130</v>
          </cell>
          <cell r="F337" t="b">
            <v>0</v>
          </cell>
          <cell r="G337">
            <v>23180.763881430899</v>
          </cell>
          <cell r="H337">
            <v>23180.763881430899</v>
          </cell>
        </row>
        <row r="338">
          <cell r="B338" t="str">
            <v>BRUNSWICK 11052140</v>
          </cell>
          <cell r="C338">
            <v>152481105</v>
          </cell>
          <cell r="D338" t="str">
            <v>BRUNSWICK 1105</v>
          </cell>
          <cell r="E338">
            <v>2140</v>
          </cell>
          <cell r="F338" t="b">
            <v>0</v>
          </cell>
          <cell r="G338">
            <v>55629.269340471299</v>
          </cell>
          <cell r="H338">
            <v>55629.269340471299</v>
          </cell>
        </row>
        <row r="339">
          <cell r="B339" t="str">
            <v>BRUNSWICK 11052204</v>
          </cell>
          <cell r="C339">
            <v>152481105</v>
          </cell>
          <cell r="D339" t="str">
            <v>BRUNSWICK 1105</v>
          </cell>
          <cell r="E339">
            <v>2204</v>
          </cell>
          <cell r="F339" t="b">
            <v>0</v>
          </cell>
          <cell r="G339">
            <v>11625.6323982786</v>
          </cell>
          <cell r="H339">
            <v>11625.6323982786</v>
          </cell>
        </row>
        <row r="340">
          <cell r="B340" t="str">
            <v>BRUNSWICK 11052210</v>
          </cell>
          <cell r="C340">
            <v>152481105</v>
          </cell>
          <cell r="D340" t="str">
            <v>BRUNSWICK 1105</v>
          </cell>
          <cell r="E340">
            <v>2210</v>
          </cell>
          <cell r="F340" t="b">
            <v>0</v>
          </cell>
          <cell r="G340">
            <v>36938.534603041</v>
          </cell>
          <cell r="H340">
            <v>36938.534603041</v>
          </cell>
        </row>
        <row r="341">
          <cell r="B341" t="str">
            <v>BRUNSWICK 1105297538</v>
          </cell>
          <cell r="C341">
            <v>152481105</v>
          </cell>
          <cell r="D341" t="str">
            <v>BRUNSWICK 1105</v>
          </cell>
          <cell r="E341">
            <v>297538</v>
          </cell>
          <cell r="F341" t="b">
            <v>0</v>
          </cell>
          <cell r="G341">
            <v>1703.5586808323301</v>
          </cell>
          <cell r="H341">
            <v>1703.5586808323301</v>
          </cell>
        </row>
        <row r="342">
          <cell r="B342" t="str">
            <v>BRUNSWICK 110532536</v>
          </cell>
          <cell r="C342">
            <v>152481105</v>
          </cell>
          <cell r="D342" t="str">
            <v>BRUNSWICK 1105</v>
          </cell>
          <cell r="E342">
            <v>32536</v>
          </cell>
          <cell r="F342" t="b">
            <v>0</v>
          </cell>
          <cell r="G342">
            <v>17537.320434347101</v>
          </cell>
          <cell r="H342">
            <v>17537.320434347101</v>
          </cell>
        </row>
        <row r="343">
          <cell r="B343" t="str">
            <v>BRUNSWICK 11053611</v>
          </cell>
          <cell r="C343">
            <v>152481105</v>
          </cell>
          <cell r="D343" t="str">
            <v>BRUNSWICK 1105</v>
          </cell>
          <cell r="E343">
            <v>3611</v>
          </cell>
          <cell r="F343" t="b">
            <v>0</v>
          </cell>
          <cell r="G343">
            <v>2597.3823021273201</v>
          </cell>
          <cell r="H343">
            <v>2597.3823021273201</v>
          </cell>
        </row>
        <row r="344">
          <cell r="B344" t="str">
            <v>BRUNSWICK 1105733408</v>
          </cell>
          <cell r="C344">
            <v>152481105</v>
          </cell>
          <cell r="D344" t="str">
            <v>BRUNSWICK 1105</v>
          </cell>
          <cell r="E344">
            <v>733408</v>
          </cell>
          <cell r="F344" t="b">
            <v>0</v>
          </cell>
          <cell r="G344">
            <v>5546.1562657349996</v>
          </cell>
          <cell r="H344">
            <v>5546.1562657349996</v>
          </cell>
        </row>
        <row r="345">
          <cell r="B345" t="str">
            <v>BRUNSWICK 110584480</v>
          </cell>
          <cell r="C345">
            <v>152481105</v>
          </cell>
          <cell r="D345" t="str">
            <v>BRUNSWICK 1105</v>
          </cell>
          <cell r="E345">
            <v>84480</v>
          </cell>
          <cell r="F345" t="b">
            <v>0</v>
          </cell>
          <cell r="G345">
            <v>7615.7819402095502</v>
          </cell>
          <cell r="H345">
            <v>7615.7819402095502</v>
          </cell>
        </row>
        <row r="346">
          <cell r="B346" t="str">
            <v>BRUNSWICK 1105CB</v>
          </cell>
          <cell r="C346">
            <v>152481105</v>
          </cell>
          <cell r="D346" t="str">
            <v>BRUNSWICK 1105</v>
          </cell>
          <cell r="E346" t="str">
            <v>CB</v>
          </cell>
          <cell r="F346" t="b">
            <v>0</v>
          </cell>
          <cell r="G346">
            <v>2138.4100736036698</v>
          </cell>
          <cell r="H346">
            <v>1870.88261007766</v>
          </cell>
        </row>
        <row r="347">
          <cell r="B347" t="str">
            <v>BRUNSWICK 11062104</v>
          </cell>
          <cell r="C347">
            <v>152481106</v>
          </cell>
          <cell r="D347" t="str">
            <v>BRUNSWICK 1106</v>
          </cell>
          <cell r="E347">
            <v>2104</v>
          </cell>
          <cell r="F347" t="b">
            <v>0</v>
          </cell>
          <cell r="G347">
            <v>15810.275276165699</v>
          </cell>
          <cell r="H347">
            <v>15810.275276165699</v>
          </cell>
        </row>
        <row r="348">
          <cell r="B348" t="str">
            <v>BRUNSWICK 11062392</v>
          </cell>
          <cell r="C348">
            <v>152481106</v>
          </cell>
          <cell r="D348" t="str">
            <v>BRUNSWICK 1106</v>
          </cell>
          <cell r="E348">
            <v>2392</v>
          </cell>
          <cell r="F348" t="b">
            <v>0</v>
          </cell>
          <cell r="G348">
            <v>14284.080953279599</v>
          </cell>
          <cell r="H348">
            <v>9811.70739828757</v>
          </cell>
        </row>
        <row r="349">
          <cell r="B349" t="str">
            <v>BRUNSWICK 11062416</v>
          </cell>
          <cell r="C349">
            <v>152481106</v>
          </cell>
          <cell r="D349" t="str">
            <v>BRUNSWICK 1106</v>
          </cell>
          <cell r="E349">
            <v>2416</v>
          </cell>
          <cell r="F349" t="b">
            <v>0</v>
          </cell>
          <cell r="G349">
            <v>50020.107411938698</v>
          </cell>
          <cell r="H349">
            <v>46563.032789263198</v>
          </cell>
        </row>
        <row r="350">
          <cell r="B350" t="str">
            <v>BRUNSWICK 11062790</v>
          </cell>
          <cell r="C350">
            <v>152481106</v>
          </cell>
          <cell r="D350" t="str">
            <v>BRUNSWICK 1106</v>
          </cell>
          <cell r="E350">
            <v>2790</v>
          </cell>
          <cell r="F350" t="b">
            <v>0</v>
          </cell>
          <cell r="G350">
            <v>17696.041974909102</v>
          </cell>
          <cell r="H350">
            <v>16028.2028296156</v>
          </cell>
        </row>
        <row r="351">
          <cell r="B351" t="str">
            <v>BRUNSWICK 11062796</v>
          </cell>
          <cell r="C351">
            <v>152481106</v>
          </cell>
          <cell r="D351" t="str">
            <v>BRUNSWICK 1106</v>
          </cell>
          <cell r="E351">
            <v>2796</v>
          </cell>
          <cell r="F351" t="b">
            <v>0</v>
          </cell>
          <cell r="G351">
            <v>31981.584631482201</v>
          </cell>
          <cell r="H351">
            <v>31981.584631482201</v>
          </cell>
        </row>
        <row r="352">
          <cell r="B352" t="str">
            <v>BRUNSWICK 110633050</v>
          </cell>
          <cell r="C352">
            <v>152481106</v>
          </cell>
          <cell r="D352" t="str">
            <v>BRUNSWICK 1106</v>
          </cell>
          <cell r="E352">
            <v>33050</v>
          </cell>
          <cell r="F352" t="b">
            <v>0</v>
          </cell>
          <cell r="G352">
            <v>6143.4431819801903</v>
          </cell>
          <cell r="H352">
            <v>1793.1664287471799</v>
          </cell>
        </row>
        <row r="353">
          <cell r="B353" t="str">
            <v>BRUNSWICK 11064639</v>
          </cell>
          <cell r="C353">
            <v>152481106</v>
          </cell>
          <cell r="D353" t="str">
            <v>BRUNSWICK 1106</v>
          </cell>
          <cell r="E353">
            <v>4639</v>
          </cell>
          <cell r="F353" t="b">
            <v>0</v>
          </cell>
          <cell r="G353">
            <v>5228.1954916165296</v>
          </cell>
          <cell r="H353">
            <v>5228.1954916165296</v>
          </cell>
        </row>
        <row r="354">
          <cell r="B354" t="str">
            <v>BRUNSWICK 110651484</v>
          </cell>
          <cell r="C354">
            <v>152481106</v>
          </cell>
          <cell r="D354" t="str">
            <v>BRUNSWICK 1106</v>
          </cell>
          <cell r="E354">
            <v>51484</v>
          </cell>
          <cell r="F354" t="b">
            <v>0</v>
          </cell>
          <cell r="G354">
            <v>26385.539346272701</v>
          </cell>
          <cell r="H354">
            <v>24741.7274776798</v>
          </cell>
        </row>
        <row r="355">
          <cell r="B355" t="str">
            <v>BRUNSWICK 110651486</v>
          </cell>
          <cell r="C355">
            <v>152481106</v>
          </cell>
          <cell r="D355" t="str">
            <v>BRUNSWICK 1106</v>
          </cell>
          <cell r="E355">
            <v>51486</v>
          </cell>
          <cell r="F355" t="b">
            <v>0</v>
          </cell>
          <cell r="G355">
            <v>91205.754856550993</v>
          </cell>
          <cell r="H355">
            <v>91205.754856550993</v>
          </cell>
        </row>
        <row r="356">
          <cell r="B356" t="str">
            <v>BRUNSWICK 110663124</v>
          </cell>
          <cell r="C356">
            <v>152481106</v>
          </cell>
          <cell r="D356" t="str">
            <v>BRUNSWICK 1106</v>
          </cell>
          <cell r="E356">
            <v>63124</v>
          </cell>
          <cell r="F356" t="b">
            <v>0</v>
          </cell>
          <cell r="G356">
            <v>9481.8426619711099</v>
          </cell>
          <cell r="H356">
            <v>9481.8426619711099</v>
          </cell>
        </row>
        <row r="357">
          <cell r="B357" t="str">
            <v>BRUNSWICK 11067099</v>
          </cell>
          <cell r="C357">
            <v>152481106</v>
          </cell>
          <cell r="D357" t="str">
            <v>BRUNSWICK 1106</v>
          </cell>
          <cell r="E357">
            <v>7099</v>
          </cell>
          <cell r="F357" t="b">
            <v>0</v>
          </cell>
          <cell r="G357">
            <v>12439.4387175109</v>
          </cell>
          <cell r="H357">
            <v>12439.4387175109</v>
          </cell>
        </row>
        <row r="358">
          <cell r="B358" t="str">
            <v>BRUNSWICK 1106CB</v>
          </cell>
          <cell r="C358">
            <v>152481106</v>
          </cell>
          <cell r="D358" t="str">
            <v>BRUNSWICK 1106</v>
          </cell>
          <cell r="E358" t="str">
            <v>CB</v>
          </cell>
          <cell r="F358" t="b">
            <v>0</v>
          </cell>
          <cell r="G358">
            <v>14175.8366946765</v>
          </cell>
          <cell r="H358">
            <v>14066.708406735201</v>
          </cell>
        </row>
        <row r="359">
          <cell r="B359" t="str">
            <v>BRUNSWICK 1107357568</v>
          </cell>
          <cell r="C359">
            <v>152481107</v>
          </cell>
          <cell r="D359" t="str">
            <v>BRUNSWICK 1107</v>
          </cell>
          <cell r="E359">
            <v>357568</v>
          </cell>
          <cell r="F359" t="b">
            <v>0</v>
          </cell>
          <cell r="G359">
            <v>3842.9954114248899</v>
          </cell>
          <cell r="H359">
            <v>1927.7671347953899</v>
          </cell>
        </row>
        <row r="360">
          <cell r="B360" t="str">
            <v>BRUNSWICK 110750008</v>
          </cell>
          <cell r="C360">
            <v>152481107</v>
          </cell>
          <cell r="D360" t="str">
            <v>BRUNSWICK 1107</v>
          </cell>
          <cell r="E360">
            <v>50008</v>
          </cell>
          <cell r="F360" t="b">
            <v>0</v>
          </cell>
          <cell r="G360">
            <v>7897.7177843703003</v>
          </cell>
          <cell r="H360">
            <v>1828.85078242343</v>
          </cell>
        </row>
        <row r="361">
          <cell r="B361" t="str">
            <v>BRUNSWICK 110750010</v>
          </cell>
          <cell r="C361">
            <v>152481107</v>
          </cell>
          <cell r="D361" t="str">
            <v>BRUNSWICK 1107</v>
          </cell>
          <cell r="E361">
            <v>50010</v>
          </cell>
          <cell r="F361" t="b">
            <v>0</v>
          </cell>
          <cell r="G361">
            <v>15036.104833027201</v>
          </cell>
          <cell r="H361">
            <v>9841.1125586253293</v>
          </cell>
        </row>
        <row r="362">
          <cell r="B362" t="str">
            <v>BRUNSWICK 110765574</v>
          </cell>
          <cell r="C362">
            <v>152481107</v>
          </cell>
          <cell r="D362" t="str">
            <v>BRUNSWICK 1107</v>
          </cell>
          <cell r="E362">
            <v>65574</v>
          </cell>
          <cell r="F362" t="b">
            <v>1</v>
          </cell>
          <cell r="G362">
            <v>2814.0897243282302</v>
          </cell>
          <cell r="H362">
            <v>939.52679536915002</v>
          </cell>
        </row>
        <row r="363">
          <cell r="B363" t="str">
            <v>BRUNSWICK 1107969778</v>
          </cell>
          <cell r="C363">
            <v>152481107</v>
          </cell>
          <cell r="D363" t="str">
            <v>BRUNSWICK 1107</v>
          </cell>
          <cell r="E363">
            <v>969778</v>
          </cell>
          <cell r="F363" t="b">
            <v>0</v>
          </cell>
          <cell r="G363">
            <v>1070.97860316468</v>
          </cell>
          <cell r="H363">
            <v>1070.97860316468</v>
          </cell>
        </row>
        <row r="364">
          <cell r="B364" t="str">
            <v>BRUNSWICK 11102664</v>
          </cell>
          <cell r="C364">
            <v>152481110</v>
          </cell>
          <cell r="D364" t="str">
            <v>BRUNSWICK 1110</v>
          </cell>
          <cell r="E364">
            <v>2664</v>
          </cell>
          <cell r="F364" t="b">
            <v>0</v>
          </cell>
          <cell r="G364">
            <v>17552.767365555701</v>
          </cell>
          <cell r="H364">
            <v>12910.890212755299</v>
          </cell>
        </row>
        <row r="365">
          <cell r="B365" t="str">
            <v>BRUNSWICK 11103907</v>
          </cell>
          <cell r="C365">
            <v>152481110</v>
          </cell>
          <cell r="D365" t="str">
            <v>BRUNSWICK 1110</v>
          </cell>
          <cell r="E365">
            <v>3907</v>
          </cell>
          <cell r="F365" t="b">
            <v>0</v>
          </cell>
          <cell r="G365">
            <v>1437.9091016085399</v>
          </cell>
          <cell r="H365">
            <v>1437.9091016085399</v>
          </cell>
        </row>
        <row r="366">
          <cell r="B366" t="str">
            <v>BRUNSWICK 111061602</v>
          </cell>
          <cell r="C366">
            <v>152481110</v>
          </cell>
          <cell r="D366" t="str">
            <v>BRUNSWICK 1110</v>
          </cell>
          <cell r="E366">
            <v>61602</v>
          </cell>
          <cell r="F366" t="b">
            <v>0</v>
          </cell>
          <cell r="G366">
            <v>17974.447003036101</v>
          </cell>
          <cell r="H366">
            <v>15796.3436292729</v>
          </cell>
        </row>
        <row r="367">
          <cell r="B367" t="str">
            <v>BRUNSWICK 111063100</v>
          </cell>
          <cell r="C367">
            <v>152481110</v>
          </cell>
          <cell r="D367" t="str">
            <v>BRUNSWICK 1110</v>
          </cell>
          <cell r="E367">
            <v>63100</v>
          </cell>
          <cell r="F367" t="b">
            <v>0</v>
          </cell>
          <cell r="G367">
            <v>6591.88857967678</v>
          </cell>
          <cell r="H367">
            <v>6591.88857967678</v>
          </cell>
        </row>
        <row r="368">
          <cell r="B368" t="str">
            <v>BRUNSWICK 111094368</v>
          </cell>
          <cell r="C368">
            <v>152481110</v>
          </cell>
          <cell r="D368" t="str">
            <v>BRUNSWICK 1110</v>
          </cell>
          <cell r="E368">
            <v>94368</v>
          </cell>
          <cell r="F368" t="b">
            <v>1</v>
          </cell>
          <cell r="G368">
            <v>768.93027621873705</v>
          </cell>
          <cell r="H368">
            <v>596.382088524192</v>
          </cell>
        </row>
        <row r="369">
          <cell r="B369" t="str">
            <v>BRUNSWICK 111095576</v>
          </cell>
          <cell r="C369">
            <v>152481110</v>
          </cell>
          <cell r="D369" t="str">
            <v>BRUNSWICK 1110</v>
          </cell>
          <cell r="E369">
            <v>95576</v>
          </cell>
          <cell r="F369" t="b">
            <v>1</v>
          </cell>
          <cell r="G369">
            <v>3539.5091631632899</v>
          </cell>
          <cell r="H369">
            <v>0</v>
          </cell>
        </row>
        <row r="370">
          <cell r="B370" t="str">
            <v>BRUNSWICK 1110CB</v>
          </cell>
          <cell r="C370">
            <v>152481110</v>
          </cell>
          <cell r="D370" t="str">
            <v>BRUNSWICK 1110</v>
          </cell>
          <cell r="E370" t="str">
            <v>CB</v>
          </cell>
          <cell r="F370" t="b">
            <v>1</v>
          </cell>
          <cell r="G370">
            <v>2754.80332214701</v>
          </cell>
          <cell r="H370">
            <v>5.4991554037936003</v>
          </cell>
        </row>
        <row r="371">
          <cell r="B371" t="str">
            <v>BRYANT 0402CB</v>
          </cell>
          <cell r="C371">
            <v>13090402</v>
          </cell>
          <cell r="D371" t="str">
            <v>BRYANT 0402</v>
          </cell>
          <cell r="E371" t="str">
            <v>CB</v>
          </cell>
          <cell r="F371" t="b">
            <v>0</v>
          </cell>
          <cell r="G371">
            <v>12456.829174205101</v>
          </cell>
          <cell r="H371">
            <v>3768.0520367072299</v>
          </cell>
        </row>
        <row r="372">
          <cell r="B372" t="str">
            <v>BUCKS CREEK 1101CB</v>
          </cell>
          <cell r="C372">
            <v>102211101</v>
          </cell>
          <cell r="D372" t="str">
            <v>BUCKS CREEK 1101</v>
          </cell>
          <cell r="E372" t="str">
            <v>CB</v>
          </cell>
          <cell r="F372" t="b">
            <v>0</v>
          </cell>
          <cell r="G372">
            <v>7724.4676115376296</v>
          </cell>
          <cell r="H372">
            <v>7724.4676115376296</v>
          </cell>
        </row>
        <row r="373">
          <cell r="B373" t="str">
            <v>BUCKS CREEK 1102CB</v>
          </cell>
          <cell r="C373">
            <v>102211102</v>
          </cell>
          <cell r="D373" t="str">
            <v>BUCKS CREEK 1102</v>
          </cell>
          <cell r="E373" t="str">
            <v>CB</v>
          </cell>
          <cell r="F373" t="b">
            <v>0</v>
          </cell>
          <cell r="G373">
            <v>47599.349502236597</v>
          </cell>
          <cell r="H373">
            <v>47599.349502236597</v>
          </cell>
        </row>
        <row r="374">
          <cell r="B374" t="str">
            <v>BUCKS CREEK 11031131</v>
          </cell>
          <cell r="C374">
            <v>102211103</v>
          </cell>
          <cell r="D374" t="str">
            <v>BUCKS CREEK 1103</v>
          </cell>
          <cell r="E374">
            <v>1131</v>
          </cell>
          <cell r="F374" t="b">
            <v>0</v>
          </cell>
          <cell r="G374">
            <v>4424.1223621628196</v>
          </cell>
          <cell r="H374">
            <v>4424.1223621628196</v>
          </cell>
        </row>
        <row r="375">
          <cell r="B375" t="str">
            <v>BUCKS CREEK 1103338520</v>
          </cell>
          <cell r="C375">
            <v>102211103</v>
          </cell>
          <cell r="D375" t="str">
            <v>BUCKS CREEK 1103</v>
          </cell>
          <cell r="E375">
            <v>338520</v>
          </cell>
          <cell r="F375" t="b">
            <v>0</v>
          </cell>
          <cell r="G375">
            <v>12890.8329059482</v>
          </cell>
          <cell r="H375">
            <v>12653.363107884799</v>
          </cell>
        </row>
        <row r="376">
          <cell r="B376" t="str">
            <v>BUCKS CREEK 1103CB</v>
          </cell>
          <cell r="C376">
            <v>102211103</v>
          </cell>
          <cell r="D376" t="str">
            <v>BUCKS CREEK 1103</v>
          </cell>
          <cell r="E376" t="str">
            <v>CB</v>
          </cell>
          <cell r="F376" t="b">
            <v>0</v>
          </cell>
          <cell r="G376">
            <v>3707.9332212619402</v>
          </cell>
          <cell r="H376">
            <v>3707.9332212619402</v>
          </cell>
        </row>
        <row r="377">
          <cell r="B377" t="str">
            <v>BUELLTON 110163389</v>
          </cell>
          <cell r="C377">
            <v>183041101</v>
          </cell>
          <cell r="D377" t="str">
            <v>BUELLTON 1101</v>
          </cell>
          <cell r="E377">
            <v>63389</v>
          </cell>
          <cell r="F377" t="b">
            <v>1</v>
          </cell>
          <cell r="G377">
            <v>391.593802992306</v>
          </cell>
          <cell r="H377">
            <v>0</v>
          </cell>
        </row>
        <row r="378">
          <cell r="B378" t="str">
            <v>BUELLTON 1101Y06</v>
          </cell>
          <cell r="C378">
            <v>183041101</v>
          </cell>
          <cell r="D378" t="str">
            <v>BUELLTON 1101</v>
          </cell>
          <cell r="E378" t="str">
            <v>Y06</v>
          </cell>
          <cell r="F378" t="b">
            <v>0</v>
          </cell>
          <cell r="G378">
            <v>63281.543002806597</v>
          </cell>
          <cell r="H378">
            <v>48855.540468694096</v>
          </cell>
        </row>
        <row r="379">
          <cell r="B379" t="str">
            <v>BUELLTON 1101Y26</v>
          </cell>
          <cell r="C379">
            <v>183041101</v>
          </cell>
          <cell r="D379" t="str">
            <v>BUELLTON 1101</v>
          </cell>
          <cell r="E379" t="str">
            <v>Y26</v>
          </cell>
          <cell r="F379" t="b">
            <v>0</v>
          </cell>
          <cell r="G379">
            <v>25494.260787046798</v>
          </cell>
          <cell r="H379">
            <v>24411.1884976908</v>
          </cell>
        </row>
        <row r="380">
          <cell r="B380" t="str">
            <v>BUELLTON 1101Y36</v>
          </cell>
          <cell r="C380">
            <v>183041101</v>
          </cell>
          <cell r="D380" t="str">
            <v>BUELLTON 1101</v>
          </cell>
          <cell r="E380" t="str">
            <v>Y36</v>
          </cell>
          <cell r="F380" t="b">
            <v>0</v>
          </cell>
          <cell r="G380">
            <v>73124.889559635296</v>
          </cell>
          <cell r="H380">
            <v>60717.956072147099</v>
          </cell>
        </row>
        <row r="381">
          <cell r="B381" t="str">
            <v>BUELLTON 1102CB</v>
          </cell>
          <cell r="C381">
            <v>183041102</v>
          </cell>
          <cell r="D381" t="str">
            <v>BUELLTON 1102</v>
          </cell>
          <cell r="E381" t="str">
            <v>CB</v>
          </cell>
          <cell r="F381" t="b">
            <v>0</v>
          </cell>
          <cell r="G381">
            <v>22068.391470616101</v>
          </cell>
          <cell r="H381">
            <v>11401.8921074562</v>
          </cell>
        </row>
        <row r="382">
          <cell r="B382" t="str">
            <v>BUELLTON 1102Y50</v>
          </cell>
          <cell r="C382">
            <v>183041102</v>
          </cell>
          <cell r="D382" t="str">
            <v>BUELLTON 1102</v>
          </cell>
          <cell r="E382" t="str">
            <v>Y50</v>
          </cell>
          <cell r="F382" t="b">
            <v>0</v>
          </cell>
          <cell r="G382">
            <v>20651.345989948699</v>
          </cell>
          <cell r="H382">
            <v>17101.0403474136</v>
          </cell>
        </row>
        <row r="383">
          <cell r="B383" t="str">
            <v>BURNEY 11011322</v>
          </cell>
          <cell r="C383">
            <v>103311101</v>
          </cell>
          <cell r="D383" t="str">
            <v>BURNEY 1101</v>
          </cell>
          <cell r="E383">
            <v>1322</v>
          </cell>
          <cell r="F383" t="b">
            <v>0</v>
          </cell>
          <cell r="G383">
            <v>30035.9016724785</v>
          </cell>
          <cell r="H383">
            <v>25851.068836346702</v>
          </cell>
        </row>
        <row r="384">
          <cell r="B384" t="str">
            <v>BURNEY 11011340</v>
          </cell>
          <cell r="C384">
            <v>103311101</v>
          </cell>
          <cell r="D384" t="str">
            <v>BURNEY 1101</v>
          </cell>
          <cell r="E384">
            <v>1340</v>
          </cell>
          <cell r="F384" t="b">
            <v>0</v>
          </cell>
          <cell r="G384">
            <v>28996.527299782399</v>
          </cell>
          <cell r="H384">
            <v>28996.527299782399</v>
          </cell>
        </row>
        <row r="385">
          <cell r="B385" t="str">
            <v>BURNEY 11011358</v>
          </cell>
          <cell r="C385">
            <v>103311101</v>
          </cell>
          <cell r="D385" t="str">
            <v>BURNEY 1101</v>
          </cell>
          <cell r="E385">
            <v>1358</v>
          </cell>
          <cell r="F385" t="b">
            <v>0</v>
          </cell>
          <cell r="G385">
            <v>15167.578469292401</v>
          </cell>
          <cell r="H385">
            <v>13566.124121778599</v>
          </cell>
        </row>
        <row r="386">
          <cell r="B386" t="str">
            <v>BURNEY 11012402</v>
          </cell>
          <cell r="C386">
            <v>103311101</v>
          </cell>
          <cell r="D386" t="str">
            <v>BURNEY 1101</v>
          </cell>
          <cell r="E386">
            <v>2402</v>
          </cell>
          <cell r="F386" t="b">
            <v>0</v>
          </cell>
          <cell r="G386">
            <v>6035.4638913243798</v>
          </cell>
          <cell r="H386">
            <v>2411.6802193677299</v>
          </cell>
        </row>
        <row r="387">
          <cell r="B387" t="str">
            <v>BURNEY 110145984</v>
          </cell>
          <cell r="C387">
            <v>103311101</v>
          </cell>
          <cell r="D387" t="str">
            <v>BURNEY 1101</v>
          </cell>
          <cell r="E387">
            <v>45984</v>
          </cell>
          <cell r="F387" t="b">
            <v>0</v>
          </cell>
          <cell r="G387">
            <v>7772.9196611447996</v>
          </cell>
          <cell r="H387">
            <v>7772.9196611447996</v>
          </cell>
        </row>
        <row r="388">
          <cell r="B388" t="str">
            <v>BURNEY 11019042</v>
          </cell>
          <cell r="C388">
            <v>103311101</v>
          </cell>
          <cell r="D388" t="str">
            <v>BURNEY 1101</v>
          </cell>
          <cell r="E388">
            <v>9042</v>
          </cell>
          <cell r="F388" t="b">
            <v>0</v>
          </cell>
          <cell r="G388">
            <v>5080.79207807478</v>
          </cell>
          <cell r="H388">
            <v>5080.79207807478</v>
          </cell>
        </row>
        <row r="389">
          <cell r="B389" t="str">
            <v>BURNEY 1101CB</v>
          </cell>
          <cell r="C389">
            <v>103311101</v>
          </cell>
          <cell r="D389" t="str">
            <v>BURNEY 1101</v>
          </cell>
          <cell r="E389" t="str">
            <v>CB</v>
          </cell>
          <cell r="F389" t="b">
            <v>0</v>
          </cell>
          <cell r="G389">
            <v>3204.00088145674</v>
          </cell>
          <cell r="H389">
            <v>1997.95687157916</v>
          </cell>
        </row>
        <row r="390">
          <cell r="B390" t="str">
            <v>BURNEY 1102272636</v>
          </cell>
          <cell r="C390">
            <v>103311102</v>
          </cell>
          <cell r="D390" t="str">
            <v>BURNEY 1102</v>
          </cell>
          <cell r="E390">
            <v>272636</v>
          </cell>
          <cell r="F390" t="b">
            <v>1</v>
          </cell>
          <cell r="G390">
            <v>431.36814616212001</v>
          </cell>
          <cell r="H390">
            <v>431.36814616212001</v>
          </cell>
        </row>
        <row r="391">
          <cell r="B391" t="str">
            <v>BURNEY 110237284</v>
          </cell>
          <cell r="C391">
            <v>103311102</v>
          </cell>
          <cell r="D391" t="str">
            <v>BURNEY 1102</v>
          </cell>
          <cell r="E391">
            <v>37284</v>
          </cell>
          <cell r="F391" t="b">
            <v>1</v>
          </cell>
          <cell r="G391">
            <v>823.84750851621698</v>
          </cell>
          <cell r="H391">
            <v>303.06800084576997</v>
          </cell>
        </row>
        <row r="392">
          <cell r="B392" t="str">
            <v>BURNEY 110257046</v>
          </cell>
          <cell r="C392">
            <v>103311102</v>
          </cell>
          <cell r="D392" t="str">
            <v>BURNEY 1102</v>
          </cell>
          <cell r="E392">
            <v>57046</v>
          </cell>
          <cell r="F392" t="b">
            <v>1</v>
          </cell>
          <cell r="G392">
            <v>1135.0639325142699</v>
          </cell>
          <cell r="H392">
            <v>48.909115823144703</v>
          </cell>
        </row>
        <row r="393">
          <cell r="B393" t="str">
            <v>BURNEY 110297318</v>
          </cell>
          <cell r="C393">
            <v>103311102</v>
          </cell>
          <cell r="D393" t="str">
            <v>BURNEY 1102</v>
          </cell>
          <cell r="E393">
            <v>97318</v>
          </cell>
          <cell r="F393" t="b">
            <v>1</v>
          </cell>
          <cell r="G393">
            <v>1594.8253904866899</v>
          </cell>
          <cell r="H393">
            <v>294.97322562007503</v>
          </cell>
        </row>
        <row r="394">
          <cell r="B394" t="str">
            <v>BURNS 2101CB</v>
          </cell>
          <cell r="C394">
            <v>183582101</v>
          </cell>
          <cell r="D394" t="str">
            <v>BURNS 2101</v>
          </cell>
          <cell r="E394" t="str">
            <v>CB</v>
          </cell>
          <cell r="F394" t="b">
            <v>0</v>
          </cell>
          <cell r="G394">
            <v>2742.3098467115701</v>
          </cell>
          <cell r="H394">
            <v>2742.3098467115701</v>
          </cell>
        </row>
        <row r="395">
          <cell r="B395" t="str">
            <v>BUTTE 11051243</v>
          </cell>
          <cell r="C395">
            <v>103081105</v>
          </cell>
          <cell r="D395" t="str">
            <v>BUTTE 1105</v>
          </cell>
          <cell r="E395">
            <v>1243</v>
          </cell>
          <cell r="F395" t="b">
            <v>0</v>
          </cell>
          <cell r="G395">
            <v>8319.7012759582794</v>
          </cell>
          <cell r="H395">
            <v>8319.7012759582794</v>
          </cell>
        </row>
        <row r="396">
          <cell r="B396" t="str">
            <v>BUTTE 1105244246</v>
          </cell>
          <cell r="C396">
            <v>103081105</v>
          </cell>
          <cell r="D396" t="str">
            <v>BUTTE 1105</v>
          </cell>
          <cell r="E396">
            <v>244246</v>
          </cell>
          <cell r="F396" t="b">
            <v>0</v>
          </cell>
          <cell r="G396">
            <v>1936.2708655500101</v>
          </cell>
          <cell r="H396">
            <v>1936.2708655500101</v>
          </cell>
        </row>
        <row r="397">
          <cell r="B397" t="str">
            <v>BUTTE 1105751990</v>
          </cell>
          <cell r="C397">
            <v>103081105</v>
          </cell>
          <cell r="D397" t="str">
            <v>BUTTE 1105</v>
          </cell>
          <cell r="E397">
            <v>751990</v>
          </cell>
          <cell r="F397" t="b">
            <v>0</v>
          </cell>
          <cell r="G397">
            <v>39452.604893344898</v>
          </cell>
          <cell r="H397">
            <v>39436.6028571399</v>
          </cell>
        </row>
        <row r="398">
          <cell r="B398" t="str">
            <v>CABRILLO 11031437</v>
          </cell>
          <cell r="C398">
            <v>183101103</v>
          </cell>
          <cell r="D398" t="str">
            <v>CABRILLO 1103</v>
          </cell>
          <cell r="E398">
            <v>1437</v>
          </cell>
          <cell r="F398" t="b">
            <v>0</v>
          </cell>
          <cell r="G398">
            <v>7854.9148123188397</v>
          </cell>
          <cell r="H398">
            <v>4577.3444869776804</v>
          </cell>
        </row>
        <row r="399">
          <cell r="B399" t="str">
            <v>CABRILLO 1103CB</v>
          </cell>
          <cell r="C399">
            <v>183101103</v>
          </cell>
          <cell r="D399" t="str">
            <v>CABRILLO 1103</v>
          </cell>
          <cell r="E399" t="str">
            <v>CB</v>
          </cell>
          <cell r="F399" t="b">
            <v>1</v>
          </cell>
          <cell r="G399">
            <v>7060.6837981434401</v>
          </cell>
          <cell r="H399">
            <v>875.64919011841801</v>
          </cell>
        </row>
        <row r="400">
          <cell r="B400" t="str">
            <v>CABRILLO 1103Y10</v>
          </cell>
          <cell r="C400">
            <v>183101103</v>
          </cell>
          <cell r="D400" t="str">
            <v>CABRILLO 1103</v>
          </cell>
          <cell r="E400" t="str">
            <v>Y10</v>
          </cell>
          <cell r="F400" t="b">
            <v>0</v>
          </cell>
          <cell r="G400">
            <v>24460.413196194098</v>
          </cell>
          <cell r="H400">
            <v>7788.8369309285399</v>
          </cell>
        </row>
        <row r="401">
          <cell r="B401" t="str">
            <v>CABRILLO 1103Y12</v>
          </cell>
          <cell r="C401">
            <v>183101103</v>
          </cell>
          <cell r="D401" t="str">
            <v>CABRILLO 1103</v>
          </cell>
          <cell r="E401" t="str">
            <v>Y12</v>
          </cell>
          <cell r="F401" t="b">
            <v>0</v>
          </cell>
          <cell r="G401">
            <v>49636.236177419298</v>
          </cell>
          <cell r="H401">
            <v>42701.787788948299</v>
          </cell>
        </row>
        <row r="402">
          <cell r="B402" t="str">
            <v>CABRILLO 1103Y46</v>
          </cell>
          <cell r="C402">
            <v>183101103</v>
          </cell>
          <cell r="D402" t="str">
            <v>CABRILLO 1103</v>
          </cell>
          <cell r="E402" t="str">
            <v>Y46</v>
          </cell>
          <cell r="F402" t="b">
            <v>0</v>
          </cell>
          <cell r="G402">
            <v>76660.929571578294</v>
          </cell>
          <cell r="H402">
            <v>50653.8838081781</v>
          </cell>
        </row>
        <row r="403">
          <cell r="B403" t="str">
            <v>CABRILLO 1104CB</v>
          </cell>
          <cell r="C403">
            <v>183101104</v>
          </cell>
          <cell r="D403" t="str">
            <v>CABRILLO 1104</v>
          </cell>
          <cell r="E403" t="str">
            <v>CB</v>
          </cell>
          <cell r="F403" t="b">
            <v>0</v>
          </cell>
          <cell r="G403">
            <v>27455.787720742199</v>
          </cell>
          <cell r="H403">
            <v>6641.9361124450297</v>
          </cell>
        </row>
        <row r="404">
          <cell r="B404" t="str">
            <v>CABRILLO 1104Y22</v>
          </cell>
          <cell r="C404">
            <v>183101104</v>
          </cell>
          <cell r="D404" t="str">
            <v>CABRILLO 1104</v>
          </cell>
          <cell r="E404" t="str">
            <v>Y22</v>
          </cell>
          <cell r="F404" t="b">
            <v>0</v>
          </cell>
          <cell r="G404">
            <v>40867.328580589303</v>
          </cell>
          <cell r="H404">
            <v>16721.659989542899</v>
          </cell>
        </row>
        <row r="405">
          <cell r="B405" t="str">
            <v>CABRILLO 1104Y24</v>
          </cell>
          <cell r="C405">
            <v>183101104</v>
          </cell>
          <cell r="D405" t="str">
            <v>CABRILLO 1104</v>
          </cell>
          <cell r="E405" t="str">
            <v>Y24</v>
          </cell>
          <cell r="F405" t="b">
            <v>0</v>
          </cell>
          <cell r="G405">
            <v>31605.333857818099</v>
          </cell>
          <cell r="H405">
            <v>30845.613512538501</v>
          </cell>
        </row>
        <row r="406">
          <cell r="B406" t="str">
            <v>CAL WATER 1102690954</v>
          </cell>
          <cell r="C406">
            <v>255451102</v>
          </cell>
          <cell r="D406" t="str">
            <v>CAL WATER 1102</v>
          </cell>
          <cell r="E406">
            <v>690954</v>
          </cell>
          <cell r="F406" t="b">
            <v>0</v>
          </cell>
          <cell r="G406">
            <v>6889.4894007091398</v>
          </cell>
          <cell r="H406">
            <v>6410.0396962961304</v>
          </cell>
        </row>
        <row r="407">
          <cell r="B407" t="str">
            <v>CALAVERAS CEMENT 110111188</v>
          </cell>
          <cell r="C407">
            <v>162211101</v>
          </cell>
          <cell r="D407" t="str">
            <v>CALAVERAS CEMENT 1101</v>
          </cell>
          <cell r="E407">
            <v>11188</v>
          </cell>
          <cell r="F407" t="b">
            <v>0</v>
          </cell>
          <cell r="G407">
            <v>48202.521666031498</v>
          </cell>
          <cell r="H407">
            <v>48202.521666031498</v>
          </cell>
        </row>
        <row r="408">
          <cell r="B408" t="str">
            <v>CALAVERAS CEMENT 110111236</v>
          </cell>
          <cell r="C408">
            <v>162211101</v>
          </cell>
          <cell r="D408" t="str">
            <v>CALAVERAS CEMENT 1101</v>
          </cell>
          <cell r="E408">
            <v>11236</v>
          </cell>
          <cell r="F408" t="b">
            <v>0</v>
          </cell>
          <cell r="G408">
            <v>31777.909063324299</v>
          </cell>
          <cell r="H408">
            <v>31777.909063324299</v>
          </cell>
        </row>
        <row r="409">
          <cell r="B409" t="str">
            <v>CALAVERAS CEMENT 110113424</v>
          </cell>
          <cell r="C409">
            <v>162211101</v>
          </cell>
          <cell r="D409" t="str">
            <v>CALAVERAS CEMENT 1101</v>
          </cell>
          <cell r="E409">
            <v>13424</v>
          </cell>
          <cell r="F409" t="b">
            <v>0</v>
          </cell>
          <cell r="G409">
            <v>5801.6622403021802</v>
          </cell>
          <cell r="H409">
            <v>2404.2277214184401</v>
          </cell>
        </row>
        <row r="410">
          <cell r="B410" t="str">
            <v>CALAVERAS CEMENT 11011419</v>
          </cell>
          <cell r="C410">
            <v>162211101</v>
          </cell>
          <cell r="D410" t="str">
            <v>CALAVERAS CEMENT 1101</v>
          </cell>
          <cell r="E410">
            <v>1419</v>
          </cell>
          <cell r="F410" t="b">
            <v>0</v>
          </cell>
          <cell r="G410">
            <v>24160.951721491099</v>
          </cell>
          <cell r="H410">
            <v>24160.951721491099</v>
          </cell>
        </row>
        <row r="411">
          <cell r="B411" t="str">
            <v>CALAVERAS CEMENT 11012646</v>
          </cell>
          <cell r="C411">
            <v>162211101</v>
          </cell>
          <cell r="D411" t="str">
            <v>CALAVERAS CEMENT 1101</v>
          </cell>
          <cell r="E411">
            <v>2646</v>
          </cell>
          <cell r="F411" t="b">
            <v>0</v>
          </cell>
          <cell r="G411">
            <v>28413.983809084399</v>
          </cell>
          <cell r="H411">
            <v>28413.983809084399</v>
          </cell>
        </row>
        <row r="412">
          <cell r="B412" t="str">
            <v>CALAVERAS CEMENT 110136880</v>
          </cell>
          <cell r="C412">
            <v>162211101</v>
          </cell>
          <cell r="D412" t="str">
            <v>CALAVERAS CEMENT 1101</v>
          </cell>
          <cell r="E412">
            <v>36880</v>
          </cell>
          <cell r="F412" t="b">
            <v>0</v>
          </cell>
          <cell r="G412">
            <v>13851.9466862684</v>
          </cell>
          <cell r="H412">
            <v>9899.4771452560199</v>
          </cell>
        </row>
        <row r="413">
          <cell r="B413" t="str">
            <v>CALAVERAS CEMENT 11014786</v>
          </cell>
          <cell r="C413">
            <v>162211101</v>
          </cell>
          <cell r="D413" t="str">
            <v>CALAVERAS CEMENT 1101</v>
          </cell>
          <cell r="E413">
            <v>4786</v>
          </cell>
          <cell r="F413" t="b">
            <v>0</v>
          </cell>
          <cell r="G413">
            <v>28973.984981551799</v>
          </cell>
          <cell r="H413">
            <v>28973.984981551799</v>
          </cell>
        </row>
        <row r="414">
          <cell r="B414" t="str">
            <v>CALAVERAS CEMENT 110147968</v>
          </cell>
          <cell r="C414">
            <v>162211101</v>
          </cell>
          <cell r="D414" t="str">
            <v>CALAVERAS CEMENT 1101</v>
          </cell>
          <cell r="E414">
            <v>47968</v>
          </cell>
          <cell r="F414" t="b">
            <v>0</v>
          </cell>
          <cell r="G414">
            <v>65100.486220168197</v>
          </cell>
          <cell r="H414">
            <v>65100.486220168197</v>
          </cell>
        </row>
        <row r="415">
          <cell r="B415" t="str">
            <v>CALAVERAS CEMENT 1101502</v>
          </cell>
          <cell r="C415">
            <v>162211101</v>
          </cell>
          <cell r="D415" t="str">
            <v>CALAVERAS CEMENT 1101</v>
          </cell>
          <cell r="E415">
            <v>502</v>
          </cell>
          <cell r="F415" t="b">
            <v>0</v>
          </cell>
          <cell r="G415">
            <v>65884.611347709404</v>
          </cell>
          <cell r="H415">
            <v>60591.034575025202</v>
          </cell>
        </row>
        <row r="416">
          <cell r="B416" t="str">
            <v>CALAVERAS CEMENT 1101585</v>
          </cell>
          <cell r="C416">
            <v>162211101</v>
          </cell>
          <cell r="D416" t="str">
            <v>CALAVERAS CEMENT 1101</v>
          </cell>
          <cell r="E416">
            <v>585</v>
          </cell>
          <cell r="F416" t="b">
            <v>0</v>
          </cell>
          <cell r="G416">
            <v>22730.620252430799</v>
          </cell>
          <cell r="H416">
            <v>22730.620252430799</v>
          </cell>
        </row>
        <row r="417">
          <cell r="B417" t="str">
            <v>CALAVERAS CEMENT 110180930</v>
          </cell>
          <cell r="C417">
            <v>162211101</v>
          </cell>
          <cell r="D417" t="str">
            <v>CALAVERAS CEMENT 1101</v>
          </cell>
          <cell r="E417">
            <v>80930</v>
          </cell>
          <cell r="F417" t="b">
            <v>0</v>
          </cell>
          <cell r="G417">
            <v>29528.488812537002</v>
          </cell>
          <cell r="H417">
            <v>29528.488812537002</v>
          </cell>
        </row>
        <row r="418">
          <cell r="B418" t="str">
            <v>CALAVERAS CEMENT 1101CB</v>
          </cell>
          <cell r="C418">
            <v>162211101</v>
          </cell>
          <cell r="D418" t="str">
            <v>CALAVERAS CEMENT 1101</v>
          </cell>
          <cell r="E418" t="str">
            <v>CB</v>
          </cell>
          <cell r="F418" t="b">
            <v>0</v>
          </cell>
          <cell r="G418">
            <v>29408.719608024301</v>
          </cell>
          <cell r="H418">
            <v>16846.519703791699</v>
          </cell>
        </row>
        <row r="419">
          <cell r="B419" t="str">
            <v>CALISTOGA 11011087</v>
          </cell>
          <cell r="C419">
            <v>42711101</v>
          </cell>
          <cell r="D419" t="str">
            <v>CALISTOGA 1101</v>
          </cell>
          <cell r="E419">
            <v>1087</v>
          </cell>
          <cell r="F419" t="b">
            <v>0</v>
          </cell>
          <cell r="G419">
            <v>3157.1282307971301</v>
          </cell>
          <cell r="H419">
            <v>3157.1282307971301</v>
          </cell>
        </row>
        <row r="420">
          <cell r="B420" t="str">
            <v>CALISTOGA 1101134232</v>
          </cell>
          <cell r="C420">
            <v>42711101</v>
          </cell>
          <cell r="D420" t="str">
            <v>CALISTOGA 1101</v>
          </cell>
          <cell r="E420">
            <v>134232</v>
          </cell>
          <cell r="F420" t="b">
            <v>0</v>
          </cell>
          <cell r="G420">
            <v>11553.3533770462</v>
          </cell>
          <cell r="H420">
            <v>2618.91118545568</v>
          </cell>
        </row>
        <row r="421">
          <cell r="B421" t="str">
            <v>CALISTOGA 1101242919</v>
          </cell>
          <cell r="C421">
            <v>42711101</v>
          </cell>
          <cell r="D421" t="str">
            <v>CALISTOGA 1101</v>
          </cell>
          <cell r="E421">
            <v>242919</v>
          </cell>
          <cell r="F421" t="b">
            <v>0</v>
          </cell>
          <cell r="G421">
            <v>2111.4930196239702</v>
          </cell>
          <cell r="H421">
            <v>2111.4930196239702</v>
          </cell>
        </row>
        <row r="422">
          <cell r="B422" t="str">
            <v>CALISTOGA 110135588</v>
          </cell>
          <cell r="C422">
            <v>42711101</v>
          </cell>
          <cell r="D422" t="str">
            <v>CALISTOGA 1101</v>
          </cell>
          <cell r="E422">
            <v>35588</v>
          </cell>
          <cell r="F422" t="b">
            <v>0</v>
          </cell>
          <cell r="G422">
            <v>4954.8550678311803</v>
          </cell>
          <cell r="H422">
            <v>4954.8550678311803</v>
          </cell>
        </row>
        <row r="423">
          <cell r="B423" t="str">
            <v>CALISTOGA 110143924</v>
          </cell>
          <cell r="C423">
            <v>42711101</v>
          </cell>
          <cell r="D423" t="str">
            <v>CALISTOGA 1101</v>
          </cell>
          <cell r="E423">
            <v>43924</v>
          </cell>
          <cell r="F423" t="b">
            <v>0</v>
          </cell>
          <cell r="G423">
            <v>15096.744617627501</v>
          </cell>
          <cell r="H423">
            <v>12523.7998566278</v>
          </cell>
        </row>
        <row r="424">
          <cell r="B424" t="str">
            <v>CALISTOGA 1101537148</v>
          </cell>
          <cell r="C424">
            <v>42711101</v>
          </cell>
          <cell r="D424" t="str">
            <v>CALISTOGA 1101</v>
          </cell>
          <cell r="E424">
            <v>537148</v>
          </cell>
          <cell r="F424" t="b">
            <v>1</v>
          </cell>
          <cell r="G424">
            <v>2468.9991643467301</v>
          </cell>
          <cell r="H424">
            <v>923.07624679680396</v>
          </cell>
        </row>
        <row r="425">
          <cell r="B425" t="str">
            <v>CALISTOGA 1101734</v>
          </cell>
          <cell r="C425">
            <v>42711101</v>
          </cell>
          <cell r="D425" t="str">
            <v>CALISTOGA 1101</v>
          </cell>
          <cell r="E425">
            <v>734</v>
          </cell>
          <cell r="F425" t="b">
            <v>0</v>
          </cell>
          <cell r="G425">
            <v>26724.941049561501</v>
          </cell>
          <cell r="H425">
            <v>22050.898915682599</v>
          </cell>
        </row>
        <row r="426">
          <cell r="B426" t="str">
            <v>CALISTOGA 1101736</v>
          </cell>
          <cell r="C426">
            <v>42711101</v>
          </cell>
          <cell r="D426" t="str">
            <v>CALISTOGA 1101</v>
          </cell>
          <cell r="E426">
            <v>736</v>
          </cell>
          <cell r="F426" t="b">
            <v>0</v>
          </cell>
          <cell r="G426">
            <v>55772.068237622203</v>
          </cell>
          <cell r="H426">
            <v>55772.068237622203</v>
          </cell>
        </row>
        <row r="427">
          <cell r="B427" t="str">
            <v>CALISTOGA 1101890</v>
          </cell>
          <cell r="C427">
            <v>42711101</v>
          </cell>
          <cell r="D427" t="str">
            <v>CALISTOGA 1101</v>
          </cell>
          <cell r="E427">
            <v>890</v>
          </cell>
          <cell r="F427" t="b">
            <v>0</v>
          </cell>
          <cell r="G427">
            <v>39539.839943680701</v>
          </cell>
          <cell r="H427">
            <v>39211.693126569597</v>
          </cell>
        </row>
        <row r="428">
          <cell r="B428" t="str">
            <v>CALISTOGA 110189150</v>
          </cell>
          <cell r="C428">
            <v>42711101</v>
          </cell>
          <cell r="D428" t="str">
            <v>CALISTOGA 1101</v>
          </cell>
          <cell r="E428">
            <v>89150</v>
          </cell>
          <cell r="F428" t="b">
            <v>0</v>
          </cell>
          <cell r="G428">
            <v>15332.2939112186</v>
          </cell>
          <cell r="H428">
            <v>15332.2939112186</v>
          </cell>
        </row>
        <row r="429">
          <cell r="B429" t="str">
            <v>CALISTOGA 1101CB</v>
          </cell>
          <cell r="C429">
            <v>42711101</v>
          </cell>
          <cell r="D429" t="str">
            <v>CALISTOGA 1101</v>
          </cell>
          <cell r="E429" t="str">
            <v>CB</v>
          </cell>
          <cell r="F429" t="b">
            <v>1</v>
          </cell>
          <cell r="G429">
            <v>1122.23608837541</v>
          </cell>
          <cell r="H429">
            <v>221.67036452797899</v>
          </cell>
        </row>
        <row r="430">
          <cell r="B430" t="str">
            <v>CALISTOGA 1102141073</v>
          </cell>
          <cell r="C430">
            <v>42711102</v>
          </cell>
          <cell r="D430" t="str">
            <v>CALISTOGA 1102</v>
          </cell>
          <cell r="E430">
            <v>141073</v>
          </cell>
          <cell r="F430" t="b">
            <v>0</v>
          </cell>
          <cell r="G430">
            <v>3422.9372700091999</v>
          </cell>
          <cell r="H430">
            <v>1996.45226953933</v>
          </cell>
        </row>
        <row r="431">
          <cell r="B431" t="str">
            <v>CALISTOGA 1102184814</v>
          </cell>
          <cell r="C431">
            <v>42711102</v>
          </cell>
          <cell r="D431" t="str">
            <v>CALISTOGA 1102</v>
          </cell>
          <cell r="E431">
            <v>184814</v>
          </cell>
          <cell r="F431" t="b">
            <v>1</v>
          </cell>
          <cell r="G431">
            <v>2352.35507293408</v>
          </cell>
          <cell r="H431">
            <v>682.24501971614905</v>
          </cell>
        </row>
        <row r="432">
          <cell r="B432" t="str">
            <v>CALISTOGA 1102634</v>
          </cell>
          <cell r="C432">
            <v>42711102</v>
          </cell>
          <cell r="D432" t="str">
            <v>CALISTOGA 1102</v>
          </cell>
          <cell r="E432">
            <v>634</v>
          </cell>
          <cell r="F432" t="b">
            <v>0</v>
          </cell>
          <cell r="G432">
            <v>27022.941423493299</v>
          </cell>
          <cell r="H432">
            <v>18046.545854622</v>
          </cell>
        </row>
        <row r="433">
          <cell r="B433" t="str">
            <v>CALISTOGA 110266730</v>
          </cell>
          <cell r="C433">
            <v>42711102</v>
          </cell>
          <cell r="D433" t="str">
            <v>CALISTOGA 1102</v>
          </cell>
          <cell r="E433">
            <v>66730</v>
          </cell>
          <cell r="F433" t="b">
            <v>0</v>
          </cell>
          <cell r="G433">
            <v>1703.3078531757101</v>
          </cell>
          <cell r="H433">
            <v>1703.3078531757101</v>
          </cell>
        </row>
        <row r="434">
          <cell r="B434" t="str">
            <v>CALISTOGA 1102705</v>
          </cell>
          <cell r="C434">
            <v>42711102</v>
          </cell>
          <cell r="D434" t="str">
            <v>CALISTOGA 1102</v>
          </cell>
          <cell r="E434">
            <v>705</v>
          </cell>
          <cell r="F434" t="b">
            <v>1</v>
          </cell>
          <cell r="G434">
            <v>2028.07752818575</v>
          </cell>
          <cell r="H434">
            <v>622.31717071122898</v>
          </cell>
        </row>
        <row r="435">
          <cell r="B435" t="str">
            <v>CALISTOGA 1102769230</v>
          </cell>
          <cell r="C435">
            <v>42711102</v>
          </cell>
          <cell r="D435" t="str">
            <v>CALISTOGA 1102</v>
          </cell>
          <cell r="E435">
            <v>769230</v>
          </cell>
          <cell r="F435" t="b">
            <v>0</v>
          </cell>
          <cell r="G435">
            <v>27505.729327580299</v>
          </cell>
          <cell r="H435">
            <v>17732.851983922901</v>
          </cell>
        </row>
        <row r="436">
          <cell r="B436" t="str">
            <v>CALISTOGA 1102960240</v>
          </cell>
          <cell r="C436">
            <v>42711102</v>
          </cell>
          <cell r="D436" t="str">
            <v>CALISTOGA 1102</v>
          </cell>
          <cell r="E436">
            <v>960240</v>
          </cell>
          <cell r="F436" t="b">
            <v>1</v>
          </cell>
          <cell r="G436">
            <v>816.273235436449</v>
          </cell>
          <cell r="H436">
            <v>816.273235436449</v>
          </cell>
        </row>
        <row r="437">
          <cell r="B437" t="str">
            <v>CALISTOGA 1102CB</v>
          </cell>
          <cell r="C437">
            <v>42711102</v>
          </cell>
          <cell r="D437" t="str">
            <v>CALISTOGA 1102</v>
          </cell>
          <cell r="E437" t="str">
            <v>CB</v>
          </cell>
          <cell r="F437" t="b">
            <v>1</v>
          </cell>
          <cell r="G437">
            <v>3890.28405454432</v>
          </cell>
          <cell r="H437">
            <v>517.88138821242399</v>
          </cell>
        </row>
        <row r="438">
          <cell r="B438" t="str">
            <v>CALPELLA 11011204</v>
          </cell>
          <cell r="C438">
            <v>43411101</v>
          </cell>
          <cell r="D438" t="str">
            <v>CALPELLA 1101</v>
          </cell>
          <cell r="E438">
            <v>1204</v>
          </cell>
          <cell r="F438" t="b">
            <v>0</v>
          </cell>
          <cell r="G438">
            <v>18353.244461916001</v>
          </cell>
          <cell r="H438">
            <v>15255.835623511301</v>
          </cell>
        </row>
        <row r="439">
          <cell r="B439" t="str">
            <v>CALPELLA 11013419</v>
          </cell>
          <cell r="C439">
            <v>43411101</v>
          </cell>
          <cell r="D439" t="str">
            <v>CALPELLA 1101</v>
          </cell>
          <cell r="E439">
            <v>3419</v>
          </cell>
          <cell r="F439" t="b">
            <v>0</v>
          </cell>
          <cell r="G439">
            <v>12848.291730560701</v>
          </cell>
          <cell r="H439">
            <v>12848.291730560701</v>
          </cell>
        </row>
        <row r="440">
          <cell r="B440" t="str">
            <v>CALPELLA 1101345230</v>
          </cell>
          <cell r="C440">
            <v>43411101</v>
          </cell>
          <cell r="D440" t="str">
            <v>CALPELLA 1101</v>
          </cell>
          <cell r="E440">
            <v>345230</v>
          </cell>
          <cell r="F440" t="b">
            <v>0</v>
          </cell>
          <cell r="G440">
            <v>4014.2831043296401</v>
          </cell>
          <cell r="H440">
            <v>1908.1944024391501</v>
          </cell>
        </row>
        <row r="441">
          <cell r="B441" t="str">
            <v>CALPELLA 1101542</v>
          </cell>
          <cell r="C441">
            <v>43411101</v>
          </cell>
          <cell r="D441" t="str">
            <v>CALPELLA 1101</v>
          </cell>
          <cell r="E441">
            <v>542</v>
          </cell>
          <cell r="F441" t="b">
            <v>0</v>
          </cell>
          <cell r="G441">
            <v>54014.783401953697</v>
          </cell>
          <cell r="H441">
            <v>53958.200595484202</v>
          </cell>
        </row>
        <row r="442">
          <cell r="B442" t="str">
            <v>CALPELLA 1101600</v>
          </cell>
          <cell r="C442">
            <v>43411101</v>
          </cell>
          <cell r="D442" t="str">
            <v>CALPELLA 1101</v>
          </cell>
          <cell r="E442">
            <v>600</v>
          </cell>
          <cell r="F442" t="b">
            <v>0</v>
          </cell>
          <cell r="G442">
            <v>39281.1533072042</v>
          </cell>
          <cell r="H442">
            <v>30870.3000004694</v>
          </cell>
        </row>
        <row r="443">
          <cell r="B443" t="str">
            <v>CALPELLA 1101619542</v>
          </cell>
          <cell r="C443">
            <v>43411101</v>
          </cell>
          <cell r="D443" t="str">
            <v>CALPELLA 1101</v>
          </cell>
          <cell r="E443">
            <v>619542</v>
          </cell>
          <cell r="F443" t="b">
            <v>0</v>
          </cell>
          <cell r="G443">
            <v>2424.2590373691</v>
          </cell>
          <cell r="H443">
            <v>2408.2569475561299</v>
          </cell>
        </row>
        <row r="444">
          <cell r="B444" t="str">
            <v>CALPELLA 1101CB</v>
          </cell>
          <cell r="C444">
            <v>43411101</v>
          </cell>
          <cell r="D444" t="str">
            <v>CALPELLA 1101</v>
          </cell>
          <cell r="E444" t="str">
            <v>CB</v>
          </cell>
          <cell r="F444" t="b">
            <v>0</v>
          </cell>
          <cell r="G444">
            <v>32987.491349449403</v>
          </cell>
          <cell r="H444">
            <v>18947.936226102302</v>
          </cell>
        </row>
        <row r="445">
          <cell r="B445" t="str">
            <v>CALPELLA 1102127462</v>
          </cell>
          <cell r="C445">
            <v>43411102</v>
          </cell>
          <cell r="D445" t="str">
            <v>CALPELLA 1102</v>
          </cell>
          <cell r="E445">
            <v>127462</v>
          </cell>
          <cell r="F445" t="b">
            <v>1</v>
          </cell>
          <cell r="G445">
            <v>205.30951161874501</v>
          </cell>
          <cell r="H445">
            <v>189.27367881398001</v>
          </cell>
        </row>
        <row r="446">
          <cell r="B446" t="str">
            <v>CALPELLA 1102144510</v>
          </cell>
          <cell r="C446">
            <v>43411102</v>
          </cell>
          <cell r="D446" t="str">
            <v>CALPELLA 1102</v>
          </cell>
          <cell r="E446">
            <v>144510</v>
          </cell>
          <cell r="F446" t="b">
            <v>0</v>
          </cell>
          <cell r="G446">
            <v>8266.8345917019597</v>
          </cell>
          <cell r="H446">
            <v>5010.1846152502503</v>
          </cell>
        </row>
        <row r="447">
          <cell r="B447" t="str">
            <v>CALPELLA 1102379946</v>
          </cell>
          <cell r="C447">
            <v>43411102</v>
          </cell>
          <cell r="D447" t="str">
            <v>CALPELLA 1102</v>
          </cell>
          <cell r="E447">
            <v>379946</v>
          </cell>
          <cell r="F447" t="b">
            <v>0</v>
          </cell>
          <cell r="G447">
            <v>2891.0031915968698</v>
          </cell>
          <cell r="H447">
            <v>1211.8312879489399</v>
          </cell>
        </row>
        <row r="448">
          <cell r="B448" t="str">
            <v>CALPELLA 1102421412</v>
          </cell>
          <cell r="C448">
            <v>43411102</v>
          </cell>
          <cell r="D448" t="str">
            <v>CALPELLA 1102</v>
          </cell>
          <cell r="E448">
            <v>421412</v>
          </cell>
          <cell r="F448" t="b">
            <v>0</v>
          </cell>
          <cell r="G448">
            <v>5653.9031830947197</v>
          </cell>
          <cell r="H448">
            <v>1616.30925719175</v>
          </cell>
        </row>
        <row r="449">
          <cell r="B449" t="str">
            <v>CALPELLA 1102477890</v>
          </cell>
          <cell r="C449">
            <v>43411102</v>
          </cell>
          <cell r="D449" t="str">
            <v>CALPELLA 1102</v>
          </cell>
          <cell r="E449">
            <v>477890</v>
          </cell>
          <cell r="F449" t="b">
            <v>0</v>
          </cell>
          <cell r="G449">
            <v>4846.0498574414596</v>
          </cell>
          <cell r="H449">
            <v>1726.9793750993799</v>
          </cell>
        </row>
        <row r="450">
          <cell r="B450" t="str">
            <v>CALPELLA 1102708161</v>
          </cell>
          <cell r="C450">
            <v>43411102</v>
          </cell>
          <cell r="D450" t="str">
            <v>CALPELLA 1102</v>
          </cell>
          <cell r="E450">
            <v>708161</v>
          </cell>
          <cell r="F450" t="b">
            <v>0</v>
          </cell>
          <cell r="G450">
            <v>1824.6356413195499</v>
          </cell>
          <cell r="H450">
            <v>1615.00070287318</v>
          </cell>
        </row>
        <row r="451">
          <cell r="B451" t="str">
            <v>CALPELLA 1102CB</v>
          </cell>
          <cell r="C451">
            <v>43411102</v>
          </cell>
          <cell r="D451" t="str">
            <v>CALPELLA 1102</v>
          </cell>
          <cell r="E451" t="str">
            <v>CB</v>
          </cell>
          <cell r="F451" t="b">
            <v>1</v>
          </cell>
          <cell r="G451">
            <v>7260.7146354545503</v>
          </cell>
          <cell r="H451">
            <v>263.08002691676802</v>
          </cell>
        </row>
        <row r="452">
          <cell r="B452" t="str">
            <v>CALPINE 1144276-G</v>
          </cell>
          <cell r="C452">
            <v>48011144</v>
          </cell>
          <cell r="D452" t="str">
            <v>CALPINE 1144</v>
          </cell>
          <cell r="E452" t="str">
            <v>276-G</v>
          </cell>
          <cell r="F452" t="b">
            <v>1</v>
          </cell>
          <cell r="G452">
            <v>23.74783542066</v>
          </cell>
          <cell r="H452">
            <v>23.74783542066</v>
          </cell>
        </row>
        <row r="453">
          <cell r="B453" t="str">
            <v>CALPINE 1144304</v>
          </cell>
          <cell r="C453">
            <v>48011144</v>
          </cell>
          <cell r="D453" t="str">
            <v>CALPINE 1144</v>
          </cell>
          <cell r="E453">
            <v>304</v>
          </cell>
          <cell r="F453" t="b">
            <v>1</v>
          </cell>
          <cell r="G453">
            <v>74.606732040435901</v>
          </cell>
          <cell r="H453">
            <v>74.606732040435901</v>
          </cell>
        </row>
        <row r="454">
          <cell r="B454" t="str">
            <v>CALPINE 1144962</v>
          </cell>
          <cell r="C454">
            <v>48011144</v>
          </cell>
          <cell r="D454" t="str">
            <v>CALPINE 1144</v>
          </cell>
          <cell r="E454">
            <v>962</v>
          </cell>
          <cell r="F454" t="b">
            <v>1</v>
          </cell>
          <cell r="G454">
            <v>63.3635601726102</v>
          </cell>
          <cell r="H454">
            <v>63.3635601726102</v>
          </cell>
        </row>
        <row r="455">
          <cell r="B455" t="str">
            <v>CALPINE 1144962</v>
          </cell>
          <cell r="C455">
            <v>48011144</v>
          </cell>
          <cell r="D455" t="str">
            <v>CALPINE 1144</v>
          </cell>
          <cell r="E455">
            <v>962</v>
          </cell>
          <cell r="F455" t="b">
            <v>0</v>
          </cell>
          <cell r="G455">
            <v>6465.1164894958602</v>
          </cell>
          <cell r="H455">
            <v>6465.1164894958602</v>
          </cell>
        </row>
        <row r="456">
          <cell r="B456" t="str">
            <v>CALPINE 1144CB</v>
          </cell>
          <cell r="C456">
            <v>48011144</v>
          </cell>
          <cell r="D456" t="str">
            <v>CALPINE 1144</v>
          </cell>
          <cell r="E456" t="str">
            <v>CB</v>
          </cell>
          <cell r="F456" t="b">
            <v>0</v>
          </cell>
          <cell r="G456">
            <v>42270.014473334799</v>
          </cell>
          <cell r="H456">
            <v>42270.014473334799</v>
          </cell>
        </row>
        <row r="457">
          <cell r="B457" t="str">
            <v>CALPINE 1146200-G</v>
          </cell>
          <cell r="C457">
            <v>48011146</v>
          </cell>
          <cell r="D457" t="str">
            <v>CALPINE 1146</v>
          </cell>
          <cell r="E457" t="str">
            <v>200-G</v>
          </cell>
          <cell r="F457" t="b">
            <v>1</v>
          </cell>
          <cell r="G457">
            <v>13.7161032291579</v>
          </cell>
          <cell r="H457">
            <v>13.7161032291579</v>
          </cell>
        </row>
        <row r="458">
          <cell r="B458" t="str">
            <v>CALPINE 1146394G</v>
          </cell>
          <cell r="C458">
            <v>48011146</v>
          </cell>
          <cell r="D458" t="str">
            <v>CALPINE 1146</v>
          </cell>
          <cell r="E458" t="str">
            <v>394G</v>
          </cell>
          <cell r="F458" t="b">
            <v>1</v>
          </cell>
          <cell r="G458">
            <v>18.168309044868298</v>
          </cell>
          <cell r="H458">
            <v>18.168309044868298</v>
          </cell>
        </row>
        <row r="459">
          <cell r="B459" t="str">
            <v>CALPINE 1146400</v>
          </cell>
          <cell r="C459">
            <v>48011146</v>
          </cell>
          <cell r="D459" t="str">
            <v>CALPINE 1146</v>
          </cell>
          <cell r="E459">
            <v>400</v>
          </cell>
          <cell r="F459" t="b">
            <v>0</v>
          </cell>
          <cell r="G459">
            <v>5057.3021149410597</v>
          </cell>
          <cell r="H459">
            <v>5057.3021149410597</v>
          </cell>
        </row>
        <row r="460">
          <cell r="B460" t="str">
            <v>CALPINE 1146CB</v>
          </cell>
          <cell r="C460">
            <v>48011146</v>
          </cell>
          <cell r="D460" t="str">
            <v>CALPINE 1146</v>
          </cell>
          <cell r="E460" t="str">
            <v>CB</v>
          </cell>
          <cell r="F460" t="b">
            <v>0</v>
          </cell>
          <cell r="G460">
            <v>4947.4930185674903</v>
          </cell>
          <cell r="H460">
            <v>4947.4930185674903</v>
          </cell>
        </row>
        <row r="461">
          <cell r="B461" t="str">
            <v>CAMBRIA 1101858200</v>
          </cell>
          <cell r="C461">
            <v>182771101</v>
          </cell>
          <cell r="D461" t="str">
            <v>CAMBRIA 1101</v>
          </cell>
          <cell r="E461">
            <v>858200</v>
          </cell>
          <cell r="F461" t="b">
            <v>0</v>
          </cell>
          <cell r="G461">
            <v>9571.0307876368606</v>
          </cell>
          <cell r="H461">
            <v>9200.2096421640199</v>
          </cell>
        </row>
        <row r="462">
          <cell r="B462" t="str">
            <v>CAMBRIA 1101CB</v>
          </cell>
          <cell r="C462">
            <v>182771101</v>
          </cell>
          <cell r="D462" t="str">
            <v>CAMBRIA 1101</v>
          </cell>
          <cell r="E462" t="str">
            <v>CB</v>
          </cell>
          <cell r="F462" t="b">
            <v>1</v>
          </cell>
          <cell r="G462">
            <v>9964.9315069048698</v>
          </cell>
          <cell r="H462">
            <v>415.918216776051</v>
          </cell>
        </row>
        <row r="463">
          <cell r="B463" t="str">
            <v>CAMBRIA 1101V76</v>
          </cell>
          <cell r="C463">
            <v>182771101</v>
          </cell>
          <cell r="D463" t="str">
            <v>CAMBRIA 1101</v>
          </cell>
          <cell r="E463" t="str">
            <v>V76</v>
          </cell>
          <cell r="F463" t="b">
            <v>0</v>
          </cell>
          <cell r="G463">
            <v>30510.638771322301</v>
          </cell>
          <cell r="H463">
            <v>30510.638771322301</v>
          </cell>
        </row>
        <row r="464">
          <cell r="B464" t="str">
            <v>CAMBRIA 1102CB</v>
          </cell>
          <cell r="C464">
            <v>182771102</v>
          </cell>
          <cell r="D464" t="str">
            <v>CAMBRIA 1102</v>
          </cell>
          <cell r="E464" t="str">
            <v>CB</v>
          </cell>
          <cell r="F464" t="b">
            <v>0</v>
          </cell>
          <cell r="G464">
            <v>37414.417201259399</v>
          </cell>
          <cell r="H464">
            <v>25753.258979791801</v>
          </cell>
        </row>
        <row r="465">
          <cell r="B465" t="str">
            <v>CAMBRIA 1102W50</v>
          </cell>
          <cell r="C465">
            <v>182771102</v>
          </cell>
          <cell r="D465" t="str">
            <v>CAMBRIA 1102</v>
          </cell>
          <cell r="E465" t="str">
            <v>W50</v>
          </cell>
          <cell r="F465" t="b">
            <v>1</v>
          </cell>
          <cell r="G465">
            <v>5818.6321508926903</v>
          </cell>
          <cell r="H465">
            <v>997.94578076785501</v>
          </cell>
        </row>
        <row r="466">
          <cell r="B466" t="str">
            <v>CAMP EVERS 210310946</v>
          </cell>
          <cell r="C466">
            <v>83622103</v>
          </cell>
          <cell r="D466" t="str">
            <v>CAMP EVERS 2103</v>
          </cell>
          <cell r="E466">
            <v>10946</v>
          </cell>
          <cell r="F466" t="b">
            <v>0</v>
          </cell>
          <cell r="G466">
            <v>13600.9039665049</v>
          </cell>
          <cell r="H466">
            <v>9098.3131910291995</v>
          </cell>
        </row>
        <row r="467">
          <cell r="B467" t="str">
            <v>CAMP EVERS 210311046</v>
          </cell>
          <cell r="C467">
            <v>83622103</v>
          </cell>
          <cell r="D467" t="str">
            <v>CAMP EVERS 2103</v>
          </cell>
          <cell r="E467">
            <v>11046</v>
          </cell>
          <cell r="F467" t="b">
            <v>0</v>
          </cell>
          <cell r="G467">
            <v>25866.5620940443</v>
          </cell>
          <cell r="H467">
            <v>25866.5620940443</v>
          </cell>
        </row>
        <row r="468">
          <cell r="B468" t="str">
            <v>CAMP EVERS 210311056</v>
          </cell>
          <cell r="C468">
            <v>83622103</v>
          </cell>
          <cell r="D468" t="str">
            <v>CAMP EVERS 2103</v>
          </cell>
          <cell r="E468">
            <v>11056</v>
          </cell>
          <cell r="F468" t="b">
            <v>0</v>
          </cell>
          <cell r="G468">
            <v>6785.5938701123196</v>
          </cell>
          <cell r="H468">
            <v>6717.0632270092901</v>
          </cell>
        </row>
        <row r="469">
          <cell r="B469" t="str">
            <v>CAMP EVERS 210312990</v>
          </cell>
          <cell r="C469">
            <v>83622103</v>
          </cell>
          <cell r="D469" t="str">
            <v>CAMP EVERS 2103</v>
          </cell>
          <cell r="E469">
            <v>12990</v>
          </cell>
          <cell r="F469" t="b">
            <v>0</v>
          </cell>
          <cell r="G469">
            <v>21277.9249206485</v>
          </cell>
          <cell r="H469">
            <v>21277.9249206485</v>
          </cell>
        </row>
        <row r="470">
          <cell r="B470" t="str">
            <v>CAMP EVERS 21035402</v>
          </cell>
          <cell r="C470">
            <v>83622103</v>
          </cell>
          <cell r="D470" t="str">
            <v>CAMP EVERS 2103</v>
          </cell>
          <cell r="E470">
            <v>5402</v>
          </cell>
          <cell r="F470" t="b">
            <v>0</v>
          </cell>
          <cell r="G470">
            <v>10826.3428203318</v>
          </cell>
          <cell r="H470">
            <v>4595.9766679905697</v>
          </cell>
        </row>
        <row r="471">
          <cell r="B471" t="str">
            <v>CAMP EVERS 21035404</v>
          </cell>
          <cell r="C471">
            <v>83622103</v>
          </cell>
          <cell r="D471" t="str">
            <v>CAMP EVERS 2103</v>
          </cell>
          <cell r="E471">
            <v>5404</v>
          </cell>
          <cell r="F471" t="b">
            <v>0</v>
          </cell>
          <cell r="G471">
            <v>7456.6430692192598</v>
          </cell>
          <cell r="H471">
            <v>4377.7977656474604</v>
          </cell>
        </row>
        <row r="472">
          <cell r="B472" t="str">
            <v>CAMP EVERS 210355638</v>
          </cell>
          <cell r="C472">
            <v>83622103</v>
          </cell>
          <cell r="D472" t="str">
            <v>CAMP EVERS 2103</v>
          </cell>
          <cell r="E472">
            <v>55638</v>
          </cell>
          <cell r="F472" t="b">
            <v>0</v>
          </cell>
          <cell r="G472">
            <v>5639.9214551345203</v>
          </cell>
          <cell r="H472">
            <v>2949.56477920822</v>
          </cell>
        </row>
        <row r="473">
          <cell r="B473" t="str">
            <v>CAMP EVERS 210392582</v>
          </cell>
          <cell r="C473">
            <v>83622103</v>
          </cell>
          <cell r="D473" t="str">
            <v>CAMP EVERS 2103</v>
          </cell>
          <cell r="E473">
            <v>92582</v>
          </cell>
          <cell r="F473" t="b">
            <v>1</v>
          </cell>
          <cell r="G473">
            <v>4514.96483849378</v>
          </cell>
          <cell r="H473">
            <v>245.76548164965999</v>
          </cell>
        </row>
        <row r="474">
          <cell r="B474" t="str">
            <v>CAMP EVERS 2103CB</v>
          </cell>
          <cell r="C474">
            <v>83622103</v>
          </cell>
          <cell r="D474" t="str">
            <v>CAMP EVERS 2103</v>
          </cell>
          <cell r="E474" t="str">
            <v>CB</v>
          </cell>
          <cell r="F474" t="b">
            <v>1</v>
          </cell>
          <cell r="G474">
            <v>225.70117790669801</v>
          </cell>
          <cell r="H474">
            <v>190.378835595818</v>
          </cell>
        </row>
        <row r="475">
          <cell r="B475" t="str">
            <v>CAMP EVERS 210410442</v>
          </cell>
          <cell r="C475">
            <v>83622104</v>
          </cell>
          <cell r="D475" t="str">
            <v>CAMP EVERS 2104</v>
          </cell>
          <cell r="E475">
            <v>10442</v>
          </cell>
          <cell r="F475" t="b">
            <v>0</v>
          </cell>
          <cell r="G475">
            <v>16579.028659397001</v>
          </cell>
          <cell r="H475">
            <v>9105.2091980575806</v>
          </cell>
        </row>
        <row r="476">
          <cell r="B476" t="str">
            <v>CAMP EVERS 210411048</v>
          </cell>
          <cell r="C476">
            <v>83622104</v>
          </cell>
          <cell r="D476" t="str">
            <v>CAMP EVERS 2104</v>
          </cell>
          <cell r="E476">
            <v>11048</v>
          </cell>
          <cell r="F476" t="b">
            <v>0</v>
          </cell>
          <cell r="G476">
            <v>2138.5874899781202</v>
          </cell>
          <cell r="H476">
            <v>1473.7072600623301</v>
          </cell>
        </row>
        <row r="477">
          <cell r="B477" t="str">
            <v>CAMP EVERS 2104189010</v>
          </cell>
          <cell r="C477">
            <v>83622104</v>
          </cell>
          <cell r="D477" t="str">
            <v>CAMP EVERS 2104</v>
          </cell>
          <cell r="E477">
            <v>189010</v>
          </cell>
          <cell r="F477" t="b">
            <v>1</v>
          </cell>
          <cell r="G477">
            <v>84.166952941263006</v>
          </cell>
          <cell r="H477">
            <v>59.042637368357802</v>
          </cell>
        </row>
        <row r="478">
          <cell r="B478" t="str">
            <v>CAMP EVERS 2104496570</v>
          </cell>
          <cell r="C478">
            <v>83622104</v>
          </cell>
          <cell r="D478" t="str">
            <v>CAMP EVERS 2104</v>
          </cell>
          <cell r="E478">
            <v>496570</v>
          </cell>
          <cell r="F478" t="b">
            <v>1</v>
          </cell>
          <cell r="G478">
            <v>701.35374538164797</v>
          </cell>
          <cell r="H478">
            <v>389.31177955611298</v>
          </cell>
        </row>
        <row r="479">
          <cell r="B479" t="str">
            <v>CAMP EVERS 21045096</v>
          </cell>
          <cell r="C479">
            <v>83622104</v>
          </cell>
          <cell r="D479" t="str">
            <v>CAMP EVERS 2104</v>
          </cell>
          <cell r="E479">
            <v>5096</v>
          </cell>
          <cell r="F479" t="b">
            <v>0</v>
          </cell>
          <cell r="G479">
            <v>32680.7031602239</v>
          </cell>
          <cell r="H479">
            <v>32680.7031602239</v>
          </cell>
        </row>
        <row r="480">
          <cell r="B480" t="str">
            <v>CAMP EVERS 2104600529</v>
          </cell>
          <cell r="C480">
            <v>83622104</v>
          </cell>
          <cell r="D480" t="str">
            <v>CAMP EVERS 2104</v>
          </cell>
          <cell r="E480">
            <v>600529</v>
          </cell>
          <cell r="F480" t="b">
            <v>1</v>
          </cell>
          <cell r="G480">
            <v>435.41229897255698</v>
          </cell>
          <cell r="H480">
            <v>422.80480613729401</v>
          </cell>
        </row>
        <row r="481">
          <cell r="B481" t="str">
            <v>CAMP EVERS 2104710556</v>
          </cell>
          <cell r="C481">
            <v>83622104</v>
          </cell>
          <cell r="D481" t="str">
            <v>CAMP EVERS 2104</v>
          </cell>
          <cell r="E481">
            <v>710556</v>
          </cell>
          <cell r="F481" t="b">
            <v>1</v>
          </cell>
          <cell r="G481">
            <v>81.864883396571599</v>
          </cell>
          <cell r="H481">
            <v>65.862960985593105</v>
          </cell>
        </row>
        <row r="482">
          <cell r="B482" t="str">
            <v>CAMP EVERS 2104CB</v>
          </cell>
          <cell r="C482">
            <v>83622104</v>
          </cell>
          <cell r="D482" t="str">
            <v>CAMP EVERS 2104</v>
          </cell>
          <cell r="E482" t="str">
            <v>CB</v>
          </cell>
          <cell r="F482" t="b">
            <v>1</v>
          </cell>
          <cell r="G482">
            <v>5967.2939956024402</v>
          </cell>
          <cell r="H482">
            <v>629.20603251290902</v>
          </cell>
        </row>
        <row r="483">
          <cell r="B483" t="str">
            <v>CAMP EVERS 210510214</v>
          </cell>
          <cell r="C483">
            <v>83622105</v>
          </cell>
          <cell r="D483" t="str">
            <v>CAMP EVERS 2105</v>
          </cell>
          <cell r="E483">
            <v>10214</v>
          </cell>
          <cell r="F483" t="b">
            <v>0</v>
          </cell>
          <cell r="G483">
            <v>22409.585106639399</v>
          </cell>
          <cell r="H483">
            <v>22409.585106639399</v>
          </cell>
        </row>
        <row r="484">
          <cell r="B484" t="str">
            <v>CAMP EVERS 210510294</v>
          </cell>
          <cell r="C484">
            <v>83622105</v>
          </cell>
          <cell r="D484" t="str">
            <v>CAMP EVERS 2105</v>
          </cell>
          <cell r="E484">
            <v>10294</v>
          </cell>
          <cell r="F484" t="b">
            <v>0</v>
          </cell>
          <cell r="G484">
            <v>13501.993824274699</v>
          </cell>
          <cell r="H484">
            <v>13501.993824274699</v>
          </cell>
        </row>
        <row r="485">
          <cell r="B485" t="str">
            <v>CAMP EVERS 210510728</v>
          </cell>
          <cell r="C485">
            <v>83622105</v>
          </cell>
          <cell r="D485" t="str">
            <v>CAMP EVERS 2105</v>
          </cell>
          <cell r="E485">
            <v>10728</v>
          </cell>
          <cell r="F485" t="b">
            <v>0</v>
          </cell>
          <cell r="G485">
            <v>16852.118295242799</v>
          </cell>
          <cell r="H485">
            <v>16852.118295242799</v>
          </cell>
        </row>
        <row r="486">
          <cell r="B486" t="str">
            <v>CAMP EVERS 210510786</v>
          </cell>
          <cell r="C486">
            <v>83622105</v>
          </cell>
          <cell r="D486" t="str">
            <v>CAMP EVERS 2105</v>
          </cell>
          <cell r="E486">
            <v>10786</v>
          </cell>
          <cell r="F486" t="b">
            <v>0</v>
          </cell>
          <cell r="G486">
            <v>7392.1951507306403</v>
          </cell>
          <cell r="H486">
            <v>7392.1951507306403</v>
          </cell>
        </row>
        <row r="487">
          <cell r="B487" t="str">
            <v>CAMP EVERS 210510912</v>
          </cell>
          <cell r="C487">
            <v>83622105</v>
          </cell>
          <cell r="D487" t="str">
            <v>CAMP EVERS 2105</v>
          </cell>
          <cell r="E487">
            <v>10912</v>
          </cell>
          <cell r="F487" t="b">
            <v>0</v>
          </cell>
          <cell r="G487">
            <v>7824.9031816975403</v>
          </cell>
          <cell r="H487">
            <v>7824.9031816975403</v>
          </cell>
        </row>
        <row r="488">
          <cell r="B488" t="str">
            <v>CAMP EVERS 210510996</v>
          </cell>
          <cell r="C488">
            <v>83622105</v>
          </cell>
          <cell r="D488" t="str">
            <v>CAMP EVERS 2105</v>
          </cell>
          <cell r="E488">
            <v>10996</v>
          </cell>
          <cell r="F488" t="b">
            <v>0</v>
          </cell>
          <cell r="G488">
            <v>1226.20928868285</v>
          </cell>
          <cell r="H488">
            <v>1226.20928868285</v>
          </cell>
        </row>
        <row r="489">
          <cell r="B489" t="str">
            <v>CAMP EVERS 210511004</v>
          </cell>
          <cell r="C489">
            <v>83622105</v>
          </cell>
          <cell r="D489" t="str">
            <v>CAMP EVERS 2105</v>
          </cell>
          <cell r="E489">
            <v>11004</v>
          </cell>
          <cell r="F489" t="b">
            <v>0</v>
          </cell>
          <cell r="G489">
            <v>6981.3249313945298</v>
          </cell>
          <cell r="H489">
            <v>6981.3249313945298</v>
          </cell>
        </row>
        <row r="490">
          <cell r="B490" t="str">
            <v>CAMP EVERS 210511010</v>
          </cell>
          <cell r="C490">
            <v>83622105</v>
          </cell>
          <cell r="D490" t="str">
            <v>CAMP EVERS 2105</v>
          </cell>
          <cell r="E490">
            <v>11010</v>
          </cell>
          <cell r="F490" t="b">
            <v>0</v>
          </cell>
          <cell r="G490">
            <v>3501.2633808497899</v>
          </cell>
          <cell r="H490">
            <v>3501.2633808497899</v>
          </cell>
        </row>
        <row r="491">
          <cell r="B491" t="str">
            <v>CAMP EVERS 210511384</v>
          </cell>
          <cell r="C491">
            <v>83622105</v>
          </cell>
          <cell r="D491" t="str">
            <v>CAMP EVERS 2105</v>
          </cell>
          <cell r="E491">
            <v>11384</v>
          </cell>
          <cell r="F491" t="b">
            <v>0</v>
          </cell>
          <cell r="G491">
            <v>8402.4777209505992</v>
          </cell>
          <cell r="H491">
            <v>8402.4777209505992</v>
          </cell>
        </row>
        <row r="492">
          <cell r="B492" t="str">
            <v>CAMP EVERS 210512590</v>
          </cell>
          <cell r="C492">
            <v>83622105</v>
          </cell>
          <cell r="D492" t="str">
            <v>CAMP EVERS 2105</v>
          </cell>
          <cell r="E492">
            <v>12590</v>
          </cell>
          <cell r="F492" t="b">
            <v>0</v>
          </cell>
          <cell r="G492">
            <v>8818.0630998868091</v>
          </cell>
          <cell r="H492">
            <v>8233.9725506332907</v>
          </cell>
        </row>
        <row r="493">
          <cell r="B493" t="str">
            <v>CAMP EVERS 210533542</v>
          </cell>
          <cell r="C493">
            <v>83622105</v>
          </cell>
          <cell r="D493" t="str">
            <v>CAMP EVERS 2105</v>
          </cell>
          <cell r="E493">
            <v>33542</v>
          </cell>
          <cell r="F493" t="b">
            <v>0</v>
          </cell>
          <cell r="G493">
            <v>4316.4834910814998</v>
          </cell>
          <cell r="H493">
            <v>4316.4834910814998</v>
          </cell>
        </row>
        <row r="494">
          <cell r="B494" t="str">
            <v>CAMP EVERS 21055146</v>
          </cell>
          <cell r="C494">
            <v>83622105</v>
          </cell>
          <cell r="D494" t="str">
            <v>CAMP EVERS 2105</v>
          </cell>
          <cell r="E494">
            <v>5146</v>
          </cell>
          <cell r="F494" t="b">
            <v>0</v>
          </cell>
          <cell r="G494">
            <v>9534.7408451953906</v>
          </cell>
          <cell r="H494">
            <v>9534.7408451953906</v>
          </cell>
        </row>
        <row r="495">
          <cell r="B495" t="str">
            <v>CAMP EVERS 21055188</v>
          </cell>
          <cell r="C495">
            <v>83622105</v>
          </cell>
          <cell r="D495" t="str">
            <v>CAMP EVERS 2105</v>
          </cell>
          <cell r="E495">
            <v>5188</v>
          </cell>
          <cell r="F495" t="b">
            <v>0</v>
          </cell>
          <cell r="G495">
            <v>3280.6197165623798</v>
          </cell>
          <cell r="H495">
            <v>3280.6197165623798</v>
          </cell>
        </row>
        <row r="496">
          <cell r="B496" t="str">
            <v>CAMP EVERS 21055232</v>
          </cell>
          <cell r="C496">
            <v>83622105</v>
          </cell>
          <cell r="D496" t="str">
            <v>CAMP EVERS 2105</v>
          </cell>
          <cell r="E496">
            <v>5232</v>
          </cell>
          <cell r="F496" t="b">
            <v>0</v>
          </cell>
          <cell r="G496">
            <v>7264.9547204090404</v>
          </cell>
          <cell r="H496">
            <v>7264.9547204090404</v>
          </cell>
        </row>
        <row r="497">
          <cell r="B497" t="str">
            <v>CAMP EVERS 210574170</v>
          </cell>
          <cell r="C497">
            <v>83622105</v>
          </cell>
          <cell r="D497" t="str">
            <v>CAMP EVERS 2105</v>
          </cell>
          <cell r="E497">
            <v>74170</v>
          </cell>
          <cell r="F497" t="b">
            <v>0</v>
          </cell>
          <cell r="G497">
            <v>5752.9394211345498</v>
          </cell>
          <cell r="H497">
            <v>5752.9394211345498</v>
          </cell>
        </row>
        <row r="498">
          <cell r="B498" t="str">
            <v>CAMP EVERS 210584166</v>
          </cell>
          <cell r="C498">
            <v>83622105</v>
          </cell>
          <cell r="D498" t="str">
            <v>CAMP EVERS 2105</v>
          </cell>
          <cell r="E498">
            <v>84166</v>
          </cell>
          <cell r="F498" t="b">
            <v>0</v>
          </cell>
          <cell r="G498">
            <v>13898.1694173625</v>
          </cell>
          <cell r="H498">
            <v>13231.1785169093</v>
          </cell>
        </row>
        <row r="499">
          <cell r="B499" t="str">
            <v>CAMP EVERS 21059031</v>
          </cell>
          <cell r="C499">
            <v>83622105</v>
          </cell>
          <cell r="D499" t="str">
            <v>CAMP EVERS 2105</v>
          </cell>
          <cell r="E499">
            <v>9031</v>
          </cell>
          <cell r="F499" t="b">
            <v>0</v>
          </cell>
          <cell r="G499">
            <v>1741.4201266949101</v>
          </cell>
          <cell r="H499">
            <v>1741.4201266949101</v>
          </cell>
        </row>
        <row r="500">
          <cell r="B500" t="str">
            <v>CAMP EVERS 210595050</v>
          </cell>
          <cell r="C500">
            <v>83622105</v>
          </cell>
          <cell r="D500" t="str">
            <v>CAMP EVERS 2105</v>
          </cell>
          <cell r="E500">
            <v>95050</v>
          </cell>
          <cell r="F500" t="b">
            <v>1</v>
          </cell>
          <cell r="G500">
            <v>223.21173344340701</v>
          </cell>
          <cell r="H500">
            <v>223.21173344340701</v>
          </cell>
        </row>
        <row r="501">
          <cell r="B501" t="str">
            <v>CAMP EVERS 210595394</v>
          </cell>
          <cell r="C501">
            <v>83622105</v>
          </cell>
          <cell r="D501" t="str">
            <v>CAMP EVERS 2105</v>
          </cell>
          <cell r="E501">
            <v>95394</v>
          </cell>
          <cell r="F501" t="b">
            <v>1</v>
          </cell>
          <cell r="G501">
            <v>790.39424890886096</v>
          </cell>
          <cell r="H501">
            <v>790.39424890886096</v>
          </cell>
        </row>
        <row r="502">
          <cell r="B502" t="str">
            <v>CAMP EVERS 2105BL 2101</v>
          </cell>
          <cell r="C502">
            <v>83622105</v>
          </cell>
          <cell r="D502" t="str">
            <v>CAMP EVERS 2105</v>
          </cell>
          <cell r="E502" t="str">
            <v>BL 2101</v>
          </cell>
          <cell r="F502" t="b">
            <v>1</v>
          </cell>
          <cell r="G502">
            <v>5.1909618064977501</v>
          </cell>
          <cell r="H502">
            <v>5.1909618064977501</v>
          </cell>
        </row>
        <row r="503">
          <cell r="B503" t="str">
            <v>CAMP EVERS 210610718</v>
          </cell>
          <cell r="C503">
            <v>83622106</v>
          </cell>
          <cell r="D503" t="str">
            <v>CAMP EVERS 2106</v>
          </cell>
          <cell r="E503">
            <v>10718</v>
          </cell>
          <cell r="F503" t="b">
            <v>0</v>
          </cell>
          <cell r="G503">
            <v>13624.5701645604</v>
          </cell>
          <cell r="H503">
            <v>13624.5701645604</v>
          </cell>
        </row>
        <row r="504">
          <cell r="B504" t="str">
            <v>CAMP EVERS 210611006</v>
          </cell>
          <cell r="C504">
            <v>83622106</v>
          </cell>
          <cell r="D504" t="str">
            <v>CAMP EVERS 2106</v>
          </cell>
          <cell r="E504">
            <v>11006</v>
          </cell>
          <cell r="F504" t="b">
            <v>0</v>
          </cell>
          <cell r="G504">
            <v>3281.0214503664101</v>
          </cell>
          <cell r="H504">
            <v>3281.0214503664101</v>
          </cell>
        </row>
        <row r="505">
          <cell r="B505" t="str">
            <v>CAMP EVERS 210611044</v>
          </cell>
          <cell r="C505">
            <v>83622106</v>
          </cell>
          <cell r="D505" t="str">
            <v>CAMP EVERS 2106</v>
          </cell>
          <cell r="E505">
            <v>11044</v>
          </cell>
          <cell r="F505" t="b">
            <v>0</v>
          </cell>
          <cell r="G505">
            <v>19649.910468021601</v>
          </cell>
          <cell r="H505">
            <v>12291.7271539472</v>
          </cell>
        </row>
        <row r="506">
          <cell r="B506" t="str">
            <v>CAMP EVERS 210611533</v>
          </cell>
          <cell r="C506">
            <v>83622106</v>
          </cell>
          <cell r="D506" t="str">
            <v>CAMP EVERS 2106</v>
          </cell>
          <cell r="E506">
            <v>11533</v>
          </cell>
          <cell r="F506" t="b">
            <v>0</v>
          </cell>
          <cell r="G506">
            <v>4249.6595802843503</v>
          </cell>
          <cell r="H506">
            <v>4249.6595802843503</v>
          </cell>
        </row>
        <row r="507">
          <cell r="B507" t="str">
            <v>CAMP EVERS 210612518</v>
          </cell>
          <cell r="C507">
            <v>83622106</v>
          </cell>
          <cell r="D507" t="str">
            <v>CAMP EVERS 2106</v>
          </cell>
          <cell r="E507">
            <v>12518</v>
          </cell>
          <cell r="F507" t="b">
            <v>0</v>
          </cell>
          <cell r="G507">
            <v>25177.139882923198</v>
          </cell>
          <cell r="H507">
            <v>25177.139882923198</v>
          </cell>
        </row>
        <row r="508">
          <cell r="B508" t="str">
            <v>CAMP EVERS 210612760</v>
          </cell>
          <cell r="C508">
            <v>83622106</v>
          </cell>
          <cell r="D508" t="str">
            <v>CAMP EVERS 2106</v>
          </cell>
          <cell r="E508">
            <v>12760</v>
          </cell>
          <cell r="F508" t="b">
            <v>0</v>
          </cell>
          <cell r="G508">
            <v>42462.395387728197</v>
          </cell>
          <cell r="H508">
            <v>42462.395387728197</v>
          </cell>
        </row>
        <row r="509">
          <cell r="B509" t="str">
            <v>CAMP EVERS 210612840</v>
          </cell>
          <cell r="C509">
            <v>83622106</v>
          </cell>
          <cell r="D509" t="str">
            <v>CAMP EVERS 2106</v>
          </cell>
          <cell r="E509">
            <v>12840</v>
          </cell>
          <cell r="F509" t="b">
            <v>0</v>
          </cell>
          <cell r="G509">
            <v>6323.0477736489102</v>
          </cell>
          <cell r="H509">
            <v>6323.0477736489102</v>
          </cell>
        </row>
        <row r="510">
          <cell r="B510" t="str">
            <v>CAMP EVERS 210616000</v>
          </cell>
          <cell r="C510">
            <v>83622106</v>
          </cell>
          <cell r="D510" t="str">
            <v>CAMP EVERS 2106</v>
          </cell>
          <cell r="E510">
            <v>16000</v>
          </cell>
          <cell r="F510" t="b">
            <v>0</v>
          </cell>
          <cell r="G510">
            <v>6212.4720996903998</v>
          </cell>
          <cell r="H510">
            <v>3353.5944806811499</v>
          </cell>
        </row>
        <row r="511">
          <cell r="B511" t="str">
            <v>CAMP EVERS 21061625</v>
          </cell>
          <cell r="C511">
            <v>83622106</v>
          </cell>
          <cell r="D511" t="str">
            <v>CAMP EVERS 2106</v>
          </cell>
          <cell r="E511">
            <v>1625</v>
          </cell>
          <cell r="F511" t="b">
            <v>0</v>
          </cell>
          <cell r="G511">
            <v>1400.9701107112</v>
          </cell>
          <cell r="H511">
            <v>1400.9701107112</v>
          </cell>
        </row>
        <row r="512">
          <cell r="B512" t="str">
            <v>CAMP EVERS 210637210</v>
          </cell>
          <cell r="C512">
            <v>83622106</v>
          </cell>
          <cell r="D512" t="str">
            <v>CAMP EVERS 2106</v>
          </cell>
          <cell r="E512">
            <v>37210</v>
          </cell>
          <cell r="F512" t="b">
            <v>0</v>
          </cell>
          <cell r="G512">
            <v>9746.7159636392498</v>
          </cell>
          <cell r="H512">
            <v>9746.7159636392498</v>
          </cell>
        </row>
        <row r="513">
          <cell r="B513" t="str">
            <v>CAMP EVERS 21065020</v>
          </cell>
          <cell r="C513">
            <v>83622106</v>
          </cell>
          <cell r="D513" t="str">
            <v>CAMP EVERS 2106</v>
          </cell>
          <cell r="E513">
            <v>5020</v>
          </cell>
          <cell r="F513" t="b">
            <v>0</v>
          </cell>
          <cell r="G513">
            <v>24253.131400317801</v>
          </cell>
          <cell r="H513">
            <v>24253.131400317801</v>
          </cell>
        </row>
        <row r="514">
          <cell r="B514" t="str">
            <v>CAMP EVERS 21065302</v>
          </cell>
          <cell r="C514">
            <v>83622106</v>
          </cell>
          <cell r="D514" t="str">
            <v>CAMP EVERS 2106</v>
          </cell>
          <cell r="E514">
            <v>5302</v>
          </cell>
          <cell r="F514" t="b">
            <v>0</v>
          </cell>
          <cell r="G514">
            <v>9546.4932003797203</v>
          </cell>
          <cell r="H514">
            <v>9546.4932003797203</v>
          </cell>
        </row>
        <row r="515">
          <cell r="B515" t="str">
            <v>CAMP EVERS 210660120</v>
          </cell>
          <cell r="C515">
            <v>83622106</v>
          </cell>
          <cell r="D515" t="str">
            <v>CAMP EVERS 2106</v>
          </cell>
          <cell r="E515">
            <v>60120</v>
          </cell>
          <cell r="F515" t="b">
            <v>0</v>
          </cell>
          <cell r="G515">
            <v>6993.6629651317098</v>
          </cell>
          <cell r="H515">
            <v>6993.6629651317098</v>
          </cell>
        </row>
        <row r="516">
          <cell r="B516" t="str">
            <v>CAMP EVERS 210660124</v>
          </cell>
          <cell r="C516">
            <v>83622106</v>
          </cell>
          <cell r="D516" t="str">
            <v>CAMP EVERS 2106</v>
          </cell>
          <cell r="E516">
            <v>60124</v>
          </cell>
          <cell r="F516" t="b">
            <v>0</v>
          </cell>
          <cell r="G516">
            <v>36140.228192185197</v>
          </cell>
          <cell r="H516">
            <v>36140.228192185197</v>
          </cell>
        </row>
        <row r="517">
          <cell r="B517" t="str">
            <v>CAMP EVERS 21067603</v>
          </cell>
          <cell r="C517">
            <v>83622106</v>
          </cell>
          <cell r="D517" t="str">
            <v>CAMP EVERS 2106</v>
          </cell>
          <cell r="E517">
            <v>7603</v>
          </cell>
          <cell r="F517" t="b">
            <v>0</v>
          </cell>
          <cell r="G517">
            <v>1527.23063158843</v>
          </cell>
          <cell r="H517">
            <v>1527.23063158843</v>
          </cell>
        </row>
        <row r="518">
          <cell r="B518" t="str">
            <v>CAMP EVERS 2106834583</v>
          </cell>
          <cell r="C518">
            <v>83622106</v>
          </cell>
          <cell r="D518" t="str">
            <v>CAMP EVERS 2106</v>
          </cell>
          <cell r="E518">
            <v>834583</v>
          </cell>
          <cell r="F518" t="b">
            <v>1</v>
          </cell>
          <cell r="G518">
            <v>981.03293105131104</v>
          </cell>
          <cell r="H518">
            <v>981.03293105131104</v>
          </cell>
        </row>
        <row r="519">
          <cell r="B519" t="str">
            <v>CAMP EVERS 210694770</v>
          </cell>
          <cell r="C519">
            <v>83622106</v>
          </cell>
          <cell r="D519" t="str">
            <v>CAMP EVERS 2106</v>
          </cell>
          <cell r="E519">
            <v>94770</v>
          </cell>
          <cell r="F519" t="b">
            <v>0</v>
          </cell>
          <cell r="G519">
            <v>6459.16079073539</v>
          </cell>
          <cell r="H519">
            <v>3806.5671370886998</v>
          </cell>
        </row>
        <row r="520">
          <cell r="B520" t="str">
            <v>CAMP EVERS 2106CB</v>
          </cell>
          <cell r="C520">
            <v>83622106</v>
          </cell>
          <cell r="D520" t="str">
            <v>CAMP EVERS 2106</v>
          </cell>
          <cell r="E520" t="str">
            <v>CB</v>
          </cell>
          <cell r="F520" t="b">
            <v>0</v>
          </cell>
          <cell r="G520">
            <v>3786.5636551135399</v>
          </cell>
          <cell r="H520">
            <v>1101.4531690177</v>
          </cell>
        </row>
        <row r="521">
          <cell r="B521" t="str">
            <v>CAMPHORA 110122412</v>
          </cell>
          <cell r="C521">
            <v>182071101</v>
          </cell>
          <cell r="D521" t="str">
            <v>CAMPHORA 1101</v>
          </cell>
          <cell r="E521">
            <v>22412</v>
          </cell>
          <cell r="F521" t="b">
            <v>0</v>
          </cell>
          <cell r="G521">
            <v>24417.538910165302</v>
          </cell>
          <cell r="H521">
            <v>3680.7169088087298</v>
          </cell>
        </row>
        <row r="522">
          <cell r="B522" t="str">
            <v>CAMPHORA 1101613562</v>
          </cell>
          <cell r="C522">
            <v>182071101</v>
          </cell>
          <cell r="D522" t="str">
            <v>CAMPHORA 1101</v>
          </cell>
          <cell r="E522">
            <v>613562</v>
          </cell>
          <cell r="F522" t="b">
            <v>0</v>
          </cell>
          <cell r="G522">
            <v>9602.6341448904896</v>
          </cell>
          <cell r="H522">
            <v>5945.3078802898299</v>
          </cell>
        </row>
        <row r="523">
          <cell r="B523" t="str">
            <v>CARLOTTA 11214045</v>
          </cell>
          <cell r="C523">
            <v>192291121</v>
          </cell>
          <cell r="D523" t="str">
            <v>CARLOTTA 1121</v>
          </cell>
          <cell r="E523">
            <v>4045</v>
          </cell>
          <cell r="F523" t="b">
            <v>1</v>
          </cell>
          <cell r="G523">
            <v>3179.9108424569599</v>
          </cell>
          <cell r="H523">
            <v>576.10802287594697</v>
          </cell>
        </row>
        <row r="524">
          <cell r="B524" t="str">
            <v>CARLOTTA 112142896</v>
          </cell>
          <cell r="C524">
            <v>192291121</v>
          </cell>
          <cell r="D524" t="str">
            <v>CARLOTTA 1121</v>
          </cell>
          <cell r="E524">
            <v>42896</v>
          </cell>
          <cell r="F524" t="b">
            <v>0</v>
          </cell>
          <cell r="G524">
            <v>8829.7849678978</v>
          </cell>
          <cell r="H524">
            <v>3686.5968065417201</v>
          </cell>
        </row>
        <row r="525">
          <cell r="B525" t="str">
            <v>CARLOTTA 112144150</v>
          </cell>
          <cell r="C525">
            <v>192291121</v>
          </cell>
          <cell r="D525" t="str">
            <v>CARLOTTA 1121</v>
          </cell>
          <cell r="E525">
            <v>44150</v>
          </cell>
          <cell r="F525" t="b">
            <v>0</v>
          </cell>
          <cell r="G525">
            <v>5746.80820605791</v>
          </cell>
          <cell r="H525">
            <v>5746.80820605791</v>
          </cell>
        </row>
        <row r="526">
          <cell r="B526" t="str">
            <v>CARLOTTA 11214914</v>
          </cell>
          <cell r="C526">
            <v>192291121</v>
          </cell>
          <cell r="D526" t="str">
            <v>CARLOTTA 1121</v>
          </cell>
          <cell r="E526">
            <v>4914</v>
          </cell>
          <cell r="F526" t="b">
            <v>0</v>
          </cell>
          <cell r="G526">
            <v>22650.1521035517</v>
          </cell>
          <cell r="H526">
            <v>17097.447554681599</v>
          </cell>
        </row>
        <row r="527">
          <cell r="B527" t="str">
            <v>CARLOTTA 1121CB</v>
          </cell>
          <cell r="C527">
            <v>192291121</v>
          </cell>
          <cell r="D527" t="str">
            <v>CARLOTTA 1121</v>
          </cell>
          <cell r="E527" t="str">
            <v>CB</v>
          </cell>
          <cell r="F527" t="b">
            <v>0</v>
          </cell>
          <cell r="G527">
            <v>37542.253414315303</v>
          </cell>
          <cell r="H527">
            <v>4224.1485052012004</v>
          </cell>
        </row>
        <row r="528">
          <cell r="B528" t="str">
            <v>CAROLANDS 04018888</v>
          </cell>
          <cell r="C528">
            <v>24060401</v>
          </cell>
          <cell r="D528" t="str">
            <v>CAROLANDS 0401</v>
          </cell>
          <cell r="E528">
            <v>8888</v>
          </cell>
          <cell r="F528" t="b">
            <v>1</v>
          </cell>
          <cell r="G528">
            <v>2206.3606617502001</v>
          </cell>
          <cell r="H528">
            <v>0</v>
          </cell>
        </row>
        <row r="529">
          <cell r="B529" t="str">
            <v>CAROLANDS 040484797</v>
          </cell>
          <cell r="C529">
            <v>24060404</v>
          </cell>
          <cell r="D529" t="str">
            <v>CAROLANDS 0404</v>
          </cell>
          <cell r="E529">
            <v>84797</v>
          </cell>
          <cell r="F529" t="b">
            <v>1</v>
          </cell>
          <cell r="G529">
            <v>2211.5606545150999</v>
          </cell>
          <cell r="H529">
            <v>66.699533439278596</v>
          </cell>
        </row>
        <row r="530">
          <cell r="B530" t="str">
            <v>CAROLANDS 04049024</v>
          </cell>
          <cell r="C530">
            <v>24060404</v>
          </cell>
          <cell r="D530" t="str">
            <v>CAROLANDS 0404</v>
          </cell>
          <cell r="E530">
            <v>9024</v>
          </cell>
          <cell r="F530" t="b">
            <v>0</v>
          </cell>
          <cell r="G530">
            <v>6139.1911589984302</v>
          </cell>
          <cell r="H530">
            <v>5646.8014860037601</v>
          </cell>
        </row>
        <row r="531">
          <cell r="B531" t="str">
            <v>CAROLANDS 04049026</v>
          </cell>
          <cell r="C531">
            <v>24060404</v>
          </cell>
          <cell r="D531" t="str">
            <v>CAROLANDS 0404</v>
          </cell>
          <cell r="E531">
            <v>9026</v>
          </cell>
          <cell r="F531" t="b">
            <v>0</v>
          </cell>
          <cell r="G531">
            <v>8105.2329512271099</v>
          </cell>
          <cell r="H531">
            <v>1184.15093382023</v>
          </cell>
        </row>
        <row r="532">
          <cell r="B532" t="str">
            <v>CASTRO VALLEY 1102837904</v>
          </cell>
          <cell r="C532">
            <v>14091102</v>
          </cell>
          <cell r="D532" t="str">
            <v>CASTRO VALLEY 1102</v>
          </cell>
          <cell r="E532">
            <v>837904</v>
          </cell>
          <cell r="F532" t="b">
            <v>0</v>
          </cell>
          <cell r="G532">
            <v>3252.9939231040798</v>
          </cell>
          <cell r="H532">
            <v>1669.2170788429801</v>
          </cell>
        </row>
        <row r="533">
          <cell r="B533" t="str">
            <v>CASTRO VALLEY 1102MR204</v>
          </cell>
          <cell r="C533">
            <v>14091102</v>
          </cell>
          <cell r="D533" t="str">
            <v>CASTRO VALLEY 1102</v>
          </cell>
          <cell r="E533" t="str">
            <v>MR204</v>
          </cell>
          <cell r="F533" t="b">
            <v>1</v>
          </cell>
          <cell r="G533">
            <v>4739.0906948802503</v>
          </cell>
          <cell r="H533">
            <v>326.52521502906899</v>
          </cell>
        </row>
        <row r="534">
          <cell r="B534" t="str">
            <v>CASTRO VALLEY 1102MR359</v>
          </cell>
          <cell r="C534">
            <v>14091102</v>
          </cell>
          <cell r="D534" t="str">
            <v>CASTRO VALLEY 1102</v>
          </cell>
          <cell r="E534" t="str">
            <v>MR359</v>
          </cell>
          <cell r="F534" t="b">
            <v>1</v>
          </cell>
          <cell r="G534">
            <v>10891.952397220401</v>
          </cell>
          <cell r="H534">
            <v>0</v>
          </cell>
        </row>
        <row r="535">
          <cell r="B535" t="str">
            <v>CASTRO VALLEY 1105132304</v>
          </cell>
          <cell r="C535">
            <v>14091105</v>
          </cell>
          <cell r="D535" t="str">
            <v>CASTRO VALLEY 1105</v>
          </cell>
          <cell r="E535">
            <v>132304</v>
          </cell>
          <cell r="F535" t="b">
            <v>1</v>
          </cell>
          <cell r="G535">
            <v>1491.8996075085399</v>
          </cell>
          <cell r="H535">
            <v>118.663131323013</v>
          </cell>
        </row>
        <row r="536">
          <cell r="B536" t="str">
            <v>CASTRO VALLEY 1105MR201</v>
          </cell>
          <cell r="C536">
            <v>14091105</v>
          </cell>
          <cell r="D536" t="str">
            <v>CASTRO VALLEY 1105</v>
          </cell>
          <cell r="E536" t="str">
            <v>MR201</v>
          </cell>
          <cell r="F536" t="b">
            <v>0</v>
          </cell>
          <cell r="G536">
            <v>13962.3910813319</v>
          </cell>
          <cell r="H536">
            <v>2014.38878754396</v>
          </cell>
        </row>
        <row r="537">
          <cell r="B537" t="str">
            <v>CASTRO VALLEY 1105MR236</v>
          </cell>
          <cell r="C537">
            <v>14091105</v>
          </cell>
          <cell r="D537" t="str">
            <v>CASTRO VALLEY 1105</v>
          </cell>
          <cell r="E537" t="str">
            <v>MR236</v>
          </cell>
          <cell r="F537" t="b">
            <v>0</v>
          </cell>
          <cell r="G537">
            <v>13624.145104892399</v>
          </cell>
          <cell r="H537">
            <v>2212.8784028912401</v>
          </cell>
        </row>
        <row r="538">
          <cell r="B538" t="str">
            <v>CASTRO VALLEY 11088971</v>
          </cell>
          <cell r="C538">
            <v>14091108</v>
          </cell>
          <cell r="D538" t="str">
            <v>CASTRO VALLEY 1108</v>
          </cell>
          <cell r="E538">
            <v>8971</v>
          </cell>
          <cell r="F538" t="b">
            <v>0</v>
          </cell>
          <cell r="G538">
            <v>12716.2407461038</v>
          </cell>
          <cell r="H538">
            <v>12716.2407461038</v>
          </cell>
        </row>
        <row r="539">
          <cell r="B539" t="str">
            <v>CASTRO VALLEY 1108MR205</v>
          </cell>
          <cell r="C539">
            <v>14091108</v>
          </cell>
          <cell r="D539" t="str">
            <v>CASTRO VALLEY 1108</v>
          </cell>
          <cell r="E539" t="str">
            <v>MR205</v>
          </cell>
          <cell r="F539" t="b">
            <v>1</v>
          </cell>
          <cell r="G539">
            <v>8740.8691640369307</v>
          </cell>
          <cell r="H539">
            <v>0</v>
          </cell>
        </row>
        <row r="540">
          <cell r="B540" t="str">
            <v>CASTRO VALLEY 1108MR233</v>
          </cell>
          <cell r="C540">
            <v>14091108</v>
          </cell>
          <cell r="D540" t="str">
            <v>CASTRO VALLEY 1108</v>
          </cell>
          <cell r="E540" t="str">
            <v>MR233</v>
          </cell>
          <cell r="F540" t="b">
            <v>1</v>
          </cell>
          <cell r="G540">
            <v>1023.3374386975501</v>
          </cell>
          <cell r="H540">
            <v>370.94476516106101</v>
          </cell>
        </row>
        <row r="541">
          <cell r="B541" t="str">
            <v>CASTRO VALLEY 1108MR337</v>
          </cell>
          <cell r="C541">
            <v>14091108</v>
          </cell>
          <cell r="D541" t="str">
            <v>CASTRO VALLEY 1108</v>
          </cell>
          <cell r="E541" t="str">
            <v>MR337</v>
          </cell>
          <cell r="F541" t="b">
            <v>0</v>
          </cell>
          <cell r="G541">
            <v>30458.132444010502</v>
          </cell>
          <cell r="H541">
            <v>14629.5478572961</v>
          </cell>
        </row>
        <row r="542">
          <cell r="B542" t="str">
            <v>CASTRO VALLEY 111010315</v>
          </cell>
          <cell r="C542">
            <v>14091110</v>
          </cell>
          <cell r="D542" t="str">
            <v>CASTRO VALLEY 1110</v>
          </cell>
          <cell r="E542">
            <v>10315</v>
          </cell>
          <cell r="F542" t="b">
            <v>0</v>
          </cell>
          <cell r="G542">
            <v>8831.8074336886293</v>
          </cell>
          <cell r="H542">
            <v>8831.8074336886293</v>
          </cell>
        </row>
        <row r="543">
          <cell r="B543" t="str">
            <v>CASTRO VALLEY 1110264914</v>
          </cell>
          <cell r="C543">
            <v>14091110</v>
          </cell>
          <cell r="D543" t="str">
            <v>CASTRO VALLEY 1110</v>
          </cell>
          <cell r="E543">
            <v>264914</v>
          </cell>
          <cell r="F543" t="b">
            <v>0</v>
          </cell>
          <cell r="G543">
            <v>1490.2678089825399</v>
          </cell>
          <cell r="H543">
            <v>1396.6170523093699</v>
          </cell>
        </row>
        <row r="544">
          <cell r="B544" t="str">
            <v>CASTRO VALLEY 1110610800</v>
          </cell>
          <cell r="C544">
            <v>14091110</v>
          </cell>
          <cell r="D544" t="str">
            <v>CASTRO VALLEY 1110</v>
          </cell>
          <cell r="E544">
            <v>610800</v>
          </cell>
          <cell r="F544" t="b">
            <v>0</v>
          </cell>
          <cell r="G544">
            <v>4080.4254005563098</v>
          </cell>
          <cell r="H544">
            <v>3862.9952976487102</v>
          </cell>
        </row>
        <row r="545">
          <cell r="B545" t="str">
            <v>CASTRO VALLEY 1110CB</v>
          </cell>
          <cell r="C545">
            <v>14091110</v>
          </cell>
          <cell r="D545" t="str">
            <v>CASTRO VALLEY 1110</v>
          </cell>
          <cell r="E545" t="str">
            <v>CB</v>
          </cell>
          <cell r="F545" t="b">
            <v>1</v>
          </cell>
          <cell r="G545">
            <v>2059.8957316270598</v>
          </cell>
          <cell r="H545">
            <v>523.32750165575999</v>
          </cell>
        </row>
        <row r="546">
          <cell r="B546" t="str">
            <v>CASTRO VALLEY 1110MR243</v>
          </cell>
          <cell r="C546">
            <v>14091110</v>
          </cell>
          <cell r="D546" t="str">
            <v>CASTRO VALLEY 1110</v>
          </cell>
          <cell r="E546" t="str">
            <v>MR243</v>
          </cell>
          <cell r="F546" t="b">
            <v>0</v>
          </cell>
          <cell r="G546">
            <v>8929.80504482365</v>
          </cell>
          <cell r="H546">
            <v>8929.80504482365</v>
          </cell>
        </row>
        <row r="547">
          <cell r="B547" t="str">
            <v>CASTRO VALLEY 1110MR273</v>
          </cell>
          <cell r="C547">
            <v>14091110</v>
          </cell>
          <cell r="D547" t="str">
            <v>CASTRO VALLEY 1110</v>
          </cell>
          <cell r="E547" t="str">
            <v>MR273</v>
          </cell>
          <cell r="F547" t="b">
            <v>0</v>
          </cell>
          <cell r="G547">
            <v>1164.6083310070501</v>
          </cell>
          <cell r="H547">
            <v>1164.6083310070501</v>
          </cell>
        </row>
        <row r="548">
          <cell r="B548" t="str">
            <v>CASTRO VALLEY 1110MR341</v>
          </cell>
          <cell r="C548">
            <v>14091110</v>
          </cell>
          <cell r="D548" t="str">
            <v>CASTRO VALLEY 1110</v>
          </cell>
          <cell r="E548" t="str">
            <v>MR341</v>
          </cell>
          <cell r="F548" t="b">
            <v>1</v>
          </cell>
          <cell r="G548">
            <v>1045.18498456159</v>
          </cell>
          <cell r="H548">
            <v>417.22496291913598</v>
          </cell>
        </row>
        <row r="549">
          <cell r="B549" t="str">
            <v>CASTRO VALLEY 1110MR379</v>
          </cell>
          <cell r="C549">
            <v>14091110</v>
          </cell>
          <cell r="D549" t="str">
            <v>CASTRO VALLEY 1110</v>
          </cell>
          <cell r="E549" t="str">
            <v>MR379</v>
          </cell>
          <cell r="F549" t="b">
            <v>0</v>
          </cell>
          <cell r="G549">
            <v>2535.6762915720801</v>
          </cell>
          <cell r="H549">
            <v>1749.5826670270501</v>
          </cell>
        </row>
        <row r="550">
          <cell r="B550" t="str">
            <v>CASTRO VALLEY 1110MR525</v>
          </cell>
          <cell r="C550">
            <v>14091110</v>
          </cell>
          <cell r="D550" t="str">
            <v>CASTRO VALLEY 1110</v>
          </cell>
          <cell r="E550" t="str">
            <v>MR525</v>
          </cell>
          <cell r="F550" t="b">
            <v>1</v>
          </cell>
          <cell r="G550">
            <v>98.249114598337698</v>
          </cell>
          <cell r="H550">
            <v>17.883119057711799</v>
          </cell>
        </row>
        <row r="551">
          <cell r="B551" t="str">
            <v>CASTRO VALLEY 1110MR748</v>
          </cell>
          <cell r="C551">
            <v>14091110</v>
          </cell>
          <cell r="D551" t="str">
            <v>CASTRO VALLEY 1110</v>
          </cell>
          <cell r="E551" t="str">
            <v>MR748</v>
          </cell>
          <cell r="F551" t="b">
            <v>0</v>
          </cell>
          <cell r="G551">
            <v>10026.112526966301</v>
          </cell>
          <cell r="H551">
            <v>10026.112526966301</v>
          </cell>
        </row>
        <row r="552">
          <cell r="B552" t="str">
            <v>CASTRO VALLEY 1111227862</v>
          </cell>
          <cell r="C552">
            <v>14091111</v>
          </cell>
          <cell r="D552" t="str">
            <v>CASTRO VALLEY 1111</v>
          </cell>
          <cell r="E552">
            <v>227862</v>
          </cell>
          <cell r="F552" t="b">
            <v>1</v>
          </cell>
          <cell r="G552">
            <v>2810.71035243191</v>
          </cell>
          <cell r="H552">
            <v>319.33694764915703</v>
          </cell>
        </row>
        <row r="553">
          <cell r="B553" t="str">
            <v>CASTRO VALLEY 1111CB</v>
          </cell>
          <cell r="C553">
            <v>14091111</v>
          </cell>
          <cell r="D553" t="str">
            <v>CASTRO VALLEY 1111</v>
          </cell>
          <cell r="E553" t="str">
            <v>CB</v>
          </cell>
          <cell r="F553" t="b">
            <v>1</v>
          </cell>
          <cell r="G553">
            <v>1304.8231678654799</v>
          </cell>
          <cell r="H553">
            <v>357.336109842518</v>
          </cell>
        </row>
        <row r="554">
          <cell r="B554" t="str">
            <v>CASTRO VALLEY 1111MR334</v>
          </cell>
          <cell r="C554">
            <v>14091111</v>
          </cell>
          <cell r="D554" t="str">
            <v>CASTRO VALLEY 1111</v>
          </cell>
          <cell r="E554" t="str">
            <v>MR334</v>
          </cell>
          <cell r="F554" t="b">
            <v>0</v>
          </cell>
          <cell r="G554">
            <v>9742.4846331495901</v>
          </cell>
          <cell r="H554">
            <v>9116.5948687837608</v>
          </cell>
        </row>
        <row r="555">
          <cell r="B555" t="str">
            <v>CASTROVILLE 210436922</v>
          </cell>
          <cell r="C555">
            <v>182352104</v>
          </cell>
          <cell r="D555" t="str">
            <v>CASTROVILLE 2104</v>
          </cell>
          <cell r="E555">
            <v>36922</v>
          </cell>
          <cell r="F555" t="b">
            <v>1</v>
          </cell>
          <cell r="G555">
            <v>8825.2122838623709</v>
          </cell>
          <cell r="H555">
            <v>0</v>
          </cell>
        </row>
        <row r="556">
          <cell r="B556" t="str">
            <v>CAYETANO 2109884904</v>
          </cell>
          <cell r="C556">
            <v>14422109</v>
          </cell>
          <cell r="D556" t="str">
            <v>CAYETANO 2109</v>
          </cell>
          <cell r="E556">
            <v>884904</v>
          </cell>
          <cell r="F556" t="b">
            <v>0</v>
          </cell>
          <cell r="G556">
            <v>18739.601567048499</v>
          </cell>
          <cell r="H556">
            <v>18723.681645350502</v>
          </cell>
        </row>
        <row r="557">
          <cell r="B557" t="str">
            <v>CAYETANO 21099504</v>
          </cell>
          <cell r="C557">
            <v>14422109</v>
          </cell>
          <cell r="D557" t="str">
            <v>CAYETANO 2109</v>
          </cell>
          <cell r="E557">
            <v>9504</v>
          </cell>
          <cell r="F557" t="b">
            <v>0</v>
          </cell>
          <cell r="G557">
            <v>23288.556144891601</v>
          </cell>
          <cell r="H557">
            <v>23283.869875367502</v>
          </cell>
        </row>
        <row r="558">
          <cell r="B558" t="str">
            <v>CAYETANO 2109CB</v>
          </cell>
          <cell r="C558">
            <v>14422109</v>
          </cell>
          <cell r="D558" t="str">
            <v>CAYETANO 2109</v>
          </cell>
          <cell r="E558" t="str">
            <v>CB</v>
          </cell>
          <cell r="F558" t="b">
            <v>0</v>
          </cell>
          <cell r="G558">
            <v>8828.3789216315108</v>
          </cell>
          <cell r="H558">
            <v>2269.8171523063602</v>
          </cell>
        </row>
        <row r="559">
          <cell r="B559" t="str">
            <v>CAYETANO 2109MR186</v>
          </cell>
          <cell r="C559">
            <v>14422109</v>
          </cell>
          <cell r="D559" t="str">
            <v>CAYETANO 2109</v>
          </cell>
          <cell r="E559" t="str">
            <v>MR186</v>
          </cell>
          <cell r="F559" t="b">
            <v>1</v>
          </cell>
          <cell r="G559">
            <v>4135.7533399501999</v>
          </cell>
          <cell r="H559">
            <v>818.88370372120403</v>
          </cell>
        </row>
        <row r="560">
          <cell r="B560" t="str">
            <v>CAYETANO 2109MR572</v>
          </cell>
          <cell r="C560">
            <v>14422109</v>
          </cell>
          <cell r="D560" t="str">
            <v>CAYETANO 2109</v>
          </cell>
          <cell r="E560" t="str">
            <v>MR572</v>
          </cell>
          <cell r="F560" t="b">
            <v>0</v>
          </cell>
          <cell r="G560">
            <v>19863.5833336627</v>
          </cell>
          <cell r="H560">
            <v>13342.820790453599</v>
          </cell>
        </row>
        <row r="561">
          <cell r="B561" t="str">
            <v>CAYETANO 2111389190</v>
          </cell>
          <cell r="C561">
            <v>14422111</v>
          </cell>
          <cell r="D561" t="str">
            <v>CAYETANO 2111</v>
          </cell>
          <cell r="E561">
            <v>389190</v>
          </cell>
          <cell r="F561" t="b">
            <v>0</v>
          </cell>
          <cell r="G561">
            <v>4452.7835078260896</v>
          </cell>
          <cell r="H561">
            <v>3542.8058467170999</v>
          </cell>
        </row>
        <row r="562">
          <cell r="B562" t="str">
            <v>CAYETANO 2111CB</v>
          </cell>
          <cell r="C562">
            <v>14422111</v>
          </cell>
          <cell r="D562" t="str">
            <v>CAYETANO 2111</v>
          </cell>
          <cell r="E562" t="str">
            <v>CB</v>
          </cell>
          <cell r="F562" t="b">
            <v>0</v>
          </cell>
          <cell r="G562">
            <v>14665.156543299499</v>
          </cell>
          <cell r="H562">
            <v>5449.7895714079996</v>
          </cell>
        </row>
        <row r="563">
          <cell r="B563" t="str">
            <v>CAYUCOS 11014701</v>
          </cell>
          <cell r="C563">
            <v>182551101</v>
          </cell>
          <cell r="D563" t="str">
            <v>CAYUCOS 1101</v>
          </cell>
          <cell r="E563">
            <v>4701</v>
          </cell>
          <cell r="F563" t="b">
            <v>0</v>
          </cell>
          <cell r="G563">
            <v>14095.959872609599</v>
          </cell>
          <cell r="H563">
            <v>3388.7478391806699</v>
          </cell>
        </row>
        <row r="564">
          <cell r="B564" t="str">
            <v>CAYUCOS 1102317156</v>
          </cell>
          <cell r="C564">
            <v>182551102</v>
          </cell>
          <cell r="D564" t="str">
            <v>CAYUCOS 1102</v>
          </cell>
          <cell r="E564">
            <v>317156</v>
          </cell>
          <cell r="F564" t="b">
            <v>0</v>
          </cell>
          <cell r="G564">
            <v>18303.2443272778</v>
          </cell>
          <cell r="H564">
            <v>3816.3109876356598</v>
          </cell>
        </row>
        <row r="565">
          <cell r="B565" t="str">
            <v>CAYUCOS 1102613456</v>
          </cell>
          <cell r="C565">
            <v>182551102</v>
          </cell>
          <cell r="D565" t="str">
            <v>CAYUCOS 1102</v>
          </cell>
          <cell r="E565">
            <v>613456</v>
          </cell>
          <cell r="F565" t="b">
            <v>0</v>
          </cell>
          <cell r="G565">
            <v>38029.461120465603</v>
          </cell>
          <cell r="H565">
            <v>21637.064411255</v>
          </cell>
        </row>
        <row r="566">
          <cell r="B566" t="str">
            <v>CAYUCOS 1102CB</v>
          </cell>
          <cell r="C566">
            <v>182551102</v>
          </cell>
          <cell r="D566" t="str">
            <v>CAYUCOS 1102</v>
          </cell>
          <cell r="E566" t="str">
            <v>CB</v>
          </cell>
          <cell r="F566" t="b">
            <v>1</v>
          </cell>
          <cell r="G566">
            <v>8504.0552625054006</v>
          </cell>
          <cell r="H566">
            <v>0</v>
          </cell>
        </row>
        <row r="567">
          <cell r="B567" t="str">
            <v>CEDAR CREEK 11011362</v>
          </cell>
          <cell r="C567">
            <v>103321101</v>
          </cell>
          <cell r="D567" t="str">
            <v>CEDAR CREEK 1101</v>
          </cell>
          <cell r="E567">
            <v>1362</v>
          </cell>
          <cell r="F567" t="b">
            <v>1</v>
          </cell>
          <cell r="G567">
            <v>24.951411183958601</v>
          </cell>
          <cell r="H567">
            <v>24.951411183958601</v>
          </cell>
        </row>
        <row r="568">
          <cell r="B568" t="str">
            <v>CEDAR CREEK 11011608</v>
          </cell>
          <cell r="C568">
            <v>103321101</v>
          </cell>
          <cell r="D568" t="str">
            <v>CEDAR CREEK 1101</v>
          </cell>
          <cell r="E568">
            <v>1608</v>
          </cell>
          <cell r="F568" t="b">
            <v>0</v>
          </cell>
          <cell r="G568">
            <v>53827.5719390132</v>
          </cell>
          <cell r="H568">
            <v>53827.5719390132</v>
          </cell>
        </row>
        <row r="569">
          <cell r="B569" t="str">
            <v>CEDAR CREEK 11011656</v>
          </cell>
          <cell r="C569">
            <v>103321101</v>
          </cell>
          <cell r="D569" t="str">
            <v>CEDAR CREEK 1101</v>
          </cell>
          <cell r="E569">
            <v>1656</v>
          </cell>
          <cell r="F569" t="b">
            <v>0</v>
          </cell>
          <cell r="G569">
            <v>51859.327133335501</v>
          </cell>
          <cell r="H569">
            <v>51859.327133335501</v>
          </cell>
        </row>
        <row r="570">
          <cell r="B570" t="str">
            <v>CEDAR CREEK 11011664</v>
          </cell>
          <cell r="C570">
            <v>103321101</v>
          </cell>
          <cell r="D570" t="str">
            <v>CEDAR CREEK 1101</v>
          </cell>
          <cell r="E570">
            <v>1664</v>
          </cell>
          <cell r="F570" t="b">
            <v>0</v>
          </cell>
          <cell r="G570">
            <v>47581.291844954503</v>
          </cell>
          <cell r="H570">
            <v>47581.291844954503</v>
          </cell>
        </row>
        <row r="571">
          <cell r="B571" t="str">
            <v>CEDAR CREEK 1101451856</v>
          </cell>
          <cell r="C571">
            <v>103321101</v>
          </cell>
          <cell r="D571" t="str">
            <v>CEDAR CREEK 1101</v>
          </cell>
          <cell r="E571">
            <v>451856</v>
          </cell>
          <cell r="F571" t="b">
            <v>1</v>
          </cell>
          <cell r="G571">
            <v>105.14702036552799</v>
          </cell>
          <cell r="H571">
            <v>105.14702036552799</v>
          </cell>
        </row>
        <row r="572">
          <cell r="B572" t="str">
            <v>CEDAR CREEK 1101CB</v>
          </cell>
          <cell r="C572">
            <v>103321101</v>
          </cell>
          <cell r="D572" t="str">
            <v>CEDAR CREEK 1101</v>
          </cell>
          <cell r="E572" t="str">
            <v>CB</v>
          </cell>
          <cell r="F572" t="b">
            <v>0</v>
          </cell>
          <cell r="G572">
            <v>24813.827383408501</v>
          </cell>
          <cell r="H572">
            <v>24813.827383408501</v>
          </cell>
        </row>
        <row r="573">
          <cell r="B573" t="str">
            <v>CHALLENGE 110113026</v>
          </cell>
          <cell r="C573">
            <v>103201101</v>
          </cell>
          <cell r="D573" t="str">
            <v>CHALLENGE 1101</v>
          </cell>
          <cell r="E573">
            <v>13026</v>
          </cell>
          <cell r="F573" t="b">
            <v>0</v>
          </cell>
          <cell r="G573">
            <v>12912.9615297891</v>
          </cell>
          <cell r="H573">
            <v>12912.9615297891</v>
          </cell>
        </row>
        <row r="574">
          <cell r="B574" t="str">
            <v>CHALLENGE 11015460</v>
          </cell>
          <cell r="C574">
            <v>103201101</v>
          </cell>
          <cell r="D574" t="str">
            <v>CHALLENGE 1101</v>
          </cell>
          <cell r="E574">
            <v>5460</v>
          </cell>
          <cell r="F574" t="b">
            <v>0</v>
          </cell>
          <cell r="G574">
            <v>18980.33721596</v>
          </cell>
          <cell r="H574">
            <v>18980.33721596</v>
          </cell>
        </row>
        <row r="575">
          <cell r="B575" t="str">
            <v>CHALLENGE 110198174</v>
          </cell>
          <cell r="C575">
            <v>103201101</v>
          </cell>
          <cell r="D575" t="str">
            <v>CHALLENGE 1101</v>
          </cell>
          <cell r="E575">
            <v>98174</v>
          </cell>
          <cell r="F575" t="b">
            <v>0</v>
          </cell>
          <cell r="G575">
            <v>19681.588080109799</v>
          </cell>
          <cell r="H575">
            <v>19681.588080109799</v>
          </cell>
        </row>
        <row r="576">
          <cell r="B576" t="str">
            <v>CHALLENGE 1101CB</v>
          </cell>
          <cell r="C576">
            <v>103201101</v>
          </cell>
          <cell r="D576" t="str">
            <v>CHALLENGE 1101</v>
          </cell>
          <cell r="E576" t="str">
            <v>CB</v>
          </cell>
          <cell r="F576" t="b">
            <v>0</v>
          </cell>
          <cell r="G576">
            <v>26652.3350619497</v>
          </cell>
          <cell r="H576">
            <v>26652.3350619497</v>
          </cell>
        </row>
        <row r="577">
          <cell r="B577" t="str">
            <v>CHALLENGE 11021064</v>
          </cell>
          <cell r="C577">
            <v>103201102</v>
          </cell>
          <cell r="D577" t="str">
            <v>CHALLENGE 1102</v>
          </cell>
          <cell r="E577">
            <v>1064</v>
          </cell>
          <cell r="F577" t="b">
            <v>0</v>
          </cell>
          <cell r="G577">
            <v>31650.742211544799</v>
          </cell>
          <cell r="H577">
            <v>31650.742211544799</v>
          </cell>
        </row>
        <row r="578">
          <cell r="B578" t="str">
            <v>CHALLENGE 11021902</v>
          </cell>
          <cell r="C578">
            <v>103201102</v>
          </cell>
          <cell r="D578" t="str">
            <v>CHALLENGE 1102</v>
          </cell>
          <cell r="E578">
            <v>1902</v>
          </cell>
          <cell r="F578" t="b">
            <v>0</v>
          </cell>
          <cell r="G578">
            <v>7840.3137636362299</v>
          </cell>
          <cell r="H578">
            <v>7840.3137636362299</v>
          </cell>
        </row>
        <row r="579">
          <cell r="B579" t="str">
            <v>CHALLENGE 11025462</v>
          </cell>
          <cell r="C579">
            <v>103201102</v>
          </cell>
          <cell r="D579" t="str">
            <v>CHALLENGE 1102</v>
          </cell>
          <cell r="E579">
            <v>5462</v>
          </cell>
          <cell r="F579" t="b">
            <v>0</v>
          </cell>
          <cell r="G579">
            <v>37447.090528612702</v>
          </cell>
          <cell r="H579">
            <v>37447.090528612702</v>
          </cell>
        </row>
        <row r="580">
          <cell r="B580" t="str">
            <v>CHALLENGE 1102CB</v>
          </cell>
          <cell r="C580">
            <v>103201102</v>
          </cell>
          <cell r="D580" t="str">
            <v>CHALLENGE 1102</v>
          </cell>
          <cell r="E580" t="str">
            <v>CB</v>
          </cell>
          <cell r="F580" t="b">
            <v>0</v>
          </cell>
          <cell r="G580">
            <v>24644.898030650402</v>
          </cell>
          <cell r="H580">
            <v>24644.898030650402</v>
          </cell>
        </row>
        <row r="581">
          <cell r="B581" t="str">
            <v>CHESTER 1101656108</v>
          </cell>
          <cell r="C581">
            <v>103181101</v>
          </cell>
          <cell r="D581" t="str">
            <v>CHESTER 1101</v>
          </cell>
          <cell r="E581">
            <v>656108</v>
          </cell>
          <cell r="F581" t="b">
            <v>1</v>
          </cell>
          <cell r="G581">
            <v>1195.09843493824</v>
          </cell>
          <cell r="H581">
            <v>838.70965092282995</v>
          </cell>
        </row>
        <row r="582">
          <cell r="B582" t="str">
            <v>CHESTER 1101922138</v>
          </cell>
          <cell r="C582">
            <v>103181101</v>
          </cell>
          <cell r="D582" t="str">
            <v>CHESTER 1101</v>
          </cell>
          <cell r="E582">
            <v>922138</v>
          </cell>
          <cell r="F582" t="b">
            <v>0</v>
          </cell>
          <cell r="G582">
            <v>3566.8479618290198</v>
          </cell>
          <cell r="H582">
            <v>2524.6385713623999</v>
          </cell>
        </row>
        <row r="583">
          <cell r="B583" t="str">
            <v>CHESTER 1101CB</v>
          </cell>
          <cell r="C583">
            <v>103181101</v>
          </cell>
          <cell r="D583" t="str">
            <v>CHESTER 1101</v>
          </cell>
          <cell r="E583" t="str">
            <v>CB</v>
          </cell>
          <cell r="F583" t="b">
            <v>1</v>
          </cell>
          <cell r="G583">
            <v>8238.19532421228</v>
          </cell>
          <cell r="H583">
            <v>128.958819831662</v>
          </cell>
        </row>
        <row r="584">
          <cell r="B584" t="str">
            <v>CHESTER 11022564</v>
          </cell>
          <cell r="C584">
            <v>103181102</v>
          </cell>
          <cell r="D584" t="str">
            <v>CHESTER 1102</v>
          </cell>
          <cell r="E584">
            <v>2564</v>
          </cell>
          <cell r="F584" t="b">
            <v>0</v>
          </cell>
          <cell r="G584">
            <v>3603.0113546471698</v>
          </cell>
          <cell r="H584">
            <v>3598.4394055697098</v>
          </cell>
        </row>
        <row r="585">
          <cell r="B585" t="str">
            <v>CHESTER 1102546744</v>
          </cell>
          <cell r="C585">
            <v>103181102</v>
          </cell>
          <cell r="D585" t="str">
            <v>CHESTER 1102</v>
          </cell>
          <cell r="E585">
            <v>546744</v>
          </cell>
          <cell r="F585" t="b">
            <v>1</v>
          </cell>
          <cell r="G585">
            <v>633.17158732645305</v>
          </cell>
          <cell r="H585">
            <v>428.86959234612402</v>
          </cell>
        </row>
        <row r="586">
          <cell r="B586" t="str">
            <v>CHESTER 1102CB</v>
          </cell>
          <cell r="C586">
            <v>103181102</v>
          </cell>
          <cell r="D586" t="str">
            <v>CHESTER 1102</v>
          </cell>
          <cell r="E586" t="str">
            <v>CB</v>
          </cell>
          <cell r="F586" t="b">
            <v>1</v>
          </cell>
          <cell r="G586">
            <v>4463.0648328058996</v>
          </cell>
          <cell r="H586">
            <v>40.296633360899598</v>
          </cell>
        </row>
        <row r="587">
          <cell r="B587" t="str">
            <v>CHOLAME 21025597</v>
          </cell>
          <cell r="C587">
            <v>182562102</v>
          </cell>
          <cell r="D587" t="str">
            <v>CHOLAME 2102</v>
          </cell>
          <cell r="E587">
            <v>5597</v>
          </cell>
          <cell r="F587" t="b">
            <v>0</v>
          </cell>
          <cell r="G587">
            <v>8229.9237633319699</v>
          </cell>
          <cell r="H587">
            <v>8229.9237633319699</v>
          </cell>
        </row>
        <row r="588">
          <cell r="B588" t="str">
            <v>CHOLAME 2102796386</v>
          </cell>
          <cell r="C588">
            <v>182562102</v>
          </cell>
          <cell r="D588" t="str">
            <v>CHOLAME 2102</v>
          </cell>
          <cell r="E588">
            <v>796386</v>
          </cell>
          <cell r="F588" t="b">
            <v>0</v>
          </cell>
          <cell r="G588">
            <v>64232.668313602102</v>
          </cell>
          <cell r="H588">
            <v>57391.975309308997</v>
          </cell>
        </row>
        <row r="589">
          <cell r="B589" t="str">
            <v>CHOLAME 2102X06</v>
          </cell>
          <cell r="C589">
            <v>182562102</v>
          </cell>
          <cell r="D589" t="str">
            <v>CHOLAME 2102</v>
          </cell>
          <cell r="E589" t="str">
            <v>X06</v>
          </cell>
          <cell r="F589" t="b">
            <v>1</v>
          </cell>
          <cell r="G589">
            <v>20798.495138115799</v>
          </cell>
          <cell r="H589">
            <v>651.95781180435802</v>
          </cell>
        </row>
        <row r="590">
          <cell r="B590" t="str">
            <v>CHOLAME 2102X10</v>
          </cell>
          <cell r="C590">
            <v>182562102</v>
          </cell>
          <cell r="D590" t="str">
            <v>CHOLAME 2102</v>
          </cell>
          <cell r="E590" t="str">
            <v>X10</v>
          </cell>
          <cell r="F590" t="b">
            <v>0</v>
          </cell>
          <cell r="G590">
            <v>70912.219171572404</v>
          </cell>
          <cell r="H590">
            <v>34475.595952534401</v>
          </cell>
        </row>
        <row r="591">
          <cell r="B591" t="str">
            <v>CLARK ROAD 1101CB</v>
          </cell>
          <cell r="C591">
            <v>103091101</v>
          </cell>
          <cell r="D591" t="str">
            <v>CLARK ROAD 1101</v>
          </cell>
          <cell r="E591" t="str">
            <v>CB</v>
          </cell>
          <cell r="F591" t="b">
            <v>1</v>
          </cell>
          <cell r="G591">
            <v>33.321477624685201</v>
          </cell>
          <cell r="H591">
            <v>28.7494504816272</v>
          </cell>
        </row>
        <row r="592">
          <cell r="B592" t="str">
            <v>CLARK ROAD 11022044</v>
          </cell>
          <cell r="C592">
            <v>103091102</v>
          </cell>
          <cell r="D592" t="str">
            <v>CLARK ROAD 1102</v>
          </cell>
          <cell r="E592">
            <v>2044</v>
          </cell>
          <cell r="F592" t="b">
            <v>0</v>
          </cell>
          <cell r="G592">
            <v>20271.696127057301</v>
          </cell>
          <cell r="H592">
            <v>13688.9230116489</v>
          </cell>
        </row>
        <row r="593">
          <cell r="B593" t="str">
            <v>CLARK ROAD 11022068</v>
          </cell>
          <cell r="C593">
            <v>103091102</v>
          </cell>
          <cell r="D593" t="str">
            <v>CLARK ROAD 1102</v>
          </cell>
          <cell r="E593">
            <v>2068</v>
          </cell>
          <cell r="F593" t="b">
            <v>0</v>
          </cell>
          <cell r="G593">
            <v>17517.326390722399</v>
          </cell>
          <cell r="H593">
            <v>17517.326390722399</v>
          </cell>
        </row>
        <row r="594">
          <cell r="B594" t="str">
            <v>CLARK ROAD 11022070</v>
          </cell>
          <cell r="C594">
            <v>103091102</v>
          </cell>
          <cell r="D594" t="str">
            <v>CLARK ROAD 1102</v>
          </cell>
          <cell r="E594">
            <v>2070</v>
          </cell>
          <cell r="F594" t="b">
            <v>0</v>
          </cell>
          <cell r="G594">
            <v>15059.4590551693</v>
          </cell>
          <cell r="H594">
            <v>14786.622191213801</v>
          </cell>
        </row>
        <row r="595">
          <cell r="B595" t="str">
            <v>CLARK ROAD 11022094</v>
          </cell>
          <cell r="C595">
            <v>103091102</v>
          </cell>
          <cell r="D595" t="str">
            <v>CLARK ROAD 1102</v>
          </cell>
          <cell r="E595">
            <v>2094</v>
          </cell>
          <cell r="F595" t="b">
            <v>0</v>
          </cell>
          <cell r="G595">
            <v>5517.0419437955097</v>
          </cell>
          <cell r="H595">
            <v>5517.0419437955097</v>
          </cell>
        </row>
        <row r="596">
          <cell r="B596" t="str">
            <v>CLARK ROAD 11022582</v>
          </cell>
          <cell r="C596">
            <v>103091102</v>
          </cell>
          <cell r="D596" t="str">
            <v>CLARK ROAD 1102</v>
          </cell>
          <cell r="E596">
            <v>2582</v>
          </cell>
          <cell r="F596" t="b">
            <v>0</v>
          </cell>
          <cell r="G596">
            <v>33578.7100276454</v>
          </cell>
          <cell r="H596">
            <v>32011.0942691253</v>
          </cell>
        </row>
        <row r="597">
          <cell r="B597" t="str">
            <v>CLARK ROAD 11022584</v>
          </cell>
          <cell r="C597">
            <v>103091102</v>
          </cell>
          <cell r="D597" t="str">
            <v>CLARK ROAD 1102</v>
          </cell>
          <cell r="E597">
            <v>2584</v>
          </cell>
          <cell r="F597" t="b">
            <v>0</v>
          </cell>
          <cell r="G597">
            <v>15108.9141306116</v>
          </cell>
          <cell r="H597">
            <v>14615.318366822699</v>
          </cell>
        </row>
        <row r="598">
          <cell r="B598" t="str">
            <v>CLARK ROAD 110247006</v>
          </cell>
          <cell r="C598">
            <v>103091102</v>
          </cell>
          <cell r="D598" t="str">
            <v>CLARK ROAD 1102</v>
          </cell>
          <cell r="E598">
            <v>47006</v>
          </cell>
          <cell r="F598" t="b">
            <v>0</v>
          </cell>
          <cell r="G598">
            <v>7194.66401549681</v>
          </cell>
          <cell r="H598">
            <v>7194.66401549681</v>
          </cell>
        </row>
        <row r="599">
          <cell r="B599" t="str">
            <v>CLARK ROAD 110281296</v>
          </cell>
          <cell r="C599">
            <v>103091102</v>
          </cell>
          <cell r="D599" t="str">
            <v>CLARK ROAD 1102</v>
          </cell>
          <cell r="E599">
            <v>81296</v>
          </cell>
          <cell r="F599" t="b">
            <v>0</v>
          </cell>
          <cell r="G599">
            <v>24680.733585422498</v>
          </cell>
          <cell r="H599">
            <v>17571.051087090102</v>
          </cell>
        </row>
        <row r="600">
          <cell r="B600" t="str">
            <v>CLARK ROAD 110290548</v>
          </cell>
          <cell r="C600">
            <v>103091102</v>
          </cell>
          <cell r="D600" t="str">
            <v>CLARK ROAD 1102</v>
          </cell>
          <cell r="E600">
            <v>90548</v>
          </cell>
          <cell r="F600" t="b">
            <v>0</v>
          </cell>
          <cell r="G600">
            <v>28870.492497245799</v>
          </cell>
          <cell r="H600">
            <v>28870.492497245799</v>
          </cell>
        </row>
        <row r="601">
          <cell r="B601" t="str">
            <v>CLARK ROAD 110292622</v>
          </cell>
          <cell r="C601">
            <v>103091102</v>
          </cell>
          <cell r="D601" t="str">
            <v>CLARK ROAD 1102</v>
          </cell>
          <cell r="E601">
            <v>92622</v>
          </cell>
          <cell r="F601" t="b">
            <v>0</v>
          </cell>
          <cell r="G601">
            <v>50349.375570402299</v>
          </cell>
          <cell r="H601">
            <v>50311.053457047499</v>
          </cell>
        </row>
        <row r="602">
          <cell r="B602" t="str">
            <v>CLARK ROAD 1102CB</v>
          </cell>
          <cell r="C602">
            <v>103091102</v>
          </cell>
          <cell r="D602" t="str">
            <v>CLARK ROAD 1102</v>
          </cell>
          <cell r="E602" t="str">
            <v>CB</v>
          </cell>
          <cell r="F602" t="b">
            <v>0</v>
          </cell>
          <cell r="G602">
            <v>2444.9029489067402</v>
          </cell>
          <cell r="H602">
            <v>1435.1004763123599</v>
          </cell>
        </row>
        <row r="603">
          <cell r="B603" t="str">
            <v>CLARKSVILLE 210319572</v>
          </cell>
          <cell r="C603">
            <v>153612103</v>
          </cell>
          <cell r="D603" t="str">
            <v>CLARKSVILLE 2103</v>
          </cell>
          <cell r="E603">
            <v>19572</v>
          </cell>
          <cell r="F603" t="b">
            <v>1</v>
          </cell>
          <cell r="G603">
            <v>4463.6596355910597</v>
          </cell>
          <cell r="H603">
            <v>595.37940167895897</v>
          </cell>
        </row>
        <row r="604">
          <cell r="B604" t="str">
            <v>CLARKSVILLE 2103593454</v>
          </cell>
          <cell r="C604">
            <v>153612103</v>
          </cell>
          <cell r="D604" t="str">
            <v>CLARKSVILLE 2103</v>
          </cell>
          <cell r="E604">
            <v>593454</v>
          </cell>
          <cell r="F604" t="b">
            <v>0</v>
          </cell>
          <cell r="G604">
            <v>65282.8122729643</v>
          </cell>
          <cell r="H604">
            <v>51502.824136269403</v>
          </cell>
        </row>
        <row r="605">
          <cell r="B605" t="str">
            <v>CLARKSVILLE 210413352</v>
          </cell>
          <cell r="C605">
            <v>153612104</v>
          </cell>
          <cell r="D605" t="str">
            <v>CLARKSVILLE 2104</v>
          </cell>
          <cell r="E605">
            <v>13352</v>
          </cell>
          <cell r="F605" t="b">
            <v>0</v>
          </cell>
          <cell r="G605">
            <v>58907.874252879803</v>
          </cell>
          <cell r="H605">
            <v>55896.818973937698</v>
          </cell>
        </row>
        <row r="606">
          <cell r="B606" t="str">
            <v>CLARKSVILLE 210419632</v>
          </cell>
          <cell r="C606">
            <v>153612104</v>
          </cell>
          <cell r="D606" t="str">
            <v>CLARKSVILLE 2104</v>
          </cell>
          <cell r="E606">
            <v>19632</v>
          </cell>
          <cell r="F606" t="b">
            <v>0</v>
          </cell>
          <cell r="G606">
            <v>14659.9971342842</v>
          </cell>
          <cell r="H606">
            <v>8997.9267933010797</v>
          </cell>
        </row>
        <row r="607">
          <cell r="B607" t="str">
            <v>CLARKSVILLE 210419772</v>
          </cell>
          <cell r="C607">
            <v>153612104</v>
          </cell>
          <cell r="D607" t="str">
            <v>CLARKSVILLE 2104</v>
          </cell>
          <cell r="E607">
            <v>19772</v>
          </cell>
          <cell r="F607" t="b">
            <v>0</v>
          </cell>
          <cell r="G607">
            <v>29712.158233440601</v>
          </cell>
          <cell r="H607">
            <v>28840.3765198855</v>
          </cell>
        </row>
        <row r="608">
          <cell r="B608" t="str">
            <v>CLARKSVILLE 2104CB</v>
          </cell>
          <cell r="C608">
            <v>153612104</v>
          </cell>
          <cell r="D608" t="str">
            <v>CLARKSVILLE 2104</v>
          </cell>
          <cell r="E608" t="str">
            <v>CB</v>
          </cell>
          <cell r="F608" t="b">
            <v>0</v>
          </cell>
          <cell r="G608">
            <v>16489.2316908826</v>
          </cell>
          <cell r="H608">
            <v>14163.7600115818</v>
          </cell>
        </row>
        <row r="609">
          <cell r="B609" t="str">
            <v>CLARKSVILLE 210551478</v>
          </cell>
          <cell r="C609">
            <v>153612105</v>
          </cell>
          <cell r="D609" t="str">
            <v>CLARKSVILLE 2105</v>
          </cell>
          <cell r="E609">
            <v>51478</v>
          </cell>
          <cell r="F609" t="b">
            <v>1</v>
          </cell>
          <cell r="G609">
            <v>90.198029257642801</v>
          </cell>
          <cell r="H609">
            <v>81.054078363005999</v>
          </cell>
        </row>
        <row r="610">
          <cell r="B610" t="str">
            <v>CLARKSVILLE 210575884</v>
          </cell>
          <cell r="C610">
            <v>153612105</v>
          </cell>
          <cell r="D610" t="str">
            <v>CLARKSVILLE 2105</v>
          </cell>
          <cell r="E610">
            <v>75884</v>
          </cell>
          <cell r="F610" t="b">
            <v>0</v>
          </cell>
          <cell r="G610">
            <v>18035.327469370801</v>
          </cell>
          <cell r="H610">
            <v>17165.494278399899</v>
          </cell>
        </row>
        <row r="611">
          <cell r="B611" t="str">
            <v>CLARKSVILLE 2105CB</v>
          </cell>
          <cell r="C611">
            <v>153612105</v>
          </cell>
          <cell r="D611" t="str">
            <v>CLARKSVILLE 2105</v>
          </cell>
          <cell r="E611" t="str">
            <v>CB</v>
          </cell>
          <cell r="F611" t="b">
            <v>0</v>
          </cell>
          <cell r="G611">
            <v>1481.3738175298899</v>
          </cell>
          <cell r="H611">
            <v>1293.9429675019001</v>
          </cell>
        </row>
        <row r="612">
          <cell r="B612" t="str">
            <v>CLARKSVILLE 210619642</v>
          </cell>
          <cell r="C612">
            <v>153612106</v>
          </cell>
          <cell r="D612" t="str">
            <v>CLARKSVILLE 2106</v>
          </cell>
          <cell r="E612">
            <v>19642</v>
          </cell>
          <cell r="F612" t="b">
            <v>0</v>
          </cell>
          <cell r="G612">
            <v>2579.2739382392701</v>
          </cell>
          <cell r="H612">
            <v>1246.43993908021</v>
          </cell>
        </row>
        <row r="613">
          <cell r="B613" t="str">
            <v>CLARKSVILLE 2106CB</v>
          </cell>
          <cell r="C613">
            <v>153612106</v>
          </cell>
          <cell r="D613" t="str">
            <v>CLARKSVILLE 2106</v>
          </cell>
          <cell r="E613" t="str">
            <v>CB</v>
          </cell>
          <cell r="F613" t="b">
            <v>1</v>
          </cell>
          <cell r="G613">
            <v>830.41999873947304</v>
          </cell>
          <cell r="H613">
            <v>224.61894002645801</v>
          </cell>
        </row>
        <row r="614">
          <cell r="B614" t="str">
            <v>CLARKSVILLE 2109102734</v>
          </cell>
          <cell r="C614">
            <v>153612109</v>
          </cell>
          <cell r="D614" t="str">
            <v>CLARKSVILLE 2109</v>
          </cell>
          <cell r="E614">
            <v>102734</v>
          </cell>
          <cell r="F614" t="b">
            <v>1</v>
          </cell>
          <cell r="G614">
            <v>954.13744587230303</v>
          </cell>
          <cell r="H614">
            <v>954.13744587230303</v>
          </cell>
        </row>
        <row r="615">
          <cell r="B615" t="str">
            <v>CLARKSVILLE 210951744</v>
          </cell>
          <cell r="C615">
            <v>153612109</v>
          </cell>
          <cell r="D615" t="str">
            <v>CLARKSVILLE 2109</v>
          </cell>
          <cell r="E615">
            <v>51744</v>
          </cell>
          <cell r="F615" t="b">
            <v>0</v>
          </cell>
          <cell r="G615">
            <v>2867.8226325096002</v>
          </cell>
          <cell r="H615">
            <v>2099.9047119413499</v>
          </cell>
        </row>
        <row r="616">
          <cell r="B616" t="str">
            <v>CLARKSVILLE 2109649874</v>
          </cell>
          <cell r="C616">
            <v>153612109</v>
          </cell>
          <cell r="D616" t="str">
            <v>CLARKSVILLE 2109</v>
          </cell>
          <cell r="E616">
            <v>649874</v>
          </cell>
          <cell r="F616" t="b">
            <v>1</v>
          </cell>
          <cell r="G616">
            <v>608.46510406615005</v>
          </cell>
          <cell r="H616">
            <v>608.46510406615005</v>
          </cell>
        </row>
        <row r="617">
          <cell r="B617" t="str">
            <v>CLARKSVILLE 21096502</v>
          </cell>
          <cell r="C617">
            <v>153612109</v>
          </cell>
          <cell r="D617" t="str">
            <v>CLARKSVILLE 2109</v>
          </cell>
          <cell r="E617">
            <v>6502</v>
          </cell>
          <cell r="F617" t="b">
            <v>0</v>
          </cell>
          <cell r="G617">
            <v>6145.0425456326302</v>
          </cell>
          <cell r="H617">
            <v>1500.68195888123</v>
          </cell>
        </row>
        <row r="618">
          <cell r="B618" t="str">
            <v>CLARKSVILLE 2109781566</v>
          </cell>
          <cell r="C618">
            <v>153612109</v>
          </cell>
          <cell r="D618" t="str">
            <v>CLARKSVILLE 2109</v>
          </cell>
          <cell r="E618">
            <v>781566</v>
          </cell>
          <cell r="F618" t="b">
            <v>0</v>
          </cell>
          <cell r="G618">
            <v>1246.34020343781</v>
          </cell>
          <cell r="H618">
            <v>1113.5138890184201</v>
          </cell>
        </row>
        <row r="619">
          <cell r="B619" t="str">
            <v>CLARKSVILLE 2109CB</v>
          </cell>
          <cell r="C619">
            <v>153612109</v>
          </cell>
          <cell r="D619" t="str">
            <v>CLARKSVILLE 2109</v>
          </cell>
          <cell r="E619" t="str">
            <v>CB</v>
          </cell>
          <cell r="F619" t="b">
            <v>0</v>
          </cell>
          <cell r="G619">
            <v>1831.33191094943</v>
          </cell>
          <cell r="H619">
            <v>1593.49926336563</v>
          </cell>
        </row>
        <row r="620">
          <cell r="B620" t="str">
            <v>CLAY 110113442</v>
          </cell>
          <cell r="C620">
            <v>163341101</v>
          </cell>
          <cell r="D620" t="str">
            <v>CLAY 1101</v>
          </cell>
          <cell r="E620">
            <v>13442</v>
          </cell>
          <cell r="F620" t="b">
            <v>0</v>
          </cell>
          <cell r="G620">
            <v>49960.437031129099</v>
          </cell>
          <cell r="H620">
            <v>40749.390278776598</v>
          </cell>
        </row>
        <row r="621">
          <cell r="B621" t="str">
            <v>CLAY 110113450</v>
          </cell>
          <cell r="C621">
            <v>163341101</v>
          </cell>
          <cell r="D621" t="str">
            <v>CLAY 1101</v>
          </cell>
          <cell r="E621">
            <v>13450</v>
          </cell>
          <cell r="F621" t="b">
            <v>0</v>
          </cell>
          <cell r="G621">
            <v>7994.7686071521603</v>
          </cell>
          <cell r="H621">
            <v>1509.2840278075</v>
          </cell>
        </row>
        <row r="622">
          <cell r="B622" t="str">
            <v>CLAY 110184572</v>
          </cell>
          <cell r="C622">
            <v>163341101</v>
          </cell>
          <cell r="D622" t="str">
            <v>CLAY 1101</v>
          </cell>
          <cell r="E622">
            <v>84572</v>
          </cell>
          <cell r="F622" t="b">
            <v>1</v>
          </cell>
          <cell r="G622">
            <v>3629.8322681939699</v>
          </cell>
          <cell r="H622">
            <v>844.79954416089299</v>
          </cell>
        </row>
        <row r="623">
          <cell r="B623" t="str">
            <v>CLAY 1101CB</v>
          </cell>
          <cell r="C623">
            <v>163341101</v>
          </cell>
          <cell r="D623" t="str">
            <v>CLAY 1101</v>
          </cell>
          <cell r="E623" t="str">
            <v>CB</v>
          </cell>
          <cell r="F623" t="b">
            <v>1</v>
          </cell>
          <cell r="G623">
            <v>4411.9173619858902</v>
          </cell>
          <cell r="H623">
            <v>914.11118264118295</v>
          </cell>
        </row>
        <row r="624">
          <cell r="B624" t="str">
            <v>CLAY 1102CB</v>
          </cell>
          <cell r="C624">
            <v>163341102</v>
          </cell>
          <cell r="D624" t="str">
            <v>CLAY 1102</v>
          </cell>
          <cell r="E624" t="str">
            <v>CB</v>
          </cell>
          <cell r="F624" t="b">
            <v>0</v>
          </cell>
          <cell r="G624">
            <v>3161.2302122825199</v>
          </cell>
          <cell r="H624">
            <v>1492.49041982945</v>
          </cell>
        </row>
        <row r="625">
          <cell r="B625" t="str">
            <v>CLAY 11031230</v>
          </cell>
          <cell r="C625">
            <v>163341103</v>
          </cell>
          <cell r="D625" t="str">
            <v>CLAY 1103</v>
          </cell>
          <cell r="E625">
            <v>1230</v>
          </cell>
          <cell r="F625" t="b">
            <v>0</v>
          </cell>
          <cell r="G625">
            <v>31242.042043322599</v>
          </cell>
          <cell r="H625">
            <v>27069.5790833428</v>
          </cell>
        </row>
        <row r="626">
          <cell r="B626" t="str">
            <v>CLAY 11031821</v>
          </cell>
          <cell r="C626">
            <v>163341103</v>
          </cell>
          <cell r="D626" t="str">
            <v>CLAY 1103</v>
          </cell>
          <cell r="E626">
            <v>1821</v>
          </cell>
          <cell r="F626" t="b">
            <v>0</v>
          </cell>
          <cell r="G626">
            <v>6061.9210189229498</v>
          </cell>
          <cell r="H626">
            <v>5767.6055762832402</v>
          </cell>
        </row>
        <row r="627">
          <cell r="B627" t="str">
            <v>CLAY 110334338</v>
          </cell>
          <cell r="C627">
            <v>163341103</v>
          </cell>
          <cell r="D627" t="str">
            <v>CLAY 1103</v>
          </cell>
          <cell r="E627">
            <v>34338</v>
          </cell>
          <cell r="F627" t="b">
            <v>0</v>
          </cell>
          <cell r="G627">
            <v>16775.579324129601</v>
          </cell>
          <cell r="H627">
            <v>15726.6133241592</v>
          </cell>
        </row>
        <row r="628">
          <cell r="B628" t="str">
            <v>CLAY 110359714</v>
          </cell>
          <cell r="C628">
            <v>163341103</v>
          </cell>
          <cell r="D628" t="str">
            <v>CLAY 1103</v>
          </cell>
          <cell r="E628">
            <v>59714</v>
          </cell>
          <cell r="F628" t="b">
            <v>0</v>
          </cell>
          <cell r="G628">
            <v>7503.9159614979098</v>
          </cell>
          <cell r="H628">
            <v>7503.9159614979098</v>
          </cell>
        </row>
        <row r="629">
          <cell r="B629" t="str">
            <v>CLAY 11037124</v>
          </cell>
          <cell r="C629">
            <v>163341103</v>
          </cell>
          <cell r="D629" t="str">
            <v>CLAY 1103</v>
          </cell>
          <cell r="E629">
            <v>7124</v>
          </cell>
          <cell r="F629" t="b">
            <v>0</v>
          </cell>
          <cell r="G629">
            <v>51663.543113542197</v>
          </cell>
          <cell r="H629">
            <v>17797.994415319299</v>
          </cell>
        </row>
        <row r="630">
          <cell r="B630" t="str">
            <v>CLAY 11037142</v>
          </cell>
          <cell r="C630">
            <v>163341103</v>
          </cell>
          <cell r="D630" t="str">
            <v>CLAY 1103</v>
          </cell>
          <cell r="E630">
            <v>7142</v>
          </cell>
          <cell r="F630" t="b">
            <v>0</v>
          </cell>
          <cell r="G630">
            <v>24816.412058705599</v>
          </cell>
          <cell r="H630">
            <v>6275.5412762590804</v>
          </cell>
        </row>
        <row r="631">
          <cell r="B631" t="str">
            <v>CLAY 110398680</v>
          </cell>
          <cell r="C631">
            <v>163341103</v>
          </cell>
          <cell r="D631" t="str">
            <v>CLAY 1103</v>
          </cell>
          <cell r="E631">
            <v>98680</v>
          </cell>
          <cell r="F631" t="b">
            <v>1</v>
          </cell>
          <cell r="G631">
            <v>46.597308265495897</v>
          </cell>
          <cell r="H631">
            <v>46.597308265495897</v>
          </cell>
        </row>
        <row r="632">
          <cell r="B632" t="str">
            <v>CLAY 1103CB</v>
          </cell>
          <cell r="C632">
            <v>163341103</v>
          </cell>
          <cell r="D632" t="str">
            <v>CLAY 1103</v>
          </cell>
          <cell r="E632" t="str">
            <v>CB</v>
          </cell>
          <cell r="F632" t="b">
            <v>0</v>
          </cell>
          <cell r="G632">
            <v>21668.4066506159</v>
          </cell>
          <cell r="H632">
            <v>9680.0570193411004</v>
          </cell>
        </row>
        <row r="633">
          <cell r="B633" t="str">
            <v>CLAYTON 2212158138</v>
          </cell>
          <cell r="C633">
            <v>12022212</v>
          </cell>
          <cell r="D633" t="str">
            <v>CLAYTON 2212</v>
          </cell>
          <cell r="E633">
            <v>158138</v>
          </cell>
          <cell r="F633" t="b">
            <v>1</v>
          </cell>
          <cell r="G633">
            <v>1490.10486428634</v>
          </cell>
          <cell r="H633">
            <v>829.43755752031404</v>
          </cell>
        </row>
        <row r="634">
          <cell r="B634" t="str">
            <v>CLAYTON 22122944</v>
          </cell>
          <cell r="C634">
            <v>12022212</v>
          </cell>
          <cell r="D634" t="str">
            <v>CLAYTON 2212</v>
          </cell>
          <cell r="E634">
            <v>2944</v>
          </cell>
          <cell r="F634" t="b">
            <v>0</v>
          </cell>
          <cell r="G634">
            <v>24391.936487556999</v>
          </cell>
          <cell r="H634">
            <v>24262.419841119099</v>
          </cell>
        </row>
        <row r="635">
          <cell r="B635" t="str">
            <v>CLAYTON 2212334476</v>
          </cell>
          <cell r="C635">
            <v>12022212</v>
          </cell>
          <cell r="D635" t="str">
            <v>CLAYTON 2212</v>
          </cell>
          <cell r="E635">
            <v>334476</v>
          </cell>
          <cell r="F635" t="b">
            <v>1</v>
          </cell>
          <cell r="G635">
            <v>102.035392358103</v>
          </cell>
          <cell r="H635">
            <v>89.942836236781005</v>
          </cell>
        </row>
        <row r="636">
          <cell r="B636" t="str">
            <v>CLAYTON 2212523764</v>
          </cell>
          <cell r="C636">
            <v>12022212</v>
          </cell>
          <cell r="D636" t="str">
            <v>CLAYTON 2212</v>
          </cell>
          <cell r="E636">
            <v>523764</v>
          </cell>
          <cell r="F636" t="b">
            <v>1</v>
          </cell>
          <cell r="G636">
            <v>581.21328573035601</v>
          </cell>
          <cell r="H636">
            <v>177.57454311109001</v>
          </cell>
        </row>
        <row r="637">
          <cell r="B637" t="str">
            <v>CLAYTON 2212859443</v>
          </cell>
          <cell r="C637">
            <v>12022212</v>
          </cell>
          <cell r="D637" t="str">
            <v>CLAYTON 2212</v>
          </cell>
          <cell r="E637">
            <v>859443</v>
          </cell>
          <cell r="F637" t="b">
            <v>1</v>
          </cell>
          <cell r="G637">
            <v>777.63936741769101</v>
          </cell>
          <cell r="H637">
            <v>475.28370503024001</v>
          </cell>
        </row>
        <row r="638">
          <cell r="B638" t="str">
            <v>CLAYTON 221296224</v>
          </cell>
          <cell r="C638">
            <v>12022212</v>
          </cell>
          <cell r="D638" t="str">
            <v>CLAYTON 2212</v>
          </cell>
          <cell r="E638">
            <v>96224</v>
          </cell>
          <cell r="F638" t="b">
            <v>0</v>
          </cell>
          <cell r="G638">
            <v>31213.304885780399</v>
          </cell>
          <cell r="H638">
            <v>31213.304885780399</v>
          </cell>
        </row>
        <row r="639">
          <cell r="B639" t="str">
            <v>CLAYTON 2212CB</v>
          </cell>
          <cell r="C639">
            <v>12022212</v>
          </cell>
          <cell r="D639" t="str">
            <v>CLAYTON 2212</v>
          </cell>
          <cell r="E639" t="str">
            <v>CB</v>
          </cell>
          <cell r="F639" t="b">
            <v>0</v>
          </cell>
          <cell r="G639">
            <v>17569.860761929402</v>
          </cell>
          <cell r="H639">
            <v>1899.4743630774001</v>
          </cell>
        </row>
        <row r="640">
          <cell r="B640" t="str">
            <v>CLAYTON 2212Y504R</v>
          </cell>
          <cell r="C640">
            <v>12022212</v>
          </cell>
          <cell r="D640" t="str">
            <v>CLAYTON 2212</v>
          </cell>
          <cell r="E640" t="str">
            <v>Y504R</v>
          </cell>
          <cell r="F640" t="b">
            <v>0</v>
          </cell>
          <cell r="G640">
            <v>18910.143456159702</v>
          </cell>
          <cell r="H640">
            <v>18838.2346918406</v>
          </cell>
        </row>
        <row r="641">
          <cell r="B641" t="str">
            <v>CLAYTON 2213CB</v>
          </cell>
          <cell r="C641">
            <v>12022213</v>
          </cell>
          <cell r="D641" t="str">
            <v>CLAYTON 2213</v>
          </cell>
          <cell r="E641" t="str">
            <v>CB</v>
          </cell>
          <cell r="F641" t="b">
            <v>0</v>
          </cell>
          <cell r="G641">
            <v>9981.7319606757792</v>
          </cell>
          <cell r="H641">
            <v>6230.9216437658097</v>
          </cell>
        </row>
        <row r="642">
          <cell r="B642" t="str">
            <v>CLAYTON 2215184604</v>
          </cell>
          <cell r="C642">
            <v>12022215</v>
          </cell>
          <cell r="D642" t="str">
            <v>CLAYTON 2215</v>
          </cell>
          <cell r="E642">
            <v>184604</v>
          </cell>
          <cell r="F642" t="b">
            <v>0</v>
          </cell>
          <cell r="G642">
            <v>16467.237612305202</v>
          </cell>
          <cell r="H642">
            <v>3361.2921869030101</v>
          </cell>
        </row>
        <row r="643">
          <cell r="B643" t="str">
            <v>CLAYTON 22159765</v>
          </cell>
          <cell r="C643">
            <v>12022215</v>
          </cell>
          <cell r="D643" t="str">
            <v>CLAYTON 2215</v>
          </cell>
          <cell r="E643">
            <v>9765</v>
          </cell>
          <cell r="F643" t="b">
            <v>1</v>
          </cell>
          <cell r="G643">
            <v>1507.32571393836</v>
          </cell>
          <cell r="H643">
            <v>425.49789520714199</v>
          </cell>
        </row>
        <row r="644">
          <cell r="B644" t="str">
            <v>CLAYTON 2215W531R</v>
          </cell>
          <cell r="C644">
            <v>12022215</v>
          </cell>
          <cell r="D644" t="str">
            <v>CLAYTON 2215</v>
          </cell>
          <cell r="E644" t="str">
            <v>W531R</v>
          </cell>
          <cell r="F644" t="b">
            <v>0</v>
          </cell>
          <cell r="G644">
            <v>17380.291665558099</v>
          </cell>
          <cell r="H644">
            <v>10443.672980438199</v>
          </cell>
        </row>
        <row r="645">
          <cell r="B645" t="str">
            <v>CLAYTON 2217CB</v>
          </cell>
          <cell r="C645">
            <v>12022217</v>
          </cell>
          <cell r="D645" t="str">
            <v>CLAYTON 2217</v>
          </cell>
          <cell r="E645" t="str">
            <v>CB</v>
          </cell>
          <cell r="F645" t="b">
            <v>1</v>
          </cell>
          <cell r="G645">
            <v>1021.96226044771</v>
          </cell>
          <cell r="H645">
            <v>373.78513018556498</v>
          </cell>
        </row>
        <row r="646">
          <cell r="B646" t="str">
            <v>CLEAR LAKE 11011302</v>
          </cell>
          <cell r="C646">
            <v>42141101</v>
          </cell>
          <cell r="D646" t="str">
            <v>CLEAR LAKE 1101</v>
          </cell>
          <cell r="E646">
            <v>1302</v>
          </cell>
          <cell r="F646" t="b">
            <v>0</v>
          </cell>
          <cell r="G646">
            <v>28390.995671393201</v>
          </cell>
          <cell r="H646">
            <v>12188.0094880014</v>
          </cell>
        </row>
        <row r="647">
          <cell r="B647" t="str">
            <v>CLEAR LAKE 1101406</v>
          </cell>
          <cell r="C647">
            <v>42141101</v>
          </cell>
          <cell r="D647" t="str">
            <v>CLEAR LAKE 1101</v>
          </cell>
          <cell r="E647">
            <v>406</v>
          </cell>
          <cell r="F647" t="b">
            <v>0</v>
          </cell>
          <cell r="G647">
            <v>53036.291105476303</v>
          </cell>
          <cell r="H647">
            <v>19984.653739352401</v>
          </cell>
        </row>
        <row r="648">
          <cell r="B648" t="str">
            <v>CLEAR LAKE 1101699062</v>
          </cell>
          <cell r="C648">
            <v>42141101</v>
          </cell>
          <cell r="D648" t="str">
            <v>CLEAR LAKE 1101</v>
          </cell>
          <cell r="E648">
            <v>699062</v>
          </cell>
          <cell r="F648" t="b">
            <v>0</v>
          </cell>
          <cell r="G648">
            <v>3006.4234645719998</v>
          </cell>
          <cell r="H648">
            <v>1359.6472912583499</v>
          </cell>
        </row>
        <row r="649">
          <cell r="B649" t="str">
            <v>CLEAR LAKE 1101740076</v>
          </cell>
          <cell r="C649">
            <v>42141101</v>
          </cell>
          <cell r="D649" t="str">
            <v>CLEAR LAKE 1101</v>
          </cell>
          <cell r="E649">
            <v>740076</v>
          </cell>
          <cell r="F649" t="b">
            <v>1</v>
          </cell>
          <cell r="G649">
            <v>14283.490217377501</v>
          </cell>
          <cell r="H649">
            <v>632.37667896942401</v>
          </cell>
        </row>
        <row r="650">
          <cell r="B650" t="str">
            <v>CLEAR LAKE 1101881362</v>
          </cell>
          <cell r="C650">
            <v>42141101</v>
          </cell>
          <cell r="D650" t="str">
            <v>CLEAR LAKE 1101</v>
          </cell>
          <cell r="E650">
            <v>881362</v>
          </cell>
          <cell r="F650" t="b">
            <v>1</v>
          </cell>
          <cell r="G650">
            <v>1747.50892093824</v>
          </cell>
          <cell r="H650">
            <v>480.03214564275999</v>
          </cell>
        </row>
        <row r="651">
          <cell r="B651" t="str">
            <v>CLEAR LAKE 110192870</v>
          </cell>
          <cell r="C651">
            <v>42141101</v>
          </cell>
          <cell r="D651" t="str">
            <v>CLEAR LAKE 1101</v>
          </cell>
          <cell r="E651">
            <v>92870</v>
          </cell>
          <cell r="F651" t="b">
            <v>1</v>
          </cell>
          <cell r="G651">
            <v>25931.816903831201</v>
          </cell>
          <cell r="H651">
            <v>185.947516829666</v>
          </cell>
        </row>
        <row r="652">
          <cell r="B652" t="str">
            <v>CLEAR LAKE 1102223792</v>
          </cell>
          <cell r="C652">
            <v>42141102</v>
          </cell>
          <cell r="D652" t="str">
            <v>CLEAR LAKE 1102</v>
          </cell>
          <cell r="E652">
            <v>223792</v>
          </cell>
          <cell r="F652" t="b">
            <v>0</v>
          </cell>
          <cell r="G652">
            <v>1426.5673143024001</v>
          </cell>
          <cell r="H652">
            <v>1262.3470151087099</v>
          </cell>
        </row>
        <row r="653">
          <cell r="B653" t="str">
            <v>CLEAR LAKE 1102904</v>
          </cell>
          <cell r="C653">
            <v>42141102</v>
          </cell>
          <cell r="D653" t="str">
            <v>CLEAR LAKE 1102</v>
          </cell>
          <cell r="E653">
            <v>904</v>
          </cell>
          <cell r="F653" t="b">
            <v>0</v>
          </cell>
          <cell r="G653">
            <v>5777.0338743825596</v>
          </cell>
          <cell r="H653">
            <v>5445.64925676857</v>
          </cell>
        </row>
        <row r="654">
          <cell r="B654" t="str">
            <v>CLEAR LAKE 1102991285</v>
          </cell>
          <cell r="C654">
            <v>42141102</v>
          </cell>
          <cell r="D654" t="str">
            <v>CLEAR LAKE 1102</v>
          </cell>
          <cell r="E654">
            <v>991285</v>
          </cell>
          <cell r="F654" t="b">
            <v>1</v>
          </cell>
          <cell r="G654">
            <v>2786.1304004302401</v>
          </cell>
          <cell r="H654">
            <v>525.90012162109997</v>
          </cell>
        </row>
        <row r="655">
          <cell r="B655" t="str">
            <v>CLOVERDALE 1101399855</v>
          </cell>
          <cell r="C655">
            <v>42821101</v>
          </cell>
          <cell r="D655" t="str">
            <v>CLOVERDALE 1101</v>
          </cell>
          <cell r="E655">
            <v>399855</v>
          </cell>
          <cell r="F655" t="b">
            <v>0</v>
          </cell>
          <cell r="G655">
            <v>4438.9669179687698</v>
          </cell>
          <cell r="H655">
            <v>4409.91990112235</v>
          </cell>
        </row>
        <row r="656">
          <cell r="B656" t="str">
            <v>CLOVERDALE 1101409224</v>
          </cell>
          <cell r="C656">
            <v>42821101</v>
          </cell>
          <cell r="D656" t="str">
            <v>CLOVERDALE 1101</v>
          </cell>
          <cell r="E656">
            <v>409224</v>
          </cell>
          <cell r="F656" t="b">
            <v>1</v>
          </cell>
          <cell r="G656">
            <v>353.34506718198998</v>
          </cell>
          <cell r="H656">
            <v>138.72047454816499</v>
          </cell>
        </row>
        <row r="657">
          <cell r="B657" t="str">
            <v>CLOVERDALE 1101474708</v>
          </cell>
          <cell r="C657">
            <v>42821101</v>
          </cell>
          <cell r="D657" t="str">
            <v>CLOVERDALE 1101</v>
          </cell>
          <cell r="E657">
            <v>474708</v>
          </cell>
          <cell r="F657" t="b">
            <v>1</v>
          </cell>
          <cell r="G657">
            <v>1392.1284182403101</v>
          </cell>
          <cell r="H657">
            <v>422.045965651046</v>
          </cell>
        </row>
        <row r="658">
          <cell r="B658" t="str">
            <v>CLOVERDALE 1101704542</v>
          </cell>
          <cell r="C658">
            <v>42821101</v>
          </cell>
          <cell r="D658" t="str">
            <v>CLOVERDALE 1101</v>
          </cell>
          <cell r="E658">
            <v>704542</v>
          </cell>
          <cell r="F658" t="b">
            <v>1</v>
          </cell>
          <cell r="G658">
            <v>487.49634098088302</v>
          </cell>
          <cell r="H658">
            <v>345.94168980690802</v>
          </cell>
        </row>
        <row r="659">
          <cell r="B659" t="str">
            <v>CLOVERDALE 1101807953</v>
          </cell>
          <cell r="C659">
            <v>42821101</v>
          </cell>
          <cell r="D659" t="str">
            <v>CLOVERDALE 1101</v>
          </cell>
          <cell r="E659">
            <v>807953</v>
          </cell>
          <cell r="F659" t="b">
            <v>1</v>
          </cell>
          <cell r="G659">
            <v>1013.15168916261</v>
          </cell>
          <cell r="H659">
            <v>745.82149823206498</v>
          </cell>
        </row>
        <row r="660">
          <cell r="B660" t="str">
            <v>CLOVERDALE 110184088</v>
          </cell>
          <cell r="C660">
            <v>42821101</v>
          </cell>
          <cell r="D660" t="str">
            <v>CLOVERDALE 1101</v>
          </cell>
          <cell r="E660">
            <v>84088</v>
          </cell>
          <cell r="F660" t="b">
            <v>0</v>
          </cell>
          <cell r="G660">
            <v>28026.801696840401</v>
          </cell>
          <cell r="H660">
            <v>25963.760285693101</v>
          </cell>
        </row>
        <row r="661">
          <cell r="B661" t="str">
            <v>CLOVERDALE 1101964556</v>
          </cell>
          <cell r="C661">
            <v>42821101</v>
          </cell>
          <cell r="D661" t="str">
            <v>CLOVERDALE 1101</v>
          </cell>
          <cell r="E661">
            <v>964556</v>
          </cell>
          <cell r="F661" t="b">
            <v>0</v>
          </cell>
          <cell r="G661">
            <v>8160.0956239493498</v>
          </cell>
          <cell r="H661">
            <v>8116.5646676995802</v>
          </cell>
        </row>
        <row r="662">
          <cell r="B662" t="str">
            <v>CLOVERDALE 1102156</v>
          </cell>
          <cell r="C662">
            <v>42821102</v>
          </cell>
          <cell r="D662" t="str">
            <v>CLOVERDALE 1102</v>
          </cell>
          <cell r="E662">
            <v>156</v>
          </cell>
          <cell r="F662" t="b">
            <v>0</v>
          </cell>
          <cell r="G662">
            <v>18958.869918963199</v>
          </cell>
          <cell r="H662">
            <v>9919.8336261518907</v>
          </cell>
        </row>
        <row r="663">
          <cell r="B663" t="str">
            <v>CLOVERDALE 1102172096</v>
          </cell>
          <cell r="C663">
            <v>42821102</v>
          </cell>
          <cell r="D663" t="str">
            <v>CLOVERDALE 1102</v>
          </cell>
          <cell r="E663">
            <v>172096</v>
          </cell>
          <cell r="F663" t="b">
            <v>1</v>
          </cell>
          <cell r="G663">
            <v>1240.5827094423901</v>
          </cell>
          <cell r="H663">
            <v>425.50984913024803</v>
          </cell>
        </row>
        <row r="664">
          <cell r="B664" t="str">
            <v>CLOVERDALE 1102262</v>
          </cell>
          <cell r="C664">
            <v>42821102</v>
          </cell>
          <cell r="D664" t="str">
            <v>CLOVERDALE 1102</v>
          </cell>
          <cell r="E664">
            <v>262</v>
          </cell>
          <cell r="F664" t="b">
            <v>0</v>
          </cell>
          <cell r="G664">
            <v>9547.2777277554196</v>
          </cell>
          <cell r="H664">
            <v>2067.1656870114998</v>
          </cell>
        </row>
        <row r="665">
          <cell r="B665" t="str">
            <v>CLOVERDALE 1102307342</v>
          </cell>
          <cell r="C665">
            <v>42821102</v>
          </cell>
          <cell r="D665" t="str">
            <v>CLOVERDALE 1102</v>
          </cell>
          <cell r="E665">
            <v>307342</v>
          </cell>
          <cell r="F665" t="b">
            <v>1</v>
          </cell>
          <cell r="G665">
            <v>573.10340646302302</v>
          </cell>
          <cell r="H665">
            <v>354.02375561810697</v>
          </cell>
        </row>
        <row r="666">
          <cell r="B666" t="str">
            <v>CLOVERDALE 1102383183</v>
          </cell>
          <cell r="C666">
            <v>42821102</v>
          </cell>
          <cell r="D666" t="str">
            <v>CLOVERDALE 1102</v>
          </cell>
          <cell r="E666">
            <v>383183</v>
          </cell>
          <cell r="F666" t="b">
            <v>0</v>
          </cell>
          <cell r="G666">
            <v>23681.105395689799</v>
          </cell>
          <cell r="H666">
            <v>23566.620719538299</v>
          </cell>
        </row>
        <row r="667">
          <cell r="B667" t="str">
            <v>CLOVERDALE 1102429006</v>
          </cell>
          <cell r="C667">
            <v>42821102</v>
          </cell>
          <cell r="D667" t="str">
            <v>CLOVERDALE 1102</v>
          </cell>
          <cell r="E667">
            <v>429006</v>
          </cell>
          <cell r="F667" t="b">
            <v>0</v>
          </cell>
          <cell r="G667">
            <v>3229.4467150494602</v>
          </cell>
          <cell r="H667">
            <v>3213.4445539277699</v>
          </cell>
        </row>
        <row r="668">
          <cell r="B668" t="str">
            <v>CLOVERDALE 11024646</v>
          </cell>
          <cell r="C668">
            <v>42821102</v>
          </cell>
          <cell r="D668" t="str">
            <v>CLOVERDALE 1102</v>
          </cell>
          <cell r="E668">
            <v>4646</v>
          </cell>
          <cell r="F668" t="b">
            <v>1</v>
          </cell>
          <cell r="G668">
            <v>480.28649333507002</v>
          </cell>
          <cell r="H668">
            <v>242.39899920856701</v>
          </cell>
        </row>
        <row r="669">
          <cell r="B669" t="str">
            <v>CLOVERDALE 110247214</v>
          </cell>
          <cell r="C669">
            <v>42821102</v>
          </cell>
          <cell r="D669" t="str">
            <v>CLOVERDALE 1102</v>
          </cell>
          <cell r="E669">
            <v>47214</v>
          </cell>
          <cell r="F669" t="b">
            <v>1</v>
          </cell>
          <cell r="G669">
            <v>43.972016812199101</v>
          </cell>
          <cell r="H669">
            <v>43.972016812199101</v>
          </cell>
        </row>
        <row r="670">
          <cell r="B670" t="str">
            <v>CLOVERDALE 1102570</v>
          </cell>
          <cell r="C670">
            <v>42821102</v>
          </cell>
          <cell r="D670" t="str">
            <v>CLOVERDALE 1102</v>
          </cell>
          <cell r="E670">
            <v>570</v>
          </cell>
          <cell r="F670" t="b">
            <v>0</v>
          </cell>
          <cell r="G670">
            <v>34272.802068590601</v>
          </cell>
          <cell r="H670">
            <v>28557.038439057</v>
          </cell>
        </row>
        <row r="671">
          <cell r="B671" t="str">
            <v>CLOVERDALE 1102670</v>
          </cell>
          <cell r="C671">
            <v>42821102</v>
          </cell>
          <cell r="D671" t="str">
            <v>CLOVERDALE 1102</v>
          </cell>
          <cell r="E671">
            <v>670</v>
          </cell>
          <cell r="F671" t="b">
            <v>1</v>
          </cell>
          <cell r="G671">
            <v>4937.5443769759304</v>
          </cell>
          <cell r="H671">
            <v>587.14747848611205</v>
          </cell>
        </row>
        <row r="672">
          <cell r="B672" t="str">
            <v>CLOVERDALE 1102672</v>
          </cell>
          <cell r="C672">
            <v>42821102</v>
          </cell>
          <cell r="D672" t="str">
            <v>CLOVERDALE 1102</v>
          </cell>
          <cell r="E672">
            <v>672</v>
          </cell>
          <cell r="F672" t="b">
            <v>0</v>
          </cell>
          <cell r="G672">
            <v>35787.410060231799</v>
          </cell>
          <cell r="H672">
            <v>35088.8854433448</v>
          </cell>
        </row>
        <row r="673">
          <cell r="B673" t="str">
            <v>CLOVERDALE 1102674</v>
          </cell>
          <cell r="C673">
            <v>42821102</v>
          </cell>
          <cell r="D673" t="str">
            <v>CLOVERDALE 1102</v>
          </cell>
          <cell r="E673">
            <v>674</v>
          </cell>
          <cell r="F673" t="b">
            <v>0</v>
          </cell>
          <cell r="G673">
            <v>32462.292602662401</v>
          </cell>
          <cell r="H673">
            <v>27296.938185654399</v>
          </cell>
        </row>
        <row r="674">
          <cell r="B674" t="str">
            <v>CLOVERDALE 1102736078</v>
          </cell>
          <cell r="C674">
            <v>42821102</v>
          </cell>
          <cell r="D674" t="str">
            <v>CLOVERDALE 1102</v>
          </cell>
          <cell r="E674">
            <v>736078</v>
          </cell>
          <cell r="F674" t="b">
            <v>1</v>
          </cell>
          <cell r="G674">
            <v>432.866860515501</v>
          </cell>
          <cell r="H674">
            <v>373.67811447446701</v>
          </cell>
        </row>
        <row r="675">
          <cell r="B675" t="str">
            <v>CLOVERDALE 1102801904</v>
          </cell>
          <cell r="C675">
            <v>42821102</v>
          </cell>
          <cell r="D675" t="str">
            <v>CLOVERDALE 1102</v>
          </cell>
          <cell r="E675">
            <v>801904</v>
          </cell>
          <cell r="F675" t="b">
            <v>1</v>
          </cell>
          <cell r="G675">
            <v>22.388139339451801</v>
          </cell>
          <cell r="H675">
            <v>22.388139339451801</v>
          </cell>
        </row>
        <row r="676">
          <cell r="B676" t="str">
            <v>CMC 1101CB</v>
          </cell>
          <cell r="C676">
            <v>183111101</v>
          </cell>
          <cell r="D676" t="str">
            <v>CMC 1101</v>
          </cell>
          <cell r="E676" t="str">
            <v>CB</v>
          </cell>
          <cell r="F676" t="b">
            <v>0</v>
          </cell>
          <cell r="G676">
            <v>3286.0632632596898</v>
          </cell>
          <cell r="H676">
            <v>3286.0632632596898</v>
          </cell>
        </row>
        <row r="677">
          <cell r="B677" t="str">
            <v>CMC 1102CB</v>
          </cell>
          <cell r="C677">
            <v>183111102</v>
          </cell>
          <cell r="D677" t="str">
            <v>CMC 1102</v>
          </cell>
          <cell r="E677" t="str">
            <v>CB</v>
          </cell>
          <cell r="F677" t="b">
            <v>1</v>
          </cell>
          <cell r="G677">
            <v>581.83421734162596</v>
          </cell>
          <cell r="H677">
            <v>581.83421734162596</v>
          </cell>
        </row>
        <row r="678">
          <cell r="B678" t="str">
            <v>COARSEGOLD 210210040</v>
          </cell>
          <cell r="C678">
            <v>254432102</v>
          </cell>
          <cell r="D678" t="str">
            <v>COARSEGOLD 2102</v>
          </cell>
          <cell r="E678">
            <v>10040</v>
          </cell>
          <cell r="F678" t="b">
            <v>0</v>
          </cell>
          <cell r="G678">
            <v>28379.020055137102</v>
          </cell>
          <cell r="H678">
            <v>28379.020055137102</v>
          </cell>
        </row>
        <row r="679">
          <cell r="B679" t="str">
            <v>COARSEGOLD 210210050</v>
          </cell>
          <cell r="C679">
            <v>254432102</v>
          </cell>
          <cell r="D679" t="str">
            <v>COARSEGOLD 2102</v>
          </cell>
          <cell r="E679">
            <v>10050</v>
          </cell>
          <cell r="F679" t="b">
            <v>0</v>
          </cell>
          <cell r="G679">
            <v>11290.6239038892</v>
          </cell>
          <cell r="H679">
            <v>11290.6239038892</v>
          </cell>
        </row>
        <row r="680">
          <cell r="B680" t="str">
            <v>COARSEGOLD 210210207</v>
          </cell>
          <cell r="C680">
            <v>254432102</v>
          </cell>
          <cell r="D680" t="str">
            <v>COARSEGOLD 2102</v>
          </cell>
          <cell r="E680">
            <v>10207</v>
          </cell>
          <cell r="F680" t="b">
            <v>0</v>
          </cell>
          <cell r="G680">
            <v>5731.5327734820103</v>
          </cell>
          <cell r="H680">
            <v>5731.5327734820103</v>
          </cell>
        </row>
        <row r="681">
          <cell r="B681" t="str">
            <v>COARSEGOLD 210210330</v>
          </cell>
          <cell r="C681">
            <v>254432102</v>
          </cell>
          <cell r="D681" t="str">
            <v>COARSEGOLD 2102</v>
          </cell>
          <cell r="E681">
            <v>10330</v>
          </cell>
          <cell r="F681" t="b">
            <v>0</v>
          </cell>
          <cell r="G681">
            <v>15550.3229419982</v>
          </cell>
          <cell r="H681">
            <v>15550.3229419982</v>
          </cell>
        </row>
        <row r="682">
          <cell r="B682" t="str">
            <v>COARSEGOLD 210210610</v>
          </cell>
          <cell r="C682">
            <v>254432102</v>
          </cell>
          <cell r="D682" t="str">
            <v>COARSEGOLD 2102</v>
          </cell>
          <cell r="E682">
            <v>10610</v>
          </cell>
          <cell r="F682" t="b">
            <v>0</v>
          </cell>
          <cell r="G682">
            <v>2196.7776952946801</v>
          </cell>
          <cell r="H682">
            <v>2196.7776952946801</v>
          </cell>
        </row>
        <row r="683">
          <cell r="B683" t="str">
            <v>COARSEGOLD 2102383092</v>
          </cell>
          <cell r="C683">
            <v>254432102</v>
          </cell>
          <cell r="D683" t="str">
            <v>COARSEGOLD 2102</v>
          </cell>
          <cell r="E683">
            <v>383092</v>
          </cell>
          <cell r="F683" t="b">
            <v>1</v>
          </cell>
          <cell r="G683">
            <v>613.19255069524002</v>
          </cell>
          <cell r="H683">
            <v>613.19255069524002</v>
          </cell>
        </row>
        <row r="684">
          <cell r="B684" t="str">
            <v>COARSEGOLD 21025380</v>
          </cell>
          <cell r="C684">
            <v>254432102</v>
          </cell>
          <cell r="D684" t="str">
            <v>COARSEGOLD 2102</v>
          </cell>
          <cell r="E684">
            <v>5380</v>
          </cell>
          <cell r="F684" t="b">
            <v>0</v>
          </cell>
          <cell r="G684">
            <v>22971.0373915456</v>
          </cell>
          <cell r="H684">
            <v>22971.0373915456</v>
          </cell>
        </row>
        <row r="685">
          <cell r="B685" t="str">
            <v>COARSEGOLD 21025722</v>
          </cell>
          <cell r="C685">
            <v>254432102</v>
          </cell>
          <cell r="D685" t="str">
            <v>COARSEGOLD 2102</v>
          </cell>
          <cell r="E685">
            <v>5722</v>
          </cell>
          <cell r="F685" t="b">
            <v>0</v>
          </cell>
          <cell r="G685">
            <v>3182.5998852736798</v>
          </cell>
          <cell r="H685">
            <v>3182.5998852736798</v>
          </cell>
        </row>
        <row r="686">
          <cell r="B686" t="str">
            <v>COARSEGOLD 2102CB</v>
          </cell>
          <cell r="C686">
            <v>254432102</v>
          </cell>
          <cell r="D686" t="str">
            <v>COARSEGOLD 2102</v>
          </cell>
          <cell r="E686" t="str">
            <v>CB</v>
          </cell>
          <cell r="F686" t="b">
            <v>0</v>
          </cell>
          <cell r="G686">
            <v>22596.9807396623</v>
          </cell>
          <cell r="H686">
            <v>22596.9807396623</v>
          </cell>
        </row>
        <row r="687">
          <cell r="B687" t="str">
            <v>COARSEGOLD 210310820</v>
          </cell>
          <cell r="C687">
            <v>254432103</v>
          </cell>
          <cell r="D687" t="str">
            <v>COARSEGOLD 2103</v>
          </cell>
          <cell r="E687">
            <v>10820</v>
          </cell>
          <cell r="F687" t="b">
            <v>0</v>
          </cell>
          <cell r="G687">
            <v>46507.922628356297</v>
          </cell>
          <cell r="H687">
            <v>46392.444813111899</v>
          </cell>
        </row>
        <row r="688">
          <cell r="B688" t="str">
            <v>COARSEGOLD 21035020</v>
          </cell>
          <cell r="C688">
            <v>254432103</v>
          </cell>
          <cell r="D688" t="str">
            <v>COARSEGOLD 2103</v>
          </cell>
          <cell r="E688">
            <v>5020</v>
          </cell>
          <cell r="F688" t="b">
            <v>0</v>
          </cell>
          <cell r="G688">
            <v>26887.651425932399</v>
          </cell>
          <cell r="H688">
            <v>26064.863402155901</v>
          </cell>
        </row>
        <row r="689">
          <cell r="B689" t="str">
            <v>COARSEGOLD 21036110</v>
          </cell>
          <cell r="C689">
            <v>254432103</v>
          </cell>
          <cell r="D689" t="str">
            <v>COARSEGOLD 2103</v>
          </cell>
          <cell r="E689">
            <v>6110</v>
          </cell>
          <cell r="F689" t="b">
            <v>0</v>
          </cell>
          <cell r="G689">
            <v>47929.947970760702</v>
          </cell>
          <cell r="H689">
            <v>17714.3762592393</v>
          </cell>
        </row>
        <row r="690">
          <cell r="B690" t="str">
            <v>COARSEGOLD 2103CB</v>
          </cell>
          <cell r="C690">
            <v>254432103</v>
          </cell>
          <cell r="D690" t="str">
            <v>COARSEGOLD 2103</v>
          </cell>
          <cell r="E690" t="str">
            <v>CB</v>
          </cell>
          <cell r="F690" t="b">
            <v>0</v>
          </cell>
          <cell r="G690">
            <v>61825.449041383799</v>
          </cell>
          <cell r="H690">
            <v>61825.449041383799</v>
          </cell>
        </row>
        <row r="691">
          <cell r="B691" t="str">
            <v>COARSEGOLD 210410030</v>
          </cell>
          <cell r="C691">
            <v>254432104</v>
          </cell>
          <cell r="D691" t="str">
            <v>COARSEGOLD 2104</v>
          </cell>
          <cell r="E691">
            <v>10030</v>
          </cell>
          <cell r="F691" t="b">
            <v>0</v>
          </cell>
          <cell r="G691">
            <v>59186.588492983203</v>
          </cell>
          <cell r="H691">
            <v>54599.186753335598</v>
          </cell>
        </row>
        <row r="692">
          <cell r="B692" t="str">
            <v>COARSEGOLD 210410110</v>
          </cell>
          <cell r="C692">
            <v>254432104</v>
          </cell>
          <cell r="D692" t="str">
            <v>COARSEGOLD 2104</v>
          </cell>
          <cell r="E692">
            <v>10110</v>
          </cell>
          <cell r="F692" t="b">
            <v>0</v>
          </cell>
          <cell r="G692">
            <v>79840.178394779796</v>
          </cell>
          <cell r="H692">
            <v>79840.178394779796</v>
          </cell>
        </row>
        <row r="693">
          <cell r="B693" t="str">
            <v>COARSEGOLD 210410335</v>
          </cell>
          <cell r="C693">
            <v>254432104</v>
          </cell>
          <cell r="D693" t="str">
            <v>COARSEGOLD 2104</v>
          </cell>
          <cell r="E693">
            <v>10335</v>
          </cell>
          <cell r="F693" t="b">
            <v>0</v>
          </cell>
          <cell r="G693">
            <v>9369.0410930619801</v>
          </cell>
          <cell r="H693">
            <v>9369.0410930619801</v>
          </cell>
        </row>
        <row r="694">
          <cell r="B694" t="str">
            <v>COARSEGOLD 210410400</v>
          </cell>
          <cell r="C694">
            <v>254432104</v>
          </cell>
          <cell r="D694" t="str">
            <v>COARSEGOLD 2104</v>
          </cell>
          <cell r="E694">
            <v>10400</v>
          </cell>
          <cell r="F694" t="b">
            <v>0</v>
          </cell>
          <cell r="G694">
            <v>72169.161501790397</v>
          </cell>
          <cell r="H694">
            <v>68567.353072295606</v>
          </cell>
        </row>
        <row r="695">
          <cell r="B695" t="str">
            <v>COARSEGOLD 21045300</v>
          </cell>
          <cell r="C695">
            <v>254432104</v>
          </cell>
          <cell r="D695" t="str">
            <v>COARSEGOLD 2104</v>
          </cell>
          <cell r="E695">
            <v>5300</v>
          </cell>
          <cell r="F695" t="b">
            <v>0</v>
          </cell>
          <cell r="G695">
            <v>89782.936543034899</v>
          </cell>
          <cell r="H695">
            <v>89782.936543034899</v>
          </cell>
        </row>
        <row r="696">
          <cell r="B696" t="str">
            <v>COARSEGOLD 21045310</v>
          </cell>
          <cell r="C696">
            <v>254432104</v>
          </cell>
          <cell r="D696" t="str">
            <v>COARSEGOLD 2104</v>
          </cell>
          <cell r="E696">
            <v>5310</v>
          </cell>
          <cell r="F696" t="b">
            <v>0</v>
          </cell>
          <cell r="G696">
            <v>45195.508783565201</v>
          </cell>
          <cell r="H696">
            <v>45195.508783565201</v>
          </cell>
        </row>
        <row r="697">
          <cell r="B697" t="str">
            <v>COARSEGOLD 21045525</v>
          </cell>
          <cell r="C697">
            <v>254432104</v>
          </cell>
          <cell r="D697" t="str">
            <v>COARSEGOLD 2104</v>
          </cell>
          <cell r="E697">
            <v>5525</v>
          </cell>
          <cell r="F697" t="b">
            <v>0</v>
          </cell>
          <cell r="G697">
            <v>21152.716483263699</v>
          </cell>
          <cell r="H697">
            <v>21152.716483263699</v>
          </cell>
        </row>
        <row r="698">
          <cell r="B698" t="str">
            <v>COARSEGOLD 2104570682</v>
          </cell>
          <cell r="C698">
            <v>254432104</v>
          </cell>
          <cell r="D698" t="str">
            <v>COARSEGOLD 2104</v>
          </cell>
          <cell r="E698">
            <v>570682</v>
          </cell>
          <cell r="F698" t="b">
            <v>0</v>
          </cell>
          <cell r="G698">
            <v>3264.3372351768999</v>
          </cell>
          <cell r="H698">
            <v>3264.3372351768999</v>
          </cell>
        </row>
        <row r="699">
          <cell r="B699" t="str">
            <v>COARSEGOLD 21046210</v>
          </cell>
          <cell r="C699">
            <v>254432104</v>
          </cell>
          <cell r="D699" t="str">
            <v>COARSEGOLD 2104</v>
          </cell>
          <cell r="E699">
            <v>6210</v>
          </cell>
          <cell r="F699" t="b">
            <v>0</v>
          </cell>
          <cell r="G699">
            <v>17177.2502873827</v>
          </cell>
          <cell r="H699">
            <v>17177.2502873827</v>
          </cell>
        </row>
        <row r="700">
          <cell r="B700" t="str">
            <v>COARSEGOLD 210490356</v>
          </cell>
          <cell r="C700">
            <v>254432104</v>
          </cell>
          <cell r="D700" t="str">
            <v>COARSEGOLD 2104</v>
          </cell>
          <cell r="E700">
            <v>90356</v>
          </cell>
          <cell r="F700" t="b">
            <v>0</v>
          </cell>
          <cell r="G700">
            <v>27619.143076496999</v>
          </cell>
          <cell r="H700">
            <v>7749.0513302211002</v>
          </cell>
        </row>
        <row r="701">
          <cell r="B701" t="str">
            <v>COARSEGOLD 2104CB</v>
          </cell>
          <cell r="C701">
            <v>254432104</v>
          </cell>
          <cell r="D701" t="str">
            <v>COARSEGOLD 2104</v>
          </cell>
          <cell r="E701" t="str">
            <v>CB</v>
          </cell>
          <cell r="F701" t="b">
            <v>0</v>
          </cell>
          <cell r="G701">
            <v>3906.1429863930698</v>
          </cell>
          <cell r="H701">
            <v>3906.1429863930698</v>
          </cell>
        </row>
        <row r="702">
          <cell r="B702" t="str">
            <v>COAST RD 04015134</v>
          </cell>
          <cell r="C702">
            <v>88820401</v>
          </cell>
          <cell r="D702" t="str">
            <v>COAST RD 0401</v>
          </cell>
          <cell r="E702">
            <v>5134</v>
          </cell>
          <cell r="F702" t="b">
            <v>0</v>
          </cell>
          <cell r="G702">
            <v>4886.1695063641801</v>
          </cell>
          <cell r="H702">
            <v>1018.61975966355</v>
          </cell>
        </row>
        <row r="703">
          <cell r="B703" t="str">
            <v>COLUMBIA HILL 11012212</v>
          </cell>
          <cell r="C703">
            <v>152471101</v>
          </cell>
          <cell r="D703" t="str">
            <v>COLUMBIA HILL 1101</v>
          </cell>
          <cell r="E703">
            <v>2212</v>
          </cell>
          <cell r="F703" t="b">
            <v>0</v>
          </cell>
          <cell r="G703">
            <v>14695.9753642786</v>
          </cell>
          <cell r="H703">
            <v>14695.9753642786</v>
          </cell>
        </row>
        <row r="704">
          <cell r="B704" t="str">
            <v>COLUMBIA HILL 110135424</v>
          </cell>
          <cell r="C704">
            <v>152471101</v>
          </cell>
          <cell r="D704" t="str">
            <v>COLUMBIA HILL 1101</v>
          </cell>
          <cell r="E704">
            <v>35424</v>
          </cell>
          <cell r="F704" t="b">
            <v>0</v>
          </cell>
          <cell r="G704">
            <v>22308.071878385399</v>
          </cell>
          <cell r="H704">
            <v>22308.071878385399</v>
          </cell>
        </row>
        <row r="705">
          <cell r="B705" t="str">
            <v>COLUMBIA HILL 1101764</v>
          </cell>
          <cell r="C705">
            <v>152471101</v>
          </cell>
          <cell r="D705" t="str">
            <v>COLUMBIA HILL 1101</v>
          </cell>
          <cell r="E705">
            <v>764</v>
          </cell>
          <cell r="F705" t="b">
            <v>0</v>
          </cell>
          <cell r="G705">
            <v>23643.468018417199</v>
          </cell>
          <cell r="H705">
            <v>23643.468018417199</v>
          </cell>
        </row>
        <row r="706">
          <cell r="B706" t="str">
            <v>COLUMBIA HILL 11018233</v>
          </cell>
          <cell r="C706">
            <v>152471101</v>
          </cell>
          <cell r="D706" t="str">
            <v>COLUMBIA HILL 1101</v>
          </cell>
          <cell r="E706">
            <v>8233</v>
          </cell>
          <cell r="F706" t="b">
            <v>0</v>
          </cell>
          <cell r="G706">
            <v>7978.7453310697501</v>
          </cell>
          <cell r="H706">
            <v>7978.7453310697501</v>
          </cell>
        </row>
        <row r="707">
          <cell r="B707" t="str">
            <v>COLUMBIA HILL 110190730</v>
          </cell>
          <cell r="C707">
            <v>152471101</v>
          </cell>
          <cell r="D707" t="str">
            <v>COLUMBIA HILL 1101</v>
          </cell>
          <cell r="E707">
            <v>90730</v>
          </cell>
          <cell r="F707" t="b">
            <v>0</v>
          </cell>
          <cell r="G707">
            <v>13402.9330833554</v>
          </cell>
          <cell r="H707">
            <v>13402.9330833554</v>
          </cell>
        </row>
        <row r="708">
          <cell r="B708" t="str">
            <v>COLUMBIA HILL 1101CB</v>
          </cell>
          <cell r="C708">
            <v>152471101</v>
          </cell>
          <cell r="D708" t="str">
            <v>COLUMBIA HILL 1101</v>
          </cell>
          <cell r="E708" t="str">
            <v>CB</v>
          </cell>
          <cell r="F708" t="b">
            <v>0</v>
          </cell>
          <cell r="G708">
            <v>63324.334517814998</v>
          </cell>
          <cell r="H708">
            <v>63324.334517814998</v>
          </cell>
        </row>
        <row r="709">
          <cell r="B709" t="str">
            <v>COPPERMINE 1104556430</v>
          </cell>
          <cell r="C709">
            <v>252411104</v>
          </cell>
          <cell r="D709" t="str">
            <v>COPPERMINE 1104</v>
          </cell>
          <cell r="E709">
            <v>556430</v>
          </cell>
          <cell r="F709" t="b">
            <v>0</v>
          </cell>
          <cell r="G709">
            <v>26122.847008330798</v>
          </cell>
          <cell r="H709">
            <v>7792.84408603271</v>
          </cell>
        </row>
        <row r="710">
          <cell r="B710" t="str">
            <v>COPPERMINE 1104613086</v>
          </cell>
          <cell r="C710">
            <v>252411104</v>
          </cell>
          <cell r="D710" t="str">
            <v>COPPERMINE 1104</v>
          </cell>
          <cell r="E710">
            <v>613086</v>
          </cell>
          <cell r="F710" t="b">
            <v>0</v>
          </cell>
          <cell r="G710">
            <v>14704.7374743769</v>
          </cell>
          <cell r="H710">
            <v>8243.1423659440497</v>
          </cell>
        </row>
        <row r="711">
          <cell r="B711" t="str">
            <v>CORNING 110135974</v>
          </cell>
          <cell r="C711">
            <v>103331101</v>
          </cell>
          <cell r="D711" t="str">
            <v>CORNING 1101</v>
          </cell>
          <cell r="E711">
            <v>35974</v>
          </cell>
          <cell r="F711" t="b">
            <v>1</v>
          </cell>
          <cell r="G711">
            <v>1338.7863047928499</v>
          </cell>
          <cell r="H711">
            <v>398.87387082201099</v>
          </cell>
        </row>
        <row r="712">
          <cell r="B712" t="str">
            <v>CORNING 110164090</v>
          </cell>
          <cell r="C712">
            <v>103331101</v>
          </cell>
          <cell r="D712" t="str">
            <v>CORNING 1101</v>
          </cell>
          <cell r="E712">
            <v>64090</v>
          </cell>
          <cell r="F712" t="b">
            <v>0</v>
          </cell>
          <cell r="G712">
            <v>21993.720013435301</v>
          </cell>
          <cell r="H712">
            <v>21993.720013435301</v>
          </cell>
        </row>
        <row r="713">
          <cell r="B713" t="str">
            <v>CORNING 110182846</v>
          </cell>
          <cell r="C713">
            <v>103331101</v>
          </cell>
          <cell r="D713" t="str">
            <v>CORNING 1101</v>
          </cell>
          <cell r="E713">
            <v>82846</v>
          </cell>
          <cell r="F713" t="b">
            <v>0</v>
          </cell>
          <cell r="G713">
            <v>8140.1206880516802</v>
          </cell>
          <cell r="H713">
            <v>7626.8315543123699</v>
          </cell>
        </row>
        <row r="714">
          <cell r="B714" t="str">
            <v>CORNING 110185152</v>
          </cell>
          <cell r="C714">
            <v>103331101</v>
          </cell>
          <cell r="D714" t="str">
            <v>CORNING 1101</v>
          </cell>
          <cell r="E714">
            <v>85152</v>
          </cell>
          <cell r="F714" t="b">
            <v>0</v>
          </cell>
          <cell r="G714">
            <v>37332.138377421797</v>
          </cell>
          <cell r="H714">
            <v>37332.138377421797</v>
          </cell>
        </row>
        <row r="715">
          <cell r="B715" t="str">
            <v>CORNING 110185162</v>
          </cell>
          <cell r="C715">
            <v>103331101</v>
          </cell>
          <cell r="D715" t="str">
            <v>CORNING 1101</v>
          </cell>
          <cell r="E715">
            <v>85162</v>
          </cell>
          <cell r="F715" t="b">
            <v>0</v>
          </cell>
          <cell r="G715">
            <v>9267.4821464422894</v>
          </cell>
          <cell r="H715">
            <v>9267.4821464422894</v>
          </cell>
        </row>
        <row r="716">
          <cell r="B716" t="str">
            <v>CORNING 110187304</v>
          </cell>
          <cell r="C716">
            <v>103331101</v>
          </cell>
          <cell r="D716" t="str">
            <v>CORNING 1101</v>
          </cell>
          <cell r="E716">
            <v>87304</v>
          </cell>
          <cell r="F716" t="b">
            <v>0</v>
          </cell>
          <cell r="G716">
            <v>23764.158369123699</v>
          </cell>
          <cell r="H716">
            <v>4634.81194437064</v>
          </cell>
        </row>
        <row r="717">
          <cell r="B717" t="str">
            <v>CORNING 11021622</v>
          </cell>
          <cell r="C717">
            <v>103331102</v>
          </cell>
          <cell r="D717" t="str">
            <v>CORNING 1102</v>
          </cell>
          <cell r="E717">
            <v>1622</v>
          </cell>
          <cell r="F717" t="b">
            <v>0</v>
          </cell>
          <cell r="G717">
            <v>54701.964393993097</v>
          </cell>
          <cell r="H717">
            <v>54701.964393993097</v>
          </cell>
        </row>
        <row r="718">
          <cell r="B718" t="str">
            <v>CORNING 110253184</v>
          </cell>
          <cell r="C718">
            <v>103331102</v>
          </cell>
          <cell r="D718" t="str">
            <v>CORNING 1102</v>
          </cell>
          <cell r="E718">
            <v>53184</v>
          </cell>
          <cell r="F718" t="b">
            <v>0</v>
          </cell>
          <cell r="G718">
            <v>51204.652673653</v>
          </cell>
          <cell r="H718">
            <v>51204.652673653</v>
          </cell>
        </row>
        <row r="719">
          <cell r="B719" t="str">
            <v>CORNING 110290036</v>
          </cell>
          <cell r="C719">
            <v>103331102</v>
          </cell>
          <cell r="D719" t="str">
            <v>CORNING 1102</v>
          </cell>
          <cell r="E719">
            <v>90036</v>
          </cell>
          <cell r="F719" t="b">
            <v>0</v>
          </cell>
          <cell r="G719">
            <v>23187.522111200298</v>
          </cell>
          <cell r="H719">
            <v>21561.176213333601</v>
          </cell>
        </row>
        <row r="720">
          <cell r="B720" t="str">
            <v>CORNING 1102915324</v>
          </cell>
          <cell r="C720">
            <v>103331102</v>
          </cell>
          <cell r="D720" t="str">
            <v>CORNING 1102</v>
          </cell>
          <cell r="E720">
            <v>915324</v>
          </cell>
          <cell r="F720" t="b">
            <v>0</v>
          </cell>
          <cell r="G720">
            <v>5487.5306401592698</v>
          </cell>
          <cell r="H720">
            <v>3584.8296130867998</v>
          </cell>
        </row>
        <row r="721">
          <cell r="B721" t="str">
            <v>CORONA 1103114284</v>
          </cell>
          <cell r="C721">
            <v>43491103</v>
          </cell>
          <cell r="D721" t="str">
            <v>CORONA 1103</v>
          </cell>
          <cell r="E721">
            <v>114284</v>
          </cell>
          <cell r="F721" t="b">
            <v>1</v>
          </cell>
          <cell r="G721">
            <v>893.78628356568197</v>
          </cell>
          <cell r="H721">
            <v>451.73257590432002</v>
          </cell>
        </row>
        <row r="722">
          <cell r="B722" t="str">
            <v>CORONA 11034446</v>
          </cell>
          <cell r="C722">
            <v>43491103</v>
          </cell>
          <cell r="D722" t="str">
            <v>CORONA 1103</v>
          </cell>
          <cell r="E722">
            <v>4446</v>
          </cell>
          <cell r="F722" t="b">
            <v>1</v>
          </cell>
          <cell r="G722">
            <v>17302.763457771802</v>
          </cell>
          <cell r="H722">
            <v>0</v>
          </cell>
        </row>
        <row r="723">
          <cell r="B723" t="str">
            <v>CORONA 1103776806</v>
          </cell>
          <cell r="C723">
            <v>43491103</v>
          </cell>
          <cell r="D723" t="str">
            <v>CORONA 1103</v>
          </cell>
          <cell r="E723">
            <v>776806</v>
          </cell>
          <cell r="F723" t="b">
            <v>1</v>
          </cell>
          <cell r="G723">
            <v>1634.48759993967</v>
          </cell>
          <cell r="H723">
            <v>412.40968625601198</v>
          </cell>
        </row>
        <row r="724">
          <cell r="B724" t="str">
            <v>CORRAL 110112606</v>
          </cell>
          <cell r="C724">
            <v>162991101</v>
          </cell>
          <cell r="D724" t="str">
            <v>CORRAL 1101</v>
          </cell>
          <cell r="E724">
            <v>12606</v>
          </cell>
          <cell r="F724" t="b">
            <v>0</v>
          </cell>
          <cell r="G724">
            <v>36144.365974001499</v>
          </cell>
          <cell r="H724">
            <v>36144.365974001499</v>
          </cell>
        </row>
        <row r="725">
          <cell r="B725" t="str">
            <v>CORRAL 110112608</v>
          </cell>
          <cell r="C725">
            <v>162991101</v>
          </cell>
          <cell r="D725" t="str">
            <v>CORRAL 1101</v>
          </cell>
          <cell r="E725">
            <v>12608</v>
          </cell>
          <cell r="F725" t="b">
            <v>0</v>
          </cell>
          <cell r="G725">
            <v>27131.102658634602</v>
          </cell>
          <cell r="H725">
            <v>27131.102658634602</v>
          </cell>
        </row>
        <row r="726">
          <cell r="B726" t="str">
            <v>CORRAL 110112612</v>
          </cell>
          <cell r="C726">
            <v>162991101</v>
          </cell>
          <cell r="D726" t="str">
            <v>CORRAL 1101</v>
          </cell>
          <cell r="E726">
            <v>12612</v>
          </cell>
          <cell r="F726" t="b">
            <v>0</v>
          </cell>
          <cell r="G726">
            <v>32502.266179572802</v>
          </cell>
          <cell r="H726">
            <v>31091.450973488001</v>
          </cell>
        </row>
        <row r="727">
          <cell r="B727" t="str">
            <v>CORRAL 110136652</v>
          </cell>
          <cell r="C727">
            <v>162991101</v>
          </cell>
          <cell r="D727" t="str">
            <v>CORRAL 1101</v>
          </cell>
          <cell r="E727">
            <v>36652</v>
          </cell>
          <cell r="F727" t="b">
            <v>0</v>
          </cell>
          <cell r="G727">
            <v>58152.917740897698</v>
          </cell>
          <cell r="H727">
            <v>58152.917740897698</v>
          </cell>
        </row>
        <row r="728">
          <cell r="B728" t="str">
            <v>CORRAL 110175204</v>
          </cell>
          <cell r="C728">
            <v>162991101</v>
          </cell>
          <cell r="D728" t="str">
            <v>CORRAL 1101</v>
          </cell>
          <cell r="E728">
            <v>75204</v>
          </cell>
          <cell r="F728" t="b">
            <v>0</v>
          </cell>
          <cell r="G728">
            <v>29879.1855154199</v>
          </cell>
          <cell r="H728">
            <v>1376.4737900088701</v>
          </cell>
        </row>
        <row r="729">
          <cell r="B729" t="str">
            <v>CORRAL 1101CB</v>
          </cell>
          <cell r="C729">
            <v>162991101</v>
          </cell>
          <cell r="D729" t="str">
            <v>CORRAL 1101</v>
          </cell>
          <cell r="E729" t="str">
            <v>CB</v>
          </cell>
          <cell r="F729" t="b">
            <v>0</v>
          </cell>
          <cell r="G729">
            <v>44193.700050658801</v>
          </cell>
          <cell r="H729">
            <v>42311.350314519499</v>
          </cell>
        </row>
        <row r="730">
          <cell r="B730" t="str">
            <v>CORRAL 110213498</v>
          </cell>
          <cell r="C730">
            <v>162991102</v>
          </cell>
          <cell r="D730" t="str">
            <v>CORRAL 1102</v>
          </cell>
          <cell r="E730">
            <v>13498</v>
          </cell>
          <cell r="F730" t="b">
            <v>0</v>
          </cell>
          <cell r="G730">
            <v>1603.6406229957699</v>
          </cell>
          <cell r="H730">
            <v>1585.9578850247699</v>
          </cell>
        </row>
        <row r="731">
          <cell r="B731" t="str">
            <v>CORRAL 110214026</v>
          </cell>
          <cell r="C731">
            <v>162991102</v>
          </cell>
          <cell r="D731" t="str">
            <v>CORRAL 1102</v>
          </cell>
          <cell r="E731">
            <v>14026</v>
          </cell>
          <cell r="F731" t="b">
            <v>0</v>
          </cell>
          <cell r="G731">
            <v>16308.520551379999</v>
          </cell>
          <cell r="H731">
            <v>16308.520551379999</v>
          </cell>
        </row>
        <row r="732">
          <cell r="B732" t="str">
            <v>CORRAL 110214028</v>
          </cell>
          <cell r="C732">
            <v>162991102</v>
          </cell>
          <cell r="D732" t="str">
            <v>CORRAL 1102</v>
          </cell>
          <cell r="E732">
            <v>14028</v>
          </cell>
          <cell r="F732" t="b">
            <v>0</v>
          </cell>
          <cell r="G732">
            <v>12751.8037269467</v>
          </cell>
          <cell r="H732">
            <v>6133.5416878384103</v>
          </cell>
        </row>
        <row r="733">
          <cell r="B733" t="str">
            <v>CORRAL 110236666</v>
          </cell>
          <cell r="C733">
            <v>162991102</v>
          </cell>
          <cell r="D733" t="str">
            <v>CORRAL 1102</v>
          </cell>
          <cell r="E733">
            <v>36666</v>
          </cell>
          <cell r="F733" t="b">
            <v>0</v>
          </cell>
          <cell r="G733">
            <v>29026.438004936099</v>
          </cell>
          <cell r="H733">
            <v>27295.752614134199</v>
          </cell>
        </row>
        <row r="734">
          <cell r="B734" t="str">
            <v>CORRAL 110275622</v>
          </cell>
          <cell r="C734">
            <v>162991102</v>
          </cell>
          <cell r="D734" t="str">
            <v>CORRAL 1102</v>
          </cell>
          <cell r="E734">
            <v>75622</v>
          </cell>
          <cell r="F734" t="b">
            <v>0</v>
          </cell>
          <cell r="G734">
            <v>9209.8908426118996</v>
          </cell>
          <cell r="H734">
            <v>1956.9061388130699</v>
          </cell>
        </row>
        <row r="735">
          <cell r="B735" t="str">
            <v>CORRAL 1102CB</v>
          </cell>
          <cell r="C735">
            <v>162991102</v>
          </cell>
          <cell r="D735" t="str">
            <v>CORRAL 1102</v>
          </cell>
          <cell r="E735" t="str">
            <v>CB</v>
          </cell>
          <cell r="F735" t="b">
            <v>0</v>
          </cell>
          <cell r="G735">
            <v>34280.1417419102</v>
          </cell>
          <cell r="H735">
            <v>27168.798590269402</v>
          </cell>
        </row>
        <row r="736">
          <cell r="B736" t="str">
            <v>CORRAL 110313474</v>
          </cell>
          <cell r="C736">
            <v>162991103</v>
          </cell>
          <cell r="D736" t="str">
            <v>CORRAL 1103</v>
          </cell>
          <cell r="E736">
            <v>13474</v>
          </cell>
          <cell r="F736" t="b">
            <v>0</v>
          </cell>
          <cell r="G736">
            <v>11606.5962777679</v>
          </cell>
          <cell r="H736">
            <v>4726.1259153502797</v>
          </cell>
        </row>
        <row r="737">
          <cell r="B737" t="str">
            <v>CORRAL 110336680</v>
          </cell>
          <cell r="C737">
            <v>162991103</v>
          </cell>
          <cell r="D737" t="str">
            <v>CORRAL 1103</v>
          </cell>
          <cell r="E737">
            <v>36680</v>
          </cell>
          <cell r="F737" t="b">
            <v>0</v>
          </cell>
          <cell r="G737">
            <v>32219.824200489798</v>
          </cell>
          <cell r="H737">
            <v>15055.394420464099</v>
          </cell>
        </row>
        <row r="738">
          <cell r="B738" t="str">
            <v>CORRAL 1103569005</v>
          </cell>
          <cell r="C738">
            <v>162991103</v>
          </cell>
          <cell r="D738" t="str">
            <v>CORRAL 1103</v>
          </cell>
          <cell r="E738">
            <v>569005</v>
          </cell>
          <cell r="F738" t="b">
            <v>0</v>
          </cell>
          <cell r="G738">
            <v>3858.1768694028401</v>
          </cell>
          <cell r="H738">
            <v>1152.5977600697499</v>
          </cell>
        </row>
        <row r="739">
          <cell r="B739" t="str">
            <v>CORRAL 110359770</v>
          </cell>
          <cell r="C739">
            <v>162991103</v>
          </cell>
          <cell r="D739" t="str">
            <v>CORRAL 1103</v>
          </cell>
          <cell r="E739">
            <v>59770</v>
          </cell>
          <cell r="F739" t="b">
            <v>0</v>
          </cell>
          <cell r="G739">
            <v>11687.750733753601</v>
          </cell>
          <cell r="H739">
            <v>7749.76335669121</v>
          </cell>
        </row>
        <row r="740">
          <cell r="B740" t="str">
            <v>CORRAL 1103681991</v>
          </cell>
          <cell r="C740">
            <v>162991103</v>
          </cell>
          <cell r="D740" t="str">
            <v>CORRAL 1103</v>
          </cell>
          <cell r="E740">
            <v>681991</v>
          </cell>
          <cell r="F740" t="b">
            <v>0</v>
          </cell>
          <cell r="G740">
            <v>6056.3504862885002</v>
          </cell>
          <cell r="H740">
            <v>2212.03444298258</v>
          </cell>
        </row>
        <row r="741">
          <cell r="B741" t="str">
            <v>CORRAL 1103831781</v>
          </cell>
          <cell r="C741">
            <v>162991103</v>
          </cell>
          <cell r="D741" t="str">
            <v>CORRAL 1103</v>
          </cell>
          <cell r="E741">
            <v>831781</v>
          </cell>
          <cell r="F741" t="b">
            <v>0</v>
          </cell>
          <cell r="G741">
            <v>2564.8738137034302</v>
          </cell>
          <cell r="H741">
            <v>1186.13962345451</v>
          </cell>
        </row>
        <row r="742">
          <cell r="B742" t="str">
            <v>CORRAL 1103936674</v>
          </cell>
          <cell r="C742">
            <v>162991103</v>
          </cell>
          <cell r="D742" t="str">
            <v>CORRAL 1103</v>
          </cell>
          <cell r="E742">
            <v>936674</v>
          </cell>
          <cell r="F742" t="b">
            <v>0</v>
          </cell>
          <cell r="G742">
            <v>6354.8382405093298</v>
          </cell>
          <cell r="H742">
            <v>1063.5847719526901</v>
          </cell>
        </row>
        <row r="743">
          <cell r="B743" t="str">
            <v>CORTINA 1101302192</v>
          </cell>
          <cell r="C743">
            <v>63121101</v>
          </cell>
          <cell r="D743" t="str">
            <v>CORTINA 1101</v>
          </cell>
          <cell r="E743">
            <v>302192</v>
          </cell>
          <cell r="F743" t="b">
            <v>1</v>
          </cell>
          <cell r="G743">
            <v>22573.2132991537</v>
          </cell>
          <cell r="H743">
            <v>0</v>
          </cell>
        </row>
        <row r="744">
          <cell r="B744" t="str">
            <v>CORTINA 1101528460</v>
          </cell>
          <cell r="C744">
            <v>63121101</v>
          </cell>
          <cell r="D744" t="str">
            <v>CORTINA 1101</v>
          </cell>
          <cell r="E744">
            <v>528460</v>
          </cell>
          <cell r="F744" t="b">
            <v>0</v>
          </cell>
          <cell r="G744">
            <v>6121.8318659592596</v>
          </cell>
          <cell r="H744">
            <v>3043.5918368119001</v>
          </cell>
        </row>
        <row r="745">
          <cell r="B745" t="str">
            <v>COTATI 1102167726</v>
          </cell>
          <cell r="C745">
            <v>42271102</v>
          </cell>
          <cell r="D745" t="str">
            <v>COTATI 1102</v>
          </cell>
          <cell r="E745">
            <v>167726</v>
          </cell>
          <cell r="F745" t="b">
            <v>0</v>
          </cell>
          <cell r="G745">
            <v>6114.3743948367301</v>
          </cell>
          <cell r="H745">
            <v>6114.3743948367301</v>
          </cell>
        </row>
        <row r="746">
          <cell r="B746" t="str">
            <v>COTATI 1102260</v>
          </cell>
          <cell r="C746">
            <v>42271102</v>
          </cell>
          <cell r="D746" t="str">
            <v>COTATI 1102</v>
          </cell>
          <cell r="E746">
            <v>260</v>
          </cell>
          <cell r="F746" t="b">
            <v>0</v>
          </cell>
          <cell r="G746">
            <v>9537.0371859148909</v>
          </cell>
          <cell r="H746">
            <v>4317.1661774798204</v>
          </cell>
        </row>
        <row r="747">
          <cell r="B747" t="str">
            <v>COTATI 1102282</v>
          </cell>
          <cell r="C747">
            <v>42271102</v>
          </cell>
          <cell r="D747" t="str">
            <v>COTATI 1102</v>
          </cell>
          <cell r="E747">
            <v>282</v>
          </cell>
          <cell r="F747" t="b">
            <v>0</v>
          </cell>
          <cell r="G747">
            <v>8222.1188728715697</v>
          </cell>
          <cell r="H747">
            <v>4475.08997081895</v>
          </cell>
        </row>
        <row r="748">
          <cell r="B748" t="str">
            <v>COTATI 1102462</v>
          </cell>
          <cell r="C748">
            <v>42271102</v>
          </cell>
          <cell r="D748" t="str">
            <v>COTATI 1102</v>
          </cell>
          <cell r="E748">
            <v>462</v>
          </cell>
          <cell r="F748" t="b">
            <v>0</v>
          </cell>
          <cell r="G748">
            <v>6310.2369327981996</v>
          </cell>
          <cell r="H748">
            <v>4550.7014025272401</v>
          </cell>
        </row>
        <row r="749">
          <cell r="B749" t="str">
            <v>COTATI 1102464</v>
          </cell>
          <cell r="C749">
            <v>42271102</v>
          </cell>
          <cell r="D749" t="str">
            <v>COTATI 1102</v>
          </cell>
          <cell r="E749">
            <v>464</v>
          </cell>
          <cell r="F749" t="b">
            <v>0</v>
          </cell>
          <cell r="G749">
            <v>13038.4156035178</v>
          </cell>
          <cell r="H749">
            <v>3443.59106848893</v>
          </cell>
        </row>
        <row r="750">
          <cell r="B750" t="str">
            <v>COTATI 1102825</v>
          </cell>
          <cell r="C750">
            <v>42271102</v>
          </cell>
          <cell r="D750" t="str">
            <v>COTATI 1102</v>
          </cell>
          <cell r="E750">
            <v>825</v>
          </cell>
          <cell r="F750" t="b">
            <v>1</v>
          </cell>
          <cell r="G750">
            <v>3371.6214083877098</v>
          </cell>
          <cell r="H750">
            <v>749.45672175965296</v>
          </cell>
        </row>
        <row r="751">
          <cell r="B751" t="str">
            <v>COTATI 110283200</v>
          </cell>
          <cell r="C751">
            <v>42271102</v>
          </cell>
          <cell r="D751" t="str">
            <v>COTATI 1102</v>
          </cell>
          <cell r="E751">
            <v>83200</v>
          </cell>
          <cell r="F751" t="b">
            <v>1</v>
          </cell>
          <cell r="G751">
            <v>4654.5591256555899</v>
          </cell>
          <cell r="H751">
            <v>0</v>
          </cell>
        </row>
        <row r="752">
          <cell r="B752" t="str">
            <v>COTATI 1102CB</v>
          </cell>
          <cell r="C752">
            <v>42271102</v>
          </cell>
          <cell r="D752" t="str">
            <v>COTATI 1102</v>
          </cell>
          <cell r="E752" t="str">
            <v>CB</v>
          </cell>
          <cell r="F752" t="b">
            <v>0</v>
          </cell>
          <cell r="G752">
            <v>3229.20793908627</v>
          </cell>
          <cell r="H752">
            <v>2904.3183501143099</v>
          </cell>
        </row>
        <row r="753">
          <cell r="B753" t="str">
            <v>COTATI 1103132</v>
          </cell>
          <cell r="C753">
            <v>42271103</v>
          </cell>
          <cell r="D753" t="str">
            <v>COTATI 1103</v>
          </cell>
          <cell r="E753">
            <v>132</v>
          </cell>
          <cell r="F753" t="b">
            <v>0</v>
          </cell>
          <cell r="G753">
            <v>40702.077550210801</v>
          </cell>
          <cell r="H753">
            <v>40702.077550210801</v>
          </cell>
        </row>
        <row r="754">
          <cell r="B754" t="str">
            <v>COTATI 1103148</v>
          </cell>
          <cell r="C754">
            <v>42271103</v>
          </cell>
          <cell r="D754" t="str">
            <v>COTATI 1103</v>
          </cell>
          <cell r="E754">
            <v>148</v>
          </cell>
          <cell r="F754" t="b">
            <v>0</v>
          </cell>
          <cell r="G754">
            <v>24974.201835460899</v>
          </cell>
          <cell r="H754">
            <v>24850.347843821499</v>
          </cell>
        </row>
        <row r="755">
          <cell r="B755" t="str">
            <v>COTATI 110361736</v>
          </cell>
          <cell r="C755">
            <v>42271103</v>
          </cell>
          <cell r="D755" t="str">
            <v>COTATI 1103</v>
          </cell>
          <cell r="E755">
            <v>61736</v>
          </cell>
          <cell r="F755" t="b">
            <v>0</v>
          </cell>
          <cell r="G755">
            <v>26875.646949956499</v>
          </cell>
          <cell r="H755">
            <v>19558.6497830113</v>
          </cell>
        </row>
        <row r="756">
          <cell r="B756" t="str">
            <v>COTATI 110379140</v>
          </cell>
          <cell r="C756">
            <v>42271103</v>
          </cell>
          <cell r="D756" t="str">
            <v>COTATI 1103</v>
          </cell>
          <cell r="E756">
            <v>79140</v>
          </cell>
          <cell r="F756" t="b">
            <v>0</v>
          </cell>
          <cell r="G756">
            <v>19909.204558876299</v>
          </cell>
          <cell r="H756">
            <v>15742.3512081029</v>
          </cell>
        </row>
        <row r="757">
          <cell r="B757" t="str">
            <v>COTATI 110387402</v>
          </cell>
          <cell r="C757">
            <v>42271103</v>
          </cell>
          <cell r="D757" t="str">
            <v>COTATI 1103</v>
          </cell>
          <cell r="E757">
            <v>87402</v>
          </cell>
          <cell r="F757" t="b">
            <v>0</v>
          </cell>
          <cell r="G757">
            <v>18273.7697457418</v>
          </cell>
          <cell r="H757">
            <v>18273.7697457418</v>
          </cell>
        </row>
        <row r="758">
          <cell r="B758" t="str">
            <v>COTATI 1103CB</v>
          </cell>
          <cell r="C758">
            <v>42271103</v>
          </cell>
          <cell r="D758" t="str">
            <v>COTATI 1103</v>
          </cell>
          <cell r="E758" t="str">
            <v>CB</v>
          </cell>
          <cell r="F758" t="b">
            <v>0</v>
          </cell>
          <cell r="G758">
            <v>19422.567038933299</v>
          </cell>
          <cell r="H758">
            <v>19422.567038933299</v>
          </cell>
        </row>
        <row r="759">
          <cell r="B759" t="str">
            <v>COTATI 1104426</v>
          </cell>
          <cell r="C759">
            <v>42271104</v>
          </cell>
          <cell r="D759" t="str">
            <v>COTATI 1104</v>
          </cell>
          <cell r="E759">
            <v>426</v>
          </cell>
          <cell r="F759" t="b">
            <v>0</v>
          </cell>
          <cell r="G759">
            <v>6243.6328981924798</v>
          </cell>
          <cell r="H759">
            <v>3219.5011331181699</v>
          </cell>
        </row>
        <row r="760">
          <cell r="B760" t="str">
            <v>COTATI 110475972</v>
          </cell>
          <cell r="C760">
            <v>42271104</v>
          </cell>
          <cell r="D760" t="str">
            <v>COTATI 1104</v>
          </cell>
          <cell r="E760">
            <v>75972</v>
          </cell>
          <cell r="F760" t="b">
            <v>0</v>
          </cell>
          <cell r="G760">
            <v>7223.3940311042397</v>
          </cell>
          <cell r="H760">
            <v>5386.1402897370599</v>
          </cell>
        </row>
        <row r="761">
          <cell r="B761" t="str">
            <v>COTATI 1104CB</v>
          </cell>
          <cell r="C761">
            <v>42271104</v>
          </cell>
          <cell r="D761" t="str">
            <v>COTATI 1104</v>
          </cell>
          <cell r="E761" t="str">
            <v>CB</v>
          </cell>
          <cell r="F761" t="b">
            <v>0</v>
          </cell>
          <cell r="G761">
            <v>12268.653898426001</v>
          </cell>
          <cell r="H761">
            <v>7279.3949046190201</v>
          </cell>
        </row>
        <row r="762">
          <cell r="B762" t="str">
            <v>COTATI 1105213984</v>
          </cell>
          <cell r="C762">
            <v>42271105</v>
          </cell>
          <cell r="D762" t="str">
            <v>COTATI 1105</v>
          </cell>
          <cell r="E762">
            <v>213984</v>
          </cell>
          <cell r="F762" t="b">
            <v>0</v>
          </cell>
          <cell r="G762">
            <v>11162.8449742429</v>
          </cell>
          <cell r="H762">
            <v>11162.8449742429</v>
          </cell>
        </row>
        <row r="763">
          <cell r="B763" t="str">
            <v>COTATI 1105328</v>
          </cell>
          <cell r="C763">
            <v>42271105</v>
          </cell>
          <cell r="D763" t="str">
            <v>COTATI 1105</v>
          </cell>
          <cell r="E763">
            <v>328</v>
          </cell>
          <cell r="F763" t="b">
            <v>0</v>
          </cell>
          <cell r="G763">
            <v>22172.974801676199</v>
          </cell>
          <cell r="H763">
            <v>2414.9475552982799</v>
          </cell>
        </row>
        <row r="764">
          <cell r="B764" t="str">
            <v>COTATI 110536536</v>
          </cell>
          <cell r="C764">
            <v>42271105</v>
          </cell>
          <cell r="D764" t="str">
            <v>COTATI 1105</v>
          </cell>
          <cell r="E764">
            <v>36536</v>
          </cell>
          <cell r="F764" t="b">
            <v>0</v>
          </cell>
          <cell r="G764">
            <v>31849.306140463501</v>
          </cell>
          <cell r="H764">
            <v>27701.0415001607</v>
          </cell>
        </row>
        <row r="765">
          <cell r="B765" t="str">
            <v>COTATI 11055156</v>
          </cell>
          <cell r="C765">
            <v>42271105</v>
          </cell>
          <cell r="D765" t="str">
            <v>COTATI 1105</v>
          </cell>
          <cell r="E765">
            <v>5156</v>
          </cell>
          <cell r="F765" t="b">
            <v>0</v>
          </cell>
          <cell r="G765">
            <v>16018.901657075799</v>
          </cell>
          <cell r="H765">
            <v>7784.4976408135599</v>
          </cell>
        </row>
        <row r="766">
          <cell r="B766" t="str">
            <v>COTATI 1105616</v>
          </cell>
          <cell r="C766">
            <v>42271105</v>
          </cell>
          <cell r="D766" t="str">
            <v>COTATI 1105</v>
          </cell>
          <cell r="E766">
            <v>616</v>
          </cell>
          <cell r="F766" t="b">
            <v>0</v>
          </cell>
          <cell r="G766">
            <v>49320.744993425098</v>
          </cell>
          <cell r="H766">
            <v>4247.5230005170497</v>
          </cell>
        </row>
        <row r="767">
          <cell r="B767" t="str">
            <v>COTATI 1105734248</v>
          </cell>
          <cell r="C767">
            <v>42271105</v>
          </cell>
          <cell r="D767" t="str">
            <v>COTATI 1105</v>
          </cell>
          <cell r="E767">
            <v>734248</v>
          </cell>
          <cell r="F767" t="b">
            <v>1</v>
          </cell>
          <cell r="G767">
            <v>774.65816892611394</v>
          </cell>
          <cell r="H767">
            <v>774.65816892611394</v>
          </cell>
        </row>
        <row r="768">
          <cell r="B768" t="str">
            <v>COTATI 1105893</v>
          </cell>
          <cell r="C768">
            <v>42271105</v>
          </cell>
          <cell r="D768" t="str">
            <v>COTATI 1105</v>
          </cell>
          <cell r="E768">
            <v>893</v>
          </cell>
          <cell r="F768" t="b">
            <v>1</v>
          </cell>
          <cell r="G768">
            <v>16957.799166206401</v>
          </cell>
          <cell r="H768">
            <v>312.23026385506199</v>
          </cell>
        </row>
        <row r="769">
          <cell r="B769" t="str">
            <v>COTATI 110599720</v>
          </cell>
          <cell r="C769">
            <v>42271105</v>
          </cell>
          <cell r="D769" t="str">
            <v>COTATI 1105</v>
          </cell>
          <cell r="E769">
            <v>99720</v>
          </cell>
          <cell r="F769" t="b">
            <v>0</v>
          </cell>
          <cell r="G769">
            <v>19787.811462526999</v>
          </cell>
          <cell r="H769">
            <v>14780.8133191788</v>
          </cell>
        </row>
        <row r="770">
          <cell r="B770" t="str">
            <v>COTATI 1105CB</v>
          </cell>
          <cell r="C770">
            <v>42271105</v>
          </cell>
          <cell r="D770" t="str">
            <v>COTATI 1105</v>
          </cell>
          <cell r="E770" t="str">
            <v>CB</v>
          </cell>
          <cell r="F770" t="b">
            <v>0</v>
          </cell>
          <cell r="G770">
            <v>4309.0759004320598</v>
          </cell>
          <cell r="H770">
            <v>4309.0759004320598</v>
          </cell>
        </row>
        <row r="771">
          <cell r="B771" t="str">
            <v>COTTONWOOD 11011510</v>
          </cell>
          <cell r="C771">
            <v>102931101</v>
          </cell>
          <cell r="D771" t="str">
            <v>COTTONWOOD 1101</v>
          </cell>
          <cell r="E771">
            <v>1510</v>
          </cell>
          <cell r="F771" t="b">
            <v>1</v>
          </cell>
          <cell r="G771">
            <v>5333.18066813327</v>
          </cell>
          <cell r="H771">
            <v>613.40182261164</v>
          </cell>
        </row>
        <row r="772">
          <cell r="B772" t="str">
            <v>COTTONWOOD 11011610</v>
          </cell>
          <cell r="C772">
            <v>102931101</v>
          </cell>
          <cell r="D772" t="str">
            <v>COTTONWOOD 1101</v>
          </cell>
          <cell r="E772">
            <v>1610</v>
          </cell>
          <cell r="F772" t="b">
            <v>0</v>
          </cell>
          <cell r="G772">
            <v>61821.935701398499</v>
          </cell>
          <cell r="H772">
            <v>61821.935701398499</v>
          </cell>
        </row>
        <row r="773">
          <cell r="B773" t="str">
            <v>COTTONWOOD 110131500</v>
          </cell>
          <cell r="C773">
            <v>102931101</v>
          </cell>
          <cell r="D773" t="str">
            <v>COTTONWOOD 1101</v>
          </cell>
          <cell r="E773">
            <v>31500</v>
          </cell>
          <cell r="F773" t="b">
            <v>0</v>
          </cell>
          <cell r="G773">
            <v>18887.714201453298</v>
          </cell>
          <cell r="H773">
            <v>7501.4293313563703</v>
          </cell>
        </row>
        <row r="774">
          <cell r="B774" t="str">
            <v>COTTONWOOD 1101384360</v>
          </cell>
          <cell r="C774">
            <v>102931101</v>
          </cell>
          <cell r="D774" t="str">
            <v>COTTONWOOD 1101</v>
          </cell>
          <cell r="E774">
            <v>384360</v>
          </cell>
          <cell r="F774" t="b">
            <v>0</v>
          </cell>
          <cell r="G774">
            <v>10034.779817323901</v>
          </cell>
          <cell r="H774">
            <v>7892.4210658116799</v>
          </cell>
        </row>
        <row r="775">
          <cell r="B775" t="str">
            <v>COTTONWOOD 110168190</v>
          </cell>
          <cell r="C775">
            <v>102931101</v>
          </cell>
          <cell r="D775" t="str">
            <v>COTTONWOOD 1101</v>
          </cell>
          <cell r="E775">
            <v>68190</v>
          </cell>
          <cell r="F775" t="b">
            <v>0</v>
          </cell>
          <cell r="G775">
            <v>40559.777962243199</v>
          </cell>
          <cell r="H775">
            <v>38588.950290156303</v>
          </cell>
        </row>
        <row r="776">
          <cell r="B776" t="str">
            <v>COTTONWOOD 1101CB</v>
          </cell>
          <cell r="C776">
            <v>102931101</v>
          </cell>
          <cell r="D776" t="str">
            <v>COTTONWOOD 1101</v>
          </cell>
          <cell r="E776" t="str">
            <v>CB</v>
          </cell>
          <cell r="F776" t="b">
            <v>1</v>
          </cell>
          <cell r="G776">
            <v>26588.590897064601</v>
          </cell>
          <cell r="H776">
            <v>184.019577710297</v>
          </cell>
        </row>
        <row r="777">
          <cell r="B777" t="str">
            <v>COTTONWOOD 11021578</v>
          </cell>
          <cell r="C777">
            <v>102931102</v>
          </cell>
          <cell r="D777" t="str">
            <v>COTTONWOOD 1102</v>
          </cell>
          <cell r="E777">
            <v>1578</v>
          </cell>
          <cell r="F777" t="b">
            <v>0</v>
          </cell>
          <cell r="G777">
            <v>56424.688382013301</v>
          </cell>
          <cell r="H777">
            <v>48498.427614821499</v>
          </cell>
        </row>
        <row r="778">
          <cell r="B778" t="str">
            <v>COTTONWOOD 1102544790</v>
          </cell>
          <cell r="C778">
            <v>102931102</v>
          </cell>
          <cell r="D778" t="str">
            <v>COTTONWOOD 1102</v>
          </cell>
          <cell r="E778">
            <v>544790</v>
          </cell>
          <cell r="F778" t="b">
            <v>0</v>
          </cell>
          <cell r="G778">
            <v>27462.433495668702</v>
          </cell>
          <cell r="H778">
            <v>26342.404162373001</v>
          </cell>
        </row>
        <row r="779">
          <cell r="B779" t="str">
            <v>COTTONWOOD 11029026</v>
          </cell>
          <cell r="C779">
            <v>102931102</v>
          </cell>
          <cell r="D779" t="str">
            <v>COTTONWOOD 1102</v>
          </cell>
          <cell r="E779">
            <v>9026</v>
          </cell>
          <cell r="F779" t="b">
            <v>0</v>
          </cell>
          <cell r="G779">
            <v>39327.074200337804</v>
          </cell>
          <cell r="H779">
            <v>20154.699159190601</v>
          </cell>
        </row>
        <row r="780">
          <cell r="B780" t="str">
            <v>COTTONWOOD 11031344</v>
          </cell>
          <cell r="C780">
            <v>102931103</v>
          </cell>
          <cell r="D780" t="str">
            <v>COTTONWOOD 1103</v>
          </cell>
          <cell r="E780">
            <v>1344</v>
          </cell>
          <cell r="F780" t="b">
            <v>0</v>
          </cell>
          <cell r="G780">
            <v>20065.0070963256</v>
          </cell>
          <cell r="H780">
            <v>16285.335365754299</v>
          </cell>
        </row>
        <row r="781">
          <cell r="B781" t="str">
            <v>COTTONWOOD 11031348</v>
          </cell>
          <cell r="C781">
            <v>102931103</v>
          </cell>
          <cell r="D781" t="str">
            <v>COTTONWOOD 1103</v>
          </cell>
          <cell r="E781">
            <v>1348</v>
          </cell>
          <cell r="F781" t="b">
            <v>0</v>
          </cell>
          <cell r="G781">
            <v>51267.8366836805</v>
          </cell>
          <cell r="H781">
            <v>46964.647198593499</v>
          </cell>
        </row>
        <row r="782">
          <cell r="B782" t="str">
            <v>COTTONWOOD 11031616</v>
          </cell>
          <cell r="C782">
            <v>102931103</v>
          </cell>
          <cell r="D782" t="str">
            <v>COTTONWOOD 1103</v>
          </cell>
          <cell r="E782">
            <v>1616</v>
          </cell>
          <cell r="F782" t="b">
            <v>0</v>
          </cell>
          <cell r="G782">
            <v>79228.819627733305</v>
          </cell>
          <cell r="H782">
            <v>75536.237405252294</v>
          </cell>
        </row>
        <row r="783">
          <cell r="B783" t="str">
            <v>COTTONWOOD 110335470</v>
          </cell>
          <cell r="C783">
            <v>102931103</v>
          </cell>
          <cell r="D783" t="str">
            <v>COTTONWOOD 1103</v>
          </cell>
          <cell r="E783">
            <v>35470</v>
          </cell>
          <cell r="F783" t="b">
            <v>0</v>
          </cell>
          <cell r="G783">
            <v>40109.7772406109</v>
          </cell>
          <cell r="H783">
            <v>33111.191948143503</v>
          </cell>
        </row>
        <row r="784">
          <cell r="B784" t="str">
            <v>COTTONWOOD 110359128</v>
          </cell>
          <cell r="C784">
            <v>102931103</v>
          </cell>
          <cell r="D784" t="str">
            <v>COTTONWOOD 1103</v>
          </cell>
          <cell r="E784">
            <v>59128</v>
          </cell>
          <cell r="F784" t="b">
            <v>0</v>
          </cell>
          <cell r="G784">
            <v>11301.2737082236</v>
          </cell>
          <cell r="H784">
            <v>1201.9481748017199</v>
          </cell>
        </row>
        <row r="785">
          <cell r="B785" t="str">
            <v>COTTONWOOD 11039072</v>
          </cell>
          <cell r="C785">
            <v>102931103</v>
          </cell>
          <cell r="D785" t="str">
            <v>COTTONWOOD 1103</v>
          </cell>
          <cell r="E785">
            <v>9072</v>
          </cell>
          <cell r="F785" t="b">
            <v>0</v>
          </cell>
          <cell r="G785">
            <v>46343.920805837297</v>
          </cell>
          <cell r="H785">
            <v>46343.920805837297</v>
          </cell>
        </row>
        <row r="786">
          <cell r="B786" t="str">
            <v>COVELO 1101112804</v>
          </cell>
          <cell r="C786">
            <v>43061101</v>
          </cell>
          <cell r="D786" t="str">
            <v>COVELO 1101</v>
          </cell>
          <cell r="E786">
            <v>112804</v>
          </cell>
          <cell r="F786" t="b">
            <v>0</v>
          </cell>
          <cell r="G786">
            <v>30691.366911407498</v>
          </cell>
          <cell r="H786">
            <v>16512.5111405918</v>
          </cell>
        </row>
        <row r="787">
          <cell r="B787" t="str">
            <v>COVELO 1101306476</v>
          </cell>
          <cell r="C787">
            <v>43061101</v>
          </cell>
          <cell r="D787" t="str">
            <v>COVELO 1101</v>
          </cell>
          <cell r="E787">
            <v>306476</v>
          </cell>
          <cell r="F787" t="b">
            <v>0</v>
          </cell>
          <cell r="G787">
            <v>16292.4669004354</v>
          </cell>
          <cell r="H787">
            <v>3106.3769590478701</v>
          </cell>
        </row>
        <row r="788">
          <cell r="B788" t="str">
            <v>COVELO 1101430286</v>
          </cell>
          <cell r="C788">
            <v>43061101</v>
          </cell>
          <cell r="D788" t="str">
            <v>COVELO 1101</v>
          </cell>
          <cell r="E788">
            <v>430286</v>
          </cell>
          <cell r="F788" t="b">
            <v>0</v>
          </cell>
          <cell r="G788">
            <v>8696.3654847051494</v>
          </cell>
          <cell r="H788">
            <v>5942.5050586570796</v>
          </cell>
        </row>
        <row r="789">
          <cell r="B789" t="str">
            <v>COVELO 1101478952</v>
          </cell>
          <cell r="C789">
            <v>43061101</v>
          </cell>
          <cell r="D789" t="str">
            <v>COVELO 1101</v>
          </cell>
          <cell r="E789">
            <v>478952</v>
          </cell>
          <cell r="F789" t="b">
            <v>0</v>
          </cell>
          <cell r="G789">
            <v>5727.3170581987697</v>
          </cell>
          <cell r="H789">
            <v>1143.66615956284</v>
          </cell>
        </row>
        <row r="790">
          <cell r="B790" t="str">
            <v>COVELO 1101516510</v>
          </cell>
          <cell r="C790">
            <v>43061101</v>
          </cell>
          <cell r="D790" t="str">
            <v>COVELO 1101</v>
          </cell>
          <cell r="E790">
            <v>516510</v>
          </cell>
          <cell r="F790" t="b">
            <v>0</v>
          </cell>
          <cell r="G790">
            <v>13673.072508744899</v>
          </cell>
          <cell r="H790">
            <v>6073.34786684763</v>
          </cell>
        </row>
        <row r="791">
          <cell r="B791" t="str">
            <v>COVELO 1101627416</v>
          </cell>
          <cell r="C791">
            <v>43061101</v>
          </cell>
          <cell r="D791" t="str">
            <v>COVELO 1101</v>
          </cell>
          <cell r="E791">
            <v>627416</v>
          </cell>
          <cell r="F791" t="b">
            <v>1</v>
          </cell>
          <cell r="G791">
            <v>5034.3821732854003</v>
          </cell>
          <cell r="H791">
            <v>971.51239289734804</v>
          </cell>
        </row>
        <row r="792">
          <cell r="B792" t="str">
            <v>CRESCENT MILLS 21012056</v>
          </cell>
          <cell r="C792">
            <v>103132101</v>
          </cell>
          <cell r="D792" t="str">
            <v>CRESCENT MILLS 2101</v>
          </cell>
          <cell r="E792">
            <v>2056</v>
          </cell>
          <cell r="F792" t="b">
            <v>0</v>
          </cell>
          <cell r="G792">
            <v>10443.0867692027</v>
          </cell>
          <cell r="H792">
            <v>8069.9513186005497</v>
          </cell>
        </row>
        <row r="793">
          <cell r="B793" t="str">
            <v>CRESCENT MILLS 21012230</v>
          </cell>
          <cell r="C793">
            <v>103132101</v>
          </cell>
          <cell r="D793" t="str">
            <v>CRESCENT MILLS 2101</v>
          </cell>
          <cell r="E793">
            <v>2230</v>
          </cell>
          <cell r="F793" t="b">
            <v>0</v>
          </cell>
          <cell r="G793">
            <v>17863.158908401601</v>
          </cell>
          <cell r="H793">
            <v>10972.6709174835</v>
          </cell>
        </row>
        <row r="794">
          <cell r="B794" t="str">
            <v>CRESCENT MILLS 21012232</v>
          </cell>
          <cell r="C794">
            <v>103132101</v>
          </cell>
          <cell r="D794" t="str">
            <v>CRESCENT MILLS 2101</v>
          </cell>
          <cell r="E794">
            <v>2232</v>
          </cell>
          <cell r="F794" t="b">
            <v>0</v>
          </cell>
          <cell r="G794">
            <v>32508.1294245512</v>
          </cell>
          <cell r="H794">
            <v>25513.6467533785</v>
          </cell>
        </row>
        <row r="795">
          <cell r="B795" t="str">
            <v>CRESCENT MILLS 21012562</v>
          </cell>
          <cell r="C795">
            <v>103132101</v>
          </cell>
          <cell r="D795" t="str">
            <v>CRESCENT MILLS 2101</v>
          </cell>
          <cell r="E795">
            <v>2562</v>
          </cell>
          <cell r="F795" t="b">
            <v>0</v>
          </cell>
          <cell r="G795">
            <v>55111.704363304598</v>
          </cell>
          <cell r="H795">
            <v>31122.732211959399</v>
          </cell>
        </row>
        <row r="796">
          <cell r="B796" t="str">
            <v>CRESCENT MILLS 21013113</v>
          </cell>
          <cell r="C796">
            <v>103132101</v>
          </cell>
          <cell r="D796" t="str">
            <v>CRESCENT MILLS 2101</v>
          </cell>
          <cell r="E796">
            <v>3113</v>
          </cell>
          <cell r="F796" t="b">
            <v>0</v>
          </cell>
          <cell r="G796">
            <v>1919.7006533072399</v>
          </cell>
          <cell r="H796">
            <v>1919.7006533072399</v>
          </cell>
        </row>
        <row r="797">
          <cell r="B797" t="str">
            <v>CRESCENT MILLS 2101CB</v>
          </cell>
          <cell r="C797">
            <v>103132101</v>
          </cell>
          <cell r="D797" t="str">
            <v>CRESCENT MILLS 2101</v>
          </cell>
          <cell r="E797" t="str">
            <v>CB</v>
          </cell>
          <cell r="F797" t="b">
            <v>0</v>
          </cell>
          <cell r="G797">
            <v>9227.3447465889694</v>
          </cell>
          <cell r="H797">
            <v>4545.92640716592</v>
          </cell>
        </row>
        <row r="798">
          <cell r="B798" t="str">
            <v>CRESTA 1101103126</v>
          </cell>
          <cell r="C798">
            <v>102251101</v>
          </cell>
          <cell r="D798" t="str">
            <v>CRESTA 1101</v>
          </cell>
          <cell r="E798">
            <v>103126</v>
          </cell>
          <cell r="F798" t="b">
            <v>1</v>
          </cell>
          <cell r="G798">
            <v>487.03346468191398</v>
          </cell>
          <cell r="H798">
            <v>487.03346468191398</v>
          </cell>
        </row>
        <row r="799">
          <cell r="B799" t="str">
            <v>CRESTA 1101546650</v>
          </cell>
          <cell r="C799">
            <v>102251101</v>
          </cell>
          <cell r="D799" t="str">
            <v>CRESTA 1101</v>
          </cell>
          <cell r="E799">
            <v>546650</v>
          </cell>
          <cell r="F799" t="b">
            <v>0</v>
          </cell>
          <cell r="G799">
            <v>1443.1770204080899</v>
          </cell>
          <cell r="H799">
            <v>1443.1770204080899</v>
          </cell>
        </row>
        <row r="800">
          <cell r="B800" t="str">
            <v>CURTIS 170190120</v>
          </cell>
          <cell r="C800">
            <v>163351701</v>
          </cell>
          <cell r="D800" t="str">
            <v>CURTIS 1701</v>
          </cell>
          <cell r="E800">
            <v>90120</v>
          </cell>
          <cell r="F800" t="b">
            <v>0</v>
          </cell>
          <cell r="G800">
            <v>8309.12917849109</v>
          </cell>
          <cell r="H800">
            <v>5041.5999011333197</v>
          </cell>
        </row>
        <row r="801">
          <cell r="B801" t="str">
            <v>CURTIS 17019230</v>
          </cell>
          <cell r="C801">
            <v>163351701</v>
          </cell>
          <cell r="D801" t="str">
            <v>CURTIS 1701</v>
          </cell>
          <cell r="E801">
            <v>9230</v>
          </cell>
          <cell r="F801" t="b">
            <v>0</v>
          </cell>
          <cell r="G801">
            <v>5065.9523593262102</v>
          </cell>
          <cell r="H801">
            <v>4064.6381066290201</v>
          </cell>
        </row>
        <row r="802">
          <cell r="B802" t="str">
            <v>CURTIS 1701CB</v>
          </cell>
          <cell r="C802">
            <v>163351701</v>
          </cell>
          <cell r="D802" t="str">
            <v>CURTIS 1701</v>
          </cell>
          <cell r="E802" t="str">
            <v>CB</v>
          </cell>
          <cell r="F802" t="b">
            <v>0</v>
          </cell>
          <cell r="G802">
            <v>20034.287114252998</v>
          </cell>
          <cell r="H802">
            <v>12973.536314331301</v>
          </cell>
        </row>
        <row r="803">
          <cell r="B803" t="str">
            <v>CURTIS 170210940</v>
          </cell>
          <cell r="C803">
            <v>163351702</v>
          </cell>
          <cell r="D803" t="str">
            <v>CURTIS 1702</v>
          </cell>
          <cell r="E803">
            <v>10940</v>
          </cell>
          <cell r="F803" t="b">
            <v>0</v>
          </cell>
          <cell r="G803">
            <v>17097.711030778701</v>
          </cell>
          <cell r="H803">
            <v>13824.959177086501</v>
          </cell>
        </row>
        <row r="804">
          <cell r="B804" t="str">
            <v>CURTIS 170234426</v>
          </cell>
          <cell r="C804">
            <v>163351702</v>
          </cell>
          <cell r="D804" t="str">
            <v>CURTIS 1702</v>
          </cell>
          <cell r="E804">
            <v>34426</v>
          </cell>
          <cell r="F804" t="b">
            <v>0</v>
          </cell>
          <cell r="G804">
            <v>11062.8210111514</v>
          </cell>
          <cell r="H804">
            <v>7591.2944178801799</v>
          </cell>
        </row>
        <row r="805">
          <cell r="B805" t="str">
            <v>CURTIS 170247488</v>
          </cell>
          <cell r="C805">
            <v>163351702</v>
          </cell>
          <cell r="D805" t="str">
            <v>CURTIS 1702</v>
          </cell>
          <cell r="E805">
            <v>47488</v>
          </cell>
          <cell r="F805" t="b">
            <v>0</v>
          </cell>
          <cell r="G805">
            <v>33425.217894436202</v>
          </cell>
          <cell r="H805">
            <v>30588.7641245919</v>
          </cell>
        </row>
        <row r="806">
          <cell r="B806" t="str">
            <v>CURTIS 17026008</v>
          </cell>
          <cell r="C806">
            <v>163351702</v>
          </cell>
          <cell r="D806" t="str">
            <v>CURTIS 1702</v>
          </cell>
          <cell r="E806">
            <v>6008</v>
          </cell>
          <cell r="F806" t="b">
            <v>0</v>
          </cell>
          <cell r="G806">
            <v>37504.318118356299</v>
          </cell>
          <cell r="H806">
            <v>37504.318118356299</v>
          </cell>
        </row>
        <row r="807">
          <cell r="B807" t="str">
            <v>CURTIS 170268380</v>
          </cell>
          <cell r="C807">
            <v>163351702</v>
          </cell>
          <cell r="D807" t="str">
            <v>CURTIS 1702</v>
          </cell>
          <cell r="E807">
            <v>68380</v>
          </cell>
          <cell r="F807" t="b">
            <v>0</v>
          </cell>
          <cell r="G807">
            <v>10711.9675291393</v>
          </cell>
          <cell r="H807">
            <v>10711.9675291393</v>
          </cell>
        </row>
        <row r="808">
          <cell r="B808" t="str">
            <v>CURTIS 17028000</v>
          </cell>
          <cell r="C808">
            <v>163351702</v>
          </cell>
          <cell r="D808" t="str">
            <v>CURTIS 1702</v>
          </cell>
          <cell r="E808">
            <v>8000</v>
          </cell>
          <cell r="F808" t="b">
            <v>0</v>
          </cell>
          <cell r="G808">
            <v>23055.460205528099</v>
          </cell>
          <cell r="H808">
            <v>23055.460205528099</v>
          </cell>
        </row>
        <row r="809">
          <cell r="B809" t="str">
            <v>CURTIS 17029220</v>
          </cell>
          <cell r="C809">
            <v>163351702</v>
          </cell>
          <cell r="D809" t="str">
            <v>CURTIS 1702</v>
          </cell>
          <cell r="E809">
            <v>9220</v>
          </cell>
          <cell r="F809" t="b">
            <v>0</v>
          </cell>
          <cell r="G809">
            <v>18356.540332817702</v>
          </cell>
          <cell r="H809">
            <v>17704.0280666211</v>
          </cell>
        </row>
        <row r="810">
          <cell r="B810" t="str">
            <v>CURTIS 1702CB</v>
          </cell>
          <cell r="C810">
            <v>163351702</v>
          </cell>
          <cell r="D810" t="str">
            <v>CURTIS 1702</v>
          </cell>
          <cell r="E810" t="str">
            <v>CB</v>
          </cell>
          <cell r="F810" t="b">
            <v>0</v>
          </cell>
          <cell r="G810">
            <v>36887.026547249901</v>
          </cell>
          <cell r="H810">
            <v>35506.515177699002</v>
          </cell>
        </row>
        <row r="811">
          <cell r="B811" t="str">
            <v>CURTIS 1702S2123</v>
          </cell>
          <cell r="C811">
            <v>163351702</v>
          </cell>
          <cell r="D811" t="str">
            <v>CURTIS 1702</v>
          </cell>
          <cell r="E811" t="str">
            <v>S2123</v>
          </cell>
          <cell r="F811" t="b">
            <v>0</v>
          </cell>
          <cell r="G811">
            <v>2988.98548688964</v>
          </cell>
          <cell r="H811">
            <v>2988.98548688964</v>
          </cell>
        </row>
        <row r="812">
          <cell r="B812" t="str">
            <v>CURTIS 170349746</v>
          </cell>
          <cell r="C812">
            <v>163351703</v>
          </cell>
          <cell r="D812" t="str">
            <v>CURTIS 1703</v>
          </cell>
          <cell r="E812">
            <v>49746</v>
          </cell>
          <cell r="F812" t="b">
            <v>1</v>
          </cell>
          <cell r="G812">
            <v>601.90074408059297</v>
          </cell>
          <cell r="H812">
            <v>601.90074408059297</v>
          </cell>
        </row>
        <row r="813">
          <cell r="B813" t="str">
            <v>CURTIS 170356972</v>
          </cell>
          <cell r="C813">
            <v>163351703</v>
          </cell>
          <cell r="D813" t="str">
            <v>CURTIS 1703</v>
          </cell>
          <cell r="E813">
            <v>56972</v>
          </cell>
          <cell r="F813" t="b">
            <v>0</v>
          </cell>
          <cell r="G813">
            <v>13791.0470695731</v>
          </cell>
          <cell r="H813">
            <v>13791.0470695731</v>
          </cell>
        </row>
        <row r="814">
          <cell r="B814" t="str">
            <v>CURTIS 17036064</v>
          </cell>
          <cell r="C814">
            <v>163351703</v>
          </cell>
          <cell r="D814" t="str">
            <v>CURTIS 1703</v>
          </cell>
          <cell r="E814">
            <v>6064</v>
          </cell>
          <cell r="F814" t="b">
            <v>0</v>
          </cell>
          <cell r="G814">
            <v>31643.7207388979</v>
          </cell>
          <cell r="H814">
            <v>30550.9365525393</v>
          </cell>
        </row>
        <row r="815">
          <cell r="B815" t="str">
            <v>CURTIS 170384944</v>
          </cell>
          <cell r="C815">
            <v>163351703</v>
          </cell>
          <cell r="D815" t="str">
            <v>CURTIS 1703</v>
          </cell>
          <cell r="E815">
            <v>84944</v>
          </cell>
          <cell r="F815" t="b">
            <v>0</v>
          </cell>
          <cell r="G815">
            <v>93674.307752977402</v>
          </cell>
          <cell r="H815">
            <v>93674.307752977402</v>
          </cell>
        </row>
        <row r="816">
          <cell r="B816" t="str">
            <v>CURTIS 170390320</v>
          </cell>
          <cell r="C816">
            <v>163351703</v>
          </cell>
          <cell r="D816" t="str">
            <v>CURTIS 1703</v>
          </cell>
          <cell r="E816">
            <v>90320</v>
          </cell>
          <cell r="F816" t="b">
            <v>0</v>
          </cell>
          <cell r="G816">
            <v>44849.663970165297</v>
          </cell>
          <cell r="H816">
            <v>44849.663970165297</v>
          </cell>
        </row>
        <row r="817">
          <cell r="B817" t="str">
            <v>CURTIS 17039210</v>
          </cell>
          <cell r="C817">
            <v>163351703</v>
          </cell>
          <cell r="D817" t="str">
            <v>CURTIS 1703</v>
          </cell>
          <cell r="E817">
            <v>9210</v>
          </cell>
          <cell r="F817" t="b">
            <v>0</v>
          </cell>
          <cell r="G817">
            <v>36192.6145649721</v>
          </cell>
          <cell r="H817">
            <v>36192.6145649721</v>
          </cell>
        </row>
        <row r="818">
          <cell r="B818" t="str">
            <v>CURTIS 17039240</v>
          </cell>
          <cell r="C818">
            <v>163351703</v>
          </cell>
          <cell r="D818" t="str">
            <v>CURTIS 1703</v>
          </cell>
          <cell r="E818">
            <v>9240</v>
          </cell>
          <cell r="F818" t="b">
            <v>0</v>
          </cell>
          <cell r="G818">
            <v>17656.496004991601</v>
          </cell>
          <cell r="H818">
            <v>17656.496004991601</v>
          </cell>
        </row>
        <row r="819">
          <cell r="B819" t="str">
            <v>CURTIS 17039330</v>
          </cell>
          <cell r="C819">
            <v>163351703</v>
          </cell>
          <cell r="D819" t="str">
            <v>CURTIS 1703</v>
          </cell>
          <cell r="E819">
            <v>9330</v>
          </cell>
          <cell r="F819" t="b">
            <v>0</v>
          </cell>
          <cell r="G819">
            <v>66516.276596601601</v>
          </cell>
          <cell r="H819">
            <v>66516.276596601601</v>
          </cell>
        </row>
        <row r="820">
          <cell r="B820" t="str">
            <v>CURTIS 1703CB</v>
          </cell>
          <cell r="C820">
            <v>163351703</v>
          </cell>
          <cell r="D820" t="str">
            <v>CURTIS 1703</v>
          </cell>
          <cell r="E820" t="str">
            <v>CB</v>
          </cell>
          <cell r="F820" t="b">
            <v>0</v>
          </cell>
          <cell r="G820">
            <v>17669.241172665199</v>
          </cell>
          <cell r="H820">
            <v>14555.921290608199</v>
          </cell>
        </row>
        <row r="821">
          <cell r="B821" t="str">
            <v>CURTIS 170411290</v>
          </cell>
          <cell r="C821">
            <v>163351704</v>
          </cell>
          <cell r="D821" t="str">
            <v>CURTIS 1704</v>
          </cell>
          <cell r="E821">
            <v>11290</v>
          </cell>
          <cell r="F821" t="b">
            <v>0</v>
          </cell>
          <cell r="G821">
            <v>12662.0410814644</v>
          </cell>
          <cell r="H821">
            <v>12662.0410814644</v>
          </cell>
        </row>
        <row r="822">
          <cell r="B822" t="str">
            <v>CURTIS 170411300</v>
          </cell>
          <cell r="C822">
            <v>163351704</v>
          </cell>
          <cell r="D822" t="str">
            <v>CURTIS 1704</v>
          </cell>
          <cell r="E822">
            <v>11300</v>
          </cell>
          <cell r="F822" t="b">
            <v>0</v>
          </cell>
          <cell r="G822">
            <v>5912.6947336451503</v>
          </cell>
          <cell r="H822">
            <v>5912.6947336451503</v>
          </cell>
        </row>
        <row r="823">
          <cell r="B823" t="str">
            <v>CURTIS 17046060</v>
          </cell>
          <cell r="C823">
            <v>163351704</v>
          </cell>
          <cell r="D823" t="str">
            <v>CURTIS 1704</v>
          </cell>
          <cell r="E823">
            <v>6060</v>
          </cell>
          <cell r="F823" t="b">
            <v>0</v>
          </cell>
          <cell r="G823">
            <v>6540.8970606407702</v>
          </cell>
          <cell r="H823">
            <v>6540.8970606407702</v>
          </cell>
        </row>
        <row r="824">
          <cell r="B824" t="str">
            <v>CURTIS 170463502</v>
          </cell>
          <cell r="C824">
            <v>163351704</v>
          </cell>
          <cell r="D824" t="str">
            <v>CURTIS 1704</v>
          </cell>
          <cell r="E824">
            <v>63502</v>
          </cell>
          <cell r="F824" t="b">
            <v>0</v>
          </cell>
          <cell r="G824">
            <v>16836.9835371511</v>
          </cell>
          <cell r="H824">
            <v>16836.9835371511</v>
          </cell>
        </row>
        <row r="825">
          <cell r="B825" t="str">
            <v>CURTIS 1704803</v>
          </cell>
          <cell r="C825">
            <v>163351704</v>
          </cell>
          <cell r="D825" t="str">
            <v>CURTIS 1704</v>
          </cell>
          <cell r="E825">
            <v>803</v>
          </cell>
          <cell r="F825" t="b">
            <v>0</v>
          </cell>
          <cell r="G825">
            <v>15630.8478598571</v>
          </cell>
          <cell r="H825">
            <v>15630.8478598571</v>
          </cell>
        </row>
        <row r="826">
          <cell r="B826" t="str">
            <v>CURTIS 17048140</v>
          </cell>
          <cell r="C826">
            <v>163351704</v>
          </cell>
          <cell r="D826" t="str">
            <v>CURTIS 1704</v>
          </cell>
          <cell r="E826">
            <v>8140</v>
          </cell>
          <cell r="F826" t="b">
            <v>0</v>
          </cell>
          <cell r="G826">
            <v>42456.903948786698</v>
          </cell>
          <cell r="H826">
            <v>42456.903948786698</v>
          </cell>
        </row>
        <row r="827">
          <cell r="B827" t="str">
            <v>CURTIS 1704CB</v>
          </cell>
          <cell r="C827">
            <v>163351704</v>
          </cell>
          <cell r="D827" t="str">
            <v>CURTIS 1704</v>
          </cell>
          <cell r="E827" t="str">
            <v>CB</v>
          </cell>
          <cell r="F827" t="b">
            <v>0</v>
          </cell>
          <cell r="G827">
            <v>22863.3141665568</v>
          </cell>
          <cell r="H827">
            <v>22355.130445355298</v>
          </cell>
        </row>
        <row r="828">
          <cell r="B828" t="str">
            <v>CURTIS 170510590</v>
          </cell>
          <cell r="C828">
            <v>163351705</v>
          </cell>
          <cell r="D828" t="str">
            <v>CURTIS 1705</v>
          </cell>
          <cell r="E828">
            <v>10590</v>
          </cell>
          <cell r="F828" t="b">
            <v>0</v>
          </cell>
          <cell r="G828">
            <v>26358.337588280701</v>
          </cell>
          <cell r="H828">
            <v>26358.337588280701</v>
          </cell>
        </row>
        <row r="829">
          <cell r="B829" t="str">
            <v>CURTIS 170511790</v>
          </cell>
          <cell r="C829">
            <v>163351705</v>
          </cell>
          <cell r="D829" t="str">
            <v>CURTIS 1705</v>
          </cell>
          <cell r="E829">
            <v>11790</v>
          </cell>
          <cell r="F829" t="b">
            <v>1</v>
          </cell>
          <cell r="G829">
            <v>22.898750428107402</v>
          </cell>
          <cell r="H829">
            <v>22.898750428107402</v>
          </cell>
        </row>
        <row r="830">
          <cell r="B830" t="str">
            <v>CURTIS 170539256</v>
          </cell>
          <cell r="C830">
            <v>163351705</v>
          </cell>
          <cell r="D830" t="str">
            <v>CURTIS 1705</v>
          </cell>
          <cell r="E830">
            <v>39256</v>
          </cell>
          <cell r="F830" t="b">
            <v>0</v>
          </cell>
          <cell r="G830">
            <v>42581.061188951899</v>
          </cell>
          <cell r="H830">
            <v>42581.061188951899</v>
          </cell>
        </row>
        <row r="831">
          <cell r="B831" t="str">
            <v>CURTIS 170565908</v>
          </cell>
          <cell r="C831">
            <v>163351705</v>
          </cell>
          <cell r="D831" t="str">
            <v>CURTIS 1705</v>
          </cell>
          <cell r="E831">
            <v>65908</v>
          </cell>
          <cell r="F831" t="b">
            <v>0</v>
          </cell>
          <cell r="G831">
            <v>26966.302674181701</v>
          </cell>
          <cell r="H831">
            <v>22380.0868874019</v>
          </cell>
        </row>
        <row r="832">
          <cell r="B832" t="str">
            <v>CURTIS 17058110</v>
          </cell>
          <cell r="C832">
            <v>163351705</v>
          </cell>
          <cell r="D832" t="str">
            <v>CURTIS 1705</v>
          </cell>
          <cell r="E832">
            <v>8110</v>
          </cell>
          <cell r="F832" t="b">
            <v>0</v>
          </cell>
          <cell r="G832">
            <v>13110.330606404499</v>
          </cell>
          <cell r="H832">
            <v>13110.330606404499</v>
          </cell>
        </row>
        <row r="833">
          <cell r="B833" t="str">
            <v>CURTIS 17058170</v>
          </cell>
          <cell r="C833">
            <v>163351705</v>
          </cell>
          <cell r="D833" t="str">
            <v>CURTIS 1705</v>
          </cell>
          <cell r="E833">
            <v>8170</v>
          </cell>
          <cell r="F833" t="b">
            <v>0</v>
          </cell>
          <cell r="G833">
            <v>12697.6373431266</v>
          </cell>
          <cell r="H833">
            <v>12388.5528244749</v>
          </cell>
        </row>
        <row r="834">
          <cell r="B834" t="str">
            <v>CURTIS 1705CB</v>
          </cell>
          <cell r="C834">
            <v>163351705</v>
          </cell>
          <cell r="D834" t="str">
            <v>CURTIS 1705</v>
          </cell>
          <cell r="E834" t="str">
            <v>CB</v>
          </cell>
          <cell r="F834" t="b">
            <v>0</v>
          </cell>
          <cell r="G834">
            <v>22023.402628433301</v>
          </cell>
          <cell r="H834">
            <v>21461.2320128098</v>
          </cell>
        </row>
        <row r="835">
          <cell r="B835" t="str">
            <v>CUYAMA 1103684566</v>
          </cell>
          <cell r="C835">
            <v>253141103</v>
          </cell>
          <cell r="D835" t="str">
            <v>CUYAMA 1103</v>
          </cell>
          <cell r="E835">
            <v>684566</v>
          </cell>
          <cell r="F835" t="b">
            <v>0</v>
          </cell>
          <cell r="G835">
            <v>4872.6951382156803</v>
          </cell>
          <cell r="H835">
            <v>4856.6929848447098</v>
          </cell>
        </row>
        <row r="836">
          <cell r="B836" t="str">
            <v>DEL MAR 2109306972</v>
          </cell>
          <cell r="C836">
            <v>152582109</v>
          </cell>
          <cell r="D836" t="str">
            <v>DEL MAR 2109</v>
          </cell>
          <cell r="E836">
            <v>306972</v>
          </cell>
          <cell r="F836" t="b">
            <v>1</v>
          </cell>
          <cell r="G836">
            <v>120.323365068079</v>
          </cell>
          <cell r="H836">
            <v>83.440727700395399</v>
          </cell>
        </row>
        <row r="837">
          <cell r="B837" t="str">
            <v>DEL MAR 2109378446</v>
          </cell>
          <cell r="C837">
            <v>152582109</v>
          </cell>
          <cell r="D837" t="str">
            <v>DEL MAR 2109</v>
          </cell>
          <cell r="E837">
            <v>378446</v>
          </cell>
          <cell r="F837" t="b">
            <v>1</v>
          </cell>
          <cell r="G837">
            <v>173.219632740989</v>
          </cell>
          <cell r="H837">
            <v>157.94878880232099</v>
          </cell>
        </row>
        <row r="838">
          <cell r="B838" t="str">
            <v>DEL MAR 210938684</v>
          </cell>
          <cell r="C838">
            <v>152582109</v>
          </cell>
          <cell r="D838" t="str">
            <v>DEL MAR 2109</v>
          </cell>
          <cell r="E838">
            <v>38684</v>
          </cell>
          <cell r="F838" t="b">
            <v>1</v>
          </cell>
          <cell r="G838">
            <v>100.115666678276</v>
          </cell>
          <cell r="H838">
            <v>38.397418475757398</v>
          </cell>
        </row>
        <row r="839">
          <cell r="B839" t="str">
            <v>DEL MAR 210975802</v>
          </cell>
          <cell r="C839">
            <v>152582109</v>
          </cell>
          <cell r="D839" t="str">
            <v>DEL MAR 2109</v>
          </cell>
          <cell r="E839">
            <v>75802</v>
          </cell>
          <cell r="F839" t="b">
            <v>1</v>
          </cell>
          <cell r="G839">
            <v>680.02264899090301</v>
          </cell>
          <cell r="H839">
            <v>576.15532681652905</v>
          </cell>
        </row>
        <row r="840">
          <cell r="B840" t="str">
            <v>DEL MAR 2109805882</v>
          </cell>
          <cell r="C840">
            <v>152582109</v>
          </cell>
          <cell r="D840" t="str">
            <v>DEL MAR 2109</v>
          </cell>
          <cell r="E840">
            <v>805882</v>
          </cell>
          <cell r="F840" t="b">
            <v>1</v>
          </cell>
          <cell r="G840">
            <v>497.93690191051201</v>
          </cell>
          <cell r="H840">
            <v>477.30244462965697</v>
          </cell>
        </row>
        <row r="841">
          <cell r="B841" t="str">
            <v>DEL MAR 2109CB</v>
          </cell>
          <cell r="C841">
            <v>152582109</v>
          </cell>
          <cell r="D841" t="str">
            <v>DEL MAR 2109</v>
          </cell>
          <cell r="E841" t="str">
            <v>CB</v>
          </cell>
          <cell r="F841" t="b">
            <v>0</v>
          </cell>
          <cell r="G841">
            <v>9780.4489325205304</v>
          </cell>
          <cell r="H841">
            <v>2376.91263834954</v>
          </cell>
        </row>
        <row r="842">
          <cell r="B842" t="str">
            <v>DEL MONTE 110138582</v>
          </cell>
          <cell r="C842">
            <v>182221101</v>
          </cell>
          <cell r="D842" t="str">
            <v>DEL MONTE 1101</v>
          </cell>
          <cell r="E842">
            <v>38582</v>
          </cell>
          <cell r="F842" t="b">
            <v>1</v>
          </cell>
          <cell r="G842">
            <v>8624.1276371010808</v>
          </cell>
          <cell r="H842">
            <v>853.87779818515003</v>
          </cell>
        </row>
        <row r="843">
          <cell r="B843" t="str">
            <v>DEL MONTE 21029060</v>
          </cell>
          <cell r="C843">
            <v>182222102</v>
          </cell>
          <cell r="D843" t="str">
            <v>DEL MONTE 2102</v>
          </cell>
          <cell r="E843">
            <v>9060</v>
          </cell>
          <cell r="F843" t="b">
            <v>0</v>
          </cell>
          <cell r="G843">
            <v>14415.2581973738</v>
          </cell>
          <cell r="H843">
            <v>1524.9133902323999</v>
          </cell>
        </row>
        <row r="844">
          <cell r="B844" t="str">
            <v>DEL MONTE 21032000</v>
          </cell>
          <cell r="C844">
            <v>182222103</v>
          </cell>
          <cell r="D844" t="str">
            <v>DEL MONTE 2103</v>
          </cell>
          <cell r="E844">
            <v>2000</v>
          </cell>
          <cell r="F844" t="b">
            <v>0</v>
          </cell>
          <cell r="G844">
            <v>14495.330138855101</v>
          </cell>
          <cell r="H844">
            <v>14495.330138855101</v>
          </cell>
        </row>
        <row r="845">
          <cell r="B845" t="str">
            <v>DEL MONTE 21032204</v>
          </cell>
          <cell r="C845">
            <v>182222103</v>
          </cell>
          <cell r="D845" t="str">
            <v>DEL MONTE 2103</v>
          </cell>
          <cell r="E845">
            <v>2204</v>
          </cell>
          <cell r="F845" t="b">
            <v>1</v>
          </cell>
          <cell r="G845">
            <v>592.64129784471095</v>
          </cell>
          <cell r="H845">
            <v>592.64129784471095</v>
          </cell>
        </row>
        <row r="846">
          <cell r="B846" t="str">
            <v>DEL MONTE 21032654</v>
          </cell>
          <cell r="C846">
            <v>182222103</v>
          </cell>
          <cell r="D846" t="str">
            <v>DEL MONTE 2103</v>
          </cell>
          <cell r="E846">
            <v>2654</v>
          </cell>
          <cell r="F846" t="b">
            <v>0</v>
          </cell>
          <cell r="G846">
            <v>2963.59986274015</v>
          </cell>
          <cell r="H846">
            <v>2963.59986274015</v>
          </cell>
        </row>
        <row r="847">
          <cell r="B847" t="str">
            <v>DEL MONTE 210342226</v>
          </cell>
          <cell r="C847">
            <v>182222103</v>
          </cell>
          <cell r="D847" t="str">
            <v>DEL MONTE 2103</v>
          </cell>
          <cell r="E847">
            <v>42226</v>
          </cell>
          <cell r="F847" t="b">
            <v>1</v>
          </cell>
          <cell r="G847">
            <v>4032.3201043511599</v>
          </cell>
          <cell r="H847">
            <v>940.18064956648004</v>
          </cell>
        </row>
        <row r="848">
          <cell r="B848" t="str">
            <v>DEL MONTE 2103468158</v>
          </cell>
          <cell r="C848">
            <v>182222103</v>
          </cell>
          <cell r="D848" t="str">
            <v>DEL MONTE 2103</v>
          </cell>
          <cell r="E848">
            <v>468158</v>
          </cell>
          <cell r="F848" t="b">
            <v>1</v>
          </cell>
          <cell r="G848">
            <v>1565.7595628899701</v>
          </cell>
          <cell r="H848">
            <v>826.61325696114204</v>
          </cell>
        </row>
        <row r="849">
          <cell r="B849" t="str">
            <v>DEL MONTE 2103617344</v>
          </cell>
          <cell r="C849">
            <v>182222103</v>
          </cell>
          <cell r="D849" t="str">
            <v>DEL MONTE 2103</v>
          </cell>
          <cell r="E849">
            <v>617344</v>
          </cell>
          <cell r="F849" t="b">
            <v>0</v>
          </cell>
          <cell r="G849">
            <v>3993.4045640151799</v>
          </cell>
          <cell r="H849">
            <v>2952.18930266087</v>
          </cell>
        </row>
        <row r="850">
          <cell r="B850" t="str">
            <v>DEL MONTE 210386496</v>
          </cell>
          <cell r="C850">
            <v>182222103</v>
          </cell>
          <cell r="D850" t="str">
            <v>DEL MONTE 2103</v>
          </cell>
          <cell r="E850">
            <v>86496</v>
          </cell>
          <cell r="F850" t="b">
            <v>0</v>
          </cell>
          <cell r="G850">
            <v>10364.084483561301</v>
          </cell>
          <cell r="H850">
            <v>1600.5400308991</v>
          </cell>
        </row>
        <row r="851">
          <cell r="B851" t="str">
            <v>DEL MONTE 21042624</v>
          </cell>
          <cell r="C851">
            <v>182222104</v>
          </cell>
          <cell r="D851" t="str">
            <v>DEL MONTE 2104</v>
          </cell>
          <cell r="E851">
            <v>2624</v>
          </cell>
          <cell r="F851" t="b">
            <v>0</v>
          </cell>
          <cell r="G851">
            <v>30794.7642452582</v>
          </cell>
          <cell r="H851">
            <v>29790.863756434301</v>
          </cell>
        </row>
        <row r="852">
          <cell r="B852" t="str">
            <v>DEL MONTE 21042760</v>
          </cell>
          <cell r="C852">
            <v>182222104</v>
          </cell>
          <cell r="D852" t="str">
            <v>DEL MONTE 2104</v>
          </cell>
          <cell r="E852">
            <v>2760</v>
          </cell>
          <cell r="F852" t="b">
            <v>0</v>
          </cell>
          <cell r="G852">
            <v>4358.99558185358</v>
          </cell>
          <cell r="H852">
            <v>4358.99558185358</v>
          </cell>
        </row>
        <row r="853">
          <cell r="B853" t="str">
            <v>DEL MONTE 21042762</v>
          </cell>
          <cell r="C853">
            <v>182222104</v>
          </cell>
          <cell r="D853" t="str">
            <v>DEL MONTE 2104</v>
          </cell>
          <cell r="E853">
            <v>2762</v>
          </cell>
          <cell r="F853" t="b">
            <v>0</v>
          </cell>
          <cell r="G853">
            <v>17774.307421455102</v>
          </cell>
          <cell r="H853">
            <v>15060.127676422</v>
          </cell>
        </row>
        <row r="854">
          <cell r="B854" t="str">
            <v>DEL MONTE 21043066</v>
          </cell>
          <cell r="C854">
            <v>182222104</v>
          </cell>
          <cell r="D854" t="str">
            <v>DEL MONTE 2104</v>
          </cell>
          <cell r="E854">
            <v>3066</v>
          </cell>
          <cell r="F854" t="b">
            <v>1</v>
          </cell>
          <cell r="G854">
            <v>26.034529474522198</v>
          </cell>
          <cell r="H854">
            <v>26.034529474522198</v>
          </cell>
        </row>
        <row r="855">
          <cell r="B855" t="str">
            <v>DEL MONTE 21043088</v>
          </cell>
          <cell r="C855">
            <v>182222104</v>
          </cell>
          <cell r="D855" t="str">
            <v>DEL MONTE 2104</v>
          </cell>
          <cell r="E855">
            <v>3088</v>
          </cell>
          <cell r="F855" t="b">
            <v>0</v>
          </cell>
          <cell r="G855">
            <v>24808.0862399994</v>
          </cell>
          <cell r="H855">
            <v>24808.0862399994</v>
          </cell>
        </row>
        <row r="856">
          <cell r="B856" t="str">
            <v>DEL MONTE 210436720</v>
          </cell>
          <cell r="C856">
            <v>182222104</v>
          </cell>
          <cell r="D856" t="str">
            <v>DEL MONTE 2104</v>
          </cell>
          <cell r="E856">
            <v>36720</v>
          </cell>
          <cell r="F856" t="b">
            <v>0</v>
          </cell>
          <cell r="G856">
            <v>12840.8618686183</v>
          </cell>
          <cell r="H856">
            <v>9577.7665212668398</v>
          </cell>
        </row>
        <row r="857">
          <cell r="B857" t="str">
            <v>DEL MONTE 21049096</v>
          </cell>
          <cell r="C857">
            <v>182222104</v>
          </cell>
          <cell r="D857" t="str">
            <v>DEL MONTE 2104</v>
          </cell>
          <cell r="E857">
            <v>9096</v>
          </cell>
          <cell r="F857" t="b">
            <v>0</v>
          </cell>
          <cell r="G857">
            <v>10649.938589236701</v>
          </cell>
          <cell r="H857">
            <v>5304.2381286927202</v>
          </cell>
        </row>
        <row r="858">
          <cell r="B858" t="str">
            <v>DEL MONTE 21049500</v>
          </cell>
          <cell r="C858">
            <v>182222104</v>
          </cell>
          <cell r="D858" t="str">
            <v>DEL MONTE 2104</v>
          </cell>
          <cell r="E858">
            <v>9500</v>
          </cell>
          <cell r="F858" t="b">
            <v>0</v>
          </cell>
          <cell r="G858">
            <v>10910.900169369101</v>
          </cell>
          <cell r="H858">
            <v>9168.0737580213899</v>
          </cell>
        </row>
        <row r="859">
          <cell r="B859" t="str">
            <v>DESCHUTES 11011380</v>
          </cell>
          <cell r="C859">
            <v>103351101</v>
          </cell>
          <cell r="D859" t="str">
            <v>DESCHUTES 1101</v>
          </cell>
          <cell r="E859">
            <v>1380</v>
          </cell>
          <cell r="F859" t="b">
            <v>0</v>
          </cell>
          <cell r="G859">
            <v>37070.895927335601</v>
          </cell>
          <cell r="H859">
            <v>28672.6173180806</v>
          </cell>
        </row>
        <row r="860">
          <cell r="B860" t="str">
            <v>DESCHUTES 11011580</v>
          </cell>
          <cell r="C860">
            <v>103351101</v>
          </cell>
          <cell r="D860" t="str">
            <v>DESCHUTES 1101</v>
          </cell>
          <cell r="E860">
            <v>1580</v>
          </cell>
          <cell r="F860" t="b">
            <v>0</v>
          </cell>
          <cell r="G860">
            <v>80785.153047290005</v>
          </cell>
          <cell r="H860">
            <v>76365.897563589504</v>
          </cell>
        </row>
        <row r="861">
          <cell r="B861" t="str">
            <v>DESCHUTES 11011652</v>
          </cell>
          <cell r="C861">
            <v>103351101</v>
          </cell>
          <cell r="D861" t="str">
            <v>DESCHUTES 1101</v>
          </cell>
          <cell r="E861">
            <v>1652</v>
          </cell>
          <cell r="F861" t="b">
            <v>0</v>
          </cell>
          <cell r="G861">
            <v>39344.513681994598</v>
          </cell>
          <cell r="H861">
            <v>33895.264187498702</v>
          </cell>
        </row>
        <row r="862">
          <cell r="B862" t="str">
            <v>DESCHUTES 11011654</v>
          </cell>
          <cell r="C862">
            <v>103351101</v>
          </cell>
          <cell r="D862" t="str">
            <v>DESCHUTES 1101</v>
          </cell>
          <cell r="E862">
            <v>1654</v>
          </cell>
          <cell r="F862" t="b">
            <v>0</v>
          </cell>
          <cell r="G862">
            <v>28221.256379546099</v>
          </cell>
          <cell r="H862">
            <v>28221.256379546099</v>
          </cell>
        </row>
        <row r="863">
          <cell r="B863" t="str">
            <v>DESCHUTES 11019722</v>
          </cell>
          <cell r="C863">
            <v>103351101</v>
          </cell>
          <cell r="D863" t="str">
            <v>DESCHUTES 1101</v>
          </cell>
          <cell r="E863">
            <v>9722</v>
          </cell>
          <cell r="F863" t="b">
            <v>0</v>
          </cell>
          <cell r="G863">
            <v>7647.73877279095</v>
          </cell>
          <cell r="H863">
            <v>5139.2871615937302</v>
          </cell>
        </row>
        <row r="864">
          <cell r="B864" t="str">
            <v>DESCHUTES 1101CB</v>
          </cell>
          <cell r="C864">
            <v>103351101</v>
          </cell>
          <cell r="D864" t="str">
            <v>DESCHUTES 1101</v>
          </cell>
          <cell r="E864" t="str">
            <v>CB</v>
          </cell>
          <cell r="F864" t="b">
            <v>0</v>
          </cell>
          <cell r="G864">
            <v>17940.987347800899</v>
          </cell>
          <cell r="H864">
            <v>8017.5323195317596</v>
          </cell>
        </row>
        <row r="865">
          <cell r="B865" t="str">
            <v>DESCHUTES 11041370</v>
          </cell>
          <cell r="C865">
            <v>103351104</v>
          </cell>
          <cell r="D865" t="str">
            <v>DESCHUTES 1104</v>
          </cell>
          <cell r="E865">
            <v>1370</v>
          </cell>
          <cell r="F865" t="b">
            <v>0</v>
          </cell>
          <cell r="G865">
            <v>35764.199967935499</v>
          </cell>
          <cell r="H865">
            <v>21861.395828923101</v>
          </cell>
        </row>
        <row r="866">
          <cell r="B866" t="str">
            <v>DESCHUTES 11041582</v>
          </cell>
          <cell r="C866">
            <v>103351104</v>
          </cell>
          <cell r="D866" t="str">
            <v>DESCHUTES 1104</v>
          </cell>
          <cell r="E866">
            <v>1582</v>
          </cell>
          <cell r="F866" t="b">
            <v>0</v>
          </cell>
          <cell r="G866">
            <v>24298.624503763102</v>
          </cell>
          <cell r="H866">
            <v>10265.139538629801</v>
          </cell>
        </row>
        <row r="867">
          <cell r="B867" t="str">
            <v>DESCHUTES 110449024</v>
          </cell>
          <cell r="C867">
            <v>103351104</v>
          </cell>
          <cell r="D867" t="str">
            <v>DESCHUTES 1104</v>
          </cell>
          <cell r="E867">
            <v>49024</v>
          </cell>
          <cell r="F867" t="b">
            <v>0</v>
          </cell>
          <cell r="G867">
            <v>26972.4504451824</v>
          </cell>
          <cell r="H867">
            <v>26707.9675430608</v>
          </cell>
        </row>
        <row r="868">
          <cell r="B868" t="str">
            <v>DESCHUTES 11049718</v>
          </cell>
          <cell r="C868">
            <v>103351104</v>
          </cell>
          <cell r="D868" t="str">
            <v>DESCHUTES 1104</v>
          </cell>
          <cell r="E868">
            <v>9718</v>
          </cell>
          <cell r="F868" t="b">
            <v>0</v>
          </cell>
          <cell r="G868">
            <v>56853.116458047902</v>
          </cell>
          <cell r="H868">
            <v>29935.285752687199</v>
          </cell>
        </row>
        <row r="869">
          <cell r="B869" t="str">
            <v>DESCHUTES 11049726</v>
          </cell>
          <cell r="C869">
            <v>103351104</v>
          </cell>
          <cell r="D869" t="str">
            <v>DESCHUTES 1104</v>
          </cell>
          <cell r="E869">
            <v>9726</v>
          </cell>
          <cell r="F869" t="b">
            <v>0</v>
          </cell>
          <cell r="G869">
            <v>27359.749352648701</v>
          </cell>
          <cell r="H869">
            <v>25257.468115962602</v>
          </cell>
        </row>
        <row r="870">
          <cell r="B870" t="str">
            <v>DESCHUTES 1104CB</v>
          </cell>
          <cell r="C870">
            <v>103351104</v>
          </cell>
          <cell r="D870" t="str">
            <v>DESCHUTES 1104</v>
          </cell>
          <cell r="E870" t="str">
            <v>CB</v>
          </cell>
          <cell r="F870" t="b">
            <v>0</v>
          </cell>
          <cell r="G870">
            <v>39932.777513008703</v>
          </cell>
          <cell r="H870">
            <v>21735.414447577899</v>
          </cell>
        </row>
        <row r="871">
          <cell r="B871" t="str">
            <v>DIABLO CANYON 1101CB</v>
          </cell>
          <cell r="C871">
            <v>189001101</v>
          </cell>
          <cell r="D871" t="str">
            <v>DIABLO CANYON 1101</v>
          </cell>
          <cell r="E871" t="str">
            <v>CB</v>
          </cell>
          <cell r="F871" t="b">
            <v>1</v>
          </cell>
          <cell r="G871">
            <v>0</v>
          </cell>
          <cell r="H871">
            <v>0</v>
          </cell>
        </row>
        <row r="872">
          <cell r="B872" t="str">
            <v>DIAMOND SPRINGS 1103394169</v>
          </cell>
          <cell r="C872">
            <v>152261103</v>
          </cell>
          <cell r="D872" t="str">
            <v>DIAMOND SPRINGS 1103</v>
          </cell>
          <cell r="E872">
            <v>394169</v>
          </cell>
          <cell r="F872" t="b">
            <v>1</v>
          </cell>
          <cell r="G872">
            <v>962.99582840477001</v>
          </cell>
          <cell r="H872">
            <v>642.08043543509996</v>
          </cell>
        </row>
        <row r="873">
          <cell r="B873" t="str">
            <v>DIAMOND SPRINGS 1103467046</v>
          </cell>
          <cell r="C873">
            <v>152261103</v>
          </cell>
          <cell r="D873" t="str">
            <v>DIAMOND SPRINGS 1103</v>
          </cell>
          <cell r="E873">
            <v>467046</v>
          </cell>
          <cell r="F873" t="b">
            <v>0</v>
          </cell>
          <cell r="G873">
            <v>34550.746683238198</v>
          </cell>
          <cell r="H873">
            <v>24654.327974527401</v>
          </cell>
        </row>
        <row r="874">
          <cell r="B874" t="str">
            <v>DIAMOND SPRINGS 1103635040</v>
          </cell>
          <cell r="C874">
            <v>152261103</v>
          </cell>
          <cell r="D874" t="str">
            <v>DIAMOND SPRINGS 1103</v>
          </cell>
          <cell r="E874">
            <v>635040</v>
          </cell>
          <cell r="F874" t="b">
            <v>1</v>
          </cell>
          <cell r="G874">
            <v>340.95593107185698</v>
          </cell>
          <cell r="H874">
            <v>324.180963325189</v>
          </cell>
        </row>
        <row r="875">
          <cell r="B875" t="str">
            <v>DIAMOND SPRINGS 11039432</v>
          </cell>
          <cell r="C875">
            <v>152261103</v>
          </cell>
          <cell r="D875" t="str">
            <v>DIAMOND SPRINGS 1103</v>
          </cell>
          <cell r="E875">
            <v>9432</v>
          </cell>
          <cell r="F875" t="b">
            <v>0</v>
          </cell>
          <cell r="G875">
            <v>32768.2312398957</v>
          </cell>
          <cell r="H875">
            <v>28100.434887024901</v>
          </cell>
        </row>
        <row r="876">
          <cell r="B876" t="str">
            <v>DIAMOND SPRINGS 1103CB</v>
          </cell>
          <cell r="C876">
            <v>152261103</v>
          </cell>
          <cell r="D876" t="str">
            <v>DIAMOND SPRINGS 1103</v>
          </cell>
          <cell r="E876" t="str">
            <v>CB</v>
          </cell>
          <cell r="F876" t="b">
            <v>1</v>
          </cell>
          <cell r="G876">
            <v>13992.270104237899</v>
          </cell>
          <cell r="H876">
            <v>885.56123037185</v>
          </cell>
        </row>
        <row r="877">
          <cell r="B877" t="str">
            <v>DIAMOND SPRINGS 1104705100</v>
          </cell>
          <cell r="C877">
            <v>152261104</v>
          </cell>
          <cell r="D877" t="str">
            <v>DIAMOND SPRINGS 1104</v>
          </cell>
          <cell r="E877">
            <v>705100</v>
          </cell>
          <cell r="F877" t="b">
            <v>0</v>
          </cell>
          <cell r="G877">
            <v>13322.8035677802</v>
          </cell>
          <cell r="H877">
            <v>11885.1942262421</v>
          </cell>
        </row>
        <row r="878">
          <cell r="B878" t="str">
            <v>DIAMOND SPRINGS 1104CB</v>
          </cell>
          <cell r="C878">
            <v>152261104</v>
          </cell>
          <cell r="D878" t="str">
            <v>DIAMOND SPRINGS 1104</v>
          </cell>
          <cell r="E878" t="str">
            <v>CB</v>
          </cell>
          <cell r="F878" t="b">
            <v>0</v>
          </cell>
          <cell r="G878">
            <v>15842.0084719937</v>
          </cell>
          <cell r="H878">
            <v>9046.8091137214506</v>
          </cell>
        </row>
        <row r="879">
          <cell r="B879" t="str">
            <v>DIAMOND SPRINGS 110518935</v>
          </cell>
          <cell r="C879">
            <v>152261105</v>
          </cell>
          <cell r="D879" t="str">
            <v>DIAMOND SPRINGS 1105</v>
          </cell>
          <cell r="E879">
            <v>18935</v>
          </cell>
          <cell r="F879" t="b">
            <v>0</v>
          </cell>
          <cell r="G879">
            <v>10773.8274412431</v>
          </cell>
          <cell r="H879">
            <v>10773.8274412431</v>
          </cell>
        </row>
        <row r="880">
          <cell r="B880" t="str">
            <v>DIAMOND SPRINGS 110519910</v>
          </cell>
          <cell r="C880">
            <v>152261105</v>
          </cell>
          <cell r="D880" t="str">
            <v>DIAMOND SPRINGS 1105</v>
          </cell>
          <cell r="E880">
            <v>19910</v>
          </cell>
          <cell r="F880" t="b">
            <v>0</v>
          </cell>
          <cell r="G880">
            <v>33304.700565822197</v>
          </cell>
          <cell r="H880">
            <v>33304.700565822197</v>
          </cell>
        </row>
        <row r="881">
          <cell r="B881" t="str">
            <v>DIAMOND SPRINGS 11052102</v>
          </cell>
          <cell r="C881">
            <v>152261105</v>
          </cell>
          <cell r="D881" t="str">
            <v>DIAMOND SPRINGS 1105</v>
          </cell>
          <cell r="E881">
            <v>2102</v>
          </cell>
          <cell r="F881" t="b">
            <v>0</v>
          </cell>
          <cell r="G881">
            <v>62912.063317889901</v>
          </cell>
          <cell r="H881">
            <v>60307.879921699903</v>
          </cell>
        </row>
        <row r="882">
          <cell r="B882" t="str">
            <v>DIAMOND SPRINGS 11057722</v>
          </cell>
          <cell r="C882">
            <v>152261105</v>
          </cell>
          <cell r="D882" t="str">
            <v>DIAMOND SPRINGS 1105</v>
          </cell>
          <cell r="E882">
            <v>7722</v>
          </cell>
          <cell r="F882" t="b">
            <v>0</v>
          </cell>
          <cell r="G882">
            <v>100229.718639246</v>
          </cell>
          <cell r="H882">
            <v>96782.525496817398</v>
          </cell>
        </row>
        <row r="883">
          <cell r="B883" t="str">
            <v>DIAMOND SPRINGS 1105CB</v>
          </cell>
          <cell r="C883">
            <v>152261105</v>
          </cell>
          <cell r="D883" t="str">
            <v>DIAMOND SPRINGS 1105</v>
          </cell>
          <cell r="E883" t="str">
            <v>CB</v>
          </cell>
          <cell r="F883" t="b">
            <v>0</v>
          </cell>
          <cell r="G883">
            <v>7588.8389172421503</v>
          </cell>
          <cell r="H883">
            <v>3330.3292713655901</v>
          </cell>
        </row>
        <row r="884">
          <cell r="B884" t="str">
            <v>DIAMOND SPRINGS 110610587</v>
          </cell>
          <cell r="C884">
            <v>152261106</v>
          </cell>
          <cell r="D884" t="str">
            <v>DIAMOND SPRINGS 1106</v>
          </cell>
          <cell r="E884">
            <v>10587</v>
          </cell>
          <cell r="F884" t="b">
            <v>0</v>
          </cell>
          <cell r="G884">
            <v>35336.551411209999</v>
          </cell>
          <cell r="H884">
            <v>35336.551411209999</v>
          </cell>
        </row>
        <row r="885">
          <cell r="B885" t="str">
            <v>DIAMOND SPRINGS 1106176130</v>
          </cell>
          <cell r="C885">
            <v>152261106</v>
          </cell>
          <cell r="D885" t="str">
            <v>DIAMOND SPRINGS 1106</v>
          </cell>
          <cell r="E885">
            <v>176130</v>
          </cell>
          <cell r="F885" t="b">
            <v>1</v>
          </cell>
          <cell r="G885">
            <v>32.073696214637202</v>
          </cell>
          <cell r="H885">
            <v>32.073696214637202</v>
          </cell>
        </row>
        <row r="886">
          <cell r="B886" t="str">
            <v>DIAMOND SPRINGS 11062100</v>
          </cell>
          <cell r="C886">
            <v>152261106</v>
          </cell>
          <cell r="D886" t="str">
            <v>DIAMOND SPRINGS 1106</v>
          </cell>
          <cell r="E886">
            <v>2100</v>
          </cell>
          <cell r="F886" t="b">
            <v>0</v>
          </cell>
          <cell r="G886">
            <v>62879.076090365299</v>
          </cell>
          <cell r="H886">
            <v>62879.076090365299</v>
          </cell>
        </row>
        <row r="887">
          <cell r="B887" t="str">
            <v>DIAMOND SPRINGS 1106279670</v>
          </cell>
          <cell r="C887">
            <v>152261106</v>
          </cell>
          <cell r="D887" t="str">
            <v>DIAMOND SPRINGS 1106</v>
          </cell>
          <cell r="E887">
            <v>279670</v>
          </cell>
          <cell r="F887" t="b">
            <v>0</v>
          </cell>
          <cell r="G887">
            <v>7840.1687260095696</v>
          </cell>
          <cell r="H887">
            <v>6244.0930243457397</v>
          </cell>
        </row>
        <row r="888">
          <cell r="B888" t="str">
            <v>DIAMOND SPRINGS 1106290705</v>
          </cell>
          <cell r="C888">
            <v>152261106</v>
          </cell>
          <cell r="D888" t="str">
            <v>DIAMOND SPRINGS 1106</v>
          </cell>
          <cell r="E888">
            <v>290705</v>
          </cell>
          <cell r="F888" t="b">
            <v>0</v>
          </cell>
          <cell r="G888">
            <v>5314.0636006015002</v>
          </cell>
          <cell r="H888">
            <v>5193.0778135268101</v>
          </cell>
        </row>
        <row r="889">
          <cell r="B889" t="str">
            <v>DIAMOND SPRINGS 110656026</v>
          </cell>
          <cell r="C889">
            <v>152261106</v>
          </cell>
          <cell r="D889" t="str">
            <v>DIAMOND SPRINGS 1106</v>
          </cell>
          <cell r="E889">
            <v>56026</v>
          </cell>
          <cell r="F889" t="b">
            <v>0</v>
          </cell>
          <cell r="G889">
            <v>24339.190469179401</v>
          </cell>
          <cell r="H889">
            <v>24339.190469179401</v>
          </cell>
        </row>
        <row r="890">
          <cell r="B890" t="str">
            <v>DIAMOND SPRINGS 110676088</v>
          </cell>
          <cell r="C890">
            <v>152261106</v>
          </cell>
          <cell r="D890" t="str">
            <v>DIAMOND SPRINGS 1106</v>
          </cell>
          <cell r="E890">
            <v>76088</v>
          </cell>
          <cell r="F890" t="b">
            <v>0</v>
          </cell>
          <cell r="G890">
            <v>17715.992939172898</v>
          </cell>
          <cell r="H890">
            <v>17715.992939172898</v>
          </cell>
        </row>
        <row r="891">
          <cell r="B891" t="str">
            <v>DIAMOND SPRINGS 1106762780</v>
          </cell>
          <cell r="C891">
            <v>152261106</v>
          </cell>
          <cell r="D891" t="str">
            <v>DIAMOND SPRINGS 1106</v>
          </cell>
          <cell r="E891">
            <v>762780</v>
          </cell>
          <cell r="F891" t="b">
            <v>1</v>
          </cell>
          <cell r="G891">
            <v>1282.45514023483</v>
          </cell>
          <cell r="H891">
            <v>400.76704521351598</v>
          </cell>
        </row>
        <row r="892">
          <cell r="B892" t="str">
            <v>DIAMOND SPRINGS 1106910235</v>
          </cell>
          <cell r="C892">
            <v>152261106</v>
          </cell>
          <cell r="D892" t="str">
            <v>DIAMOND SPRINGS 1106</v>
          </cell>
          <cell r="E892">
            <v>910235</v>
          </cell>
          <cell r="F892" t="b">
            <v>1</v>
          </cell>
          <cell r="G892">
            <v>1774.12229312972</v>
          </cell>
          <cell r="H892">
            <v>851.04441707665899</v>
          </cell>
        </row>
        <row r="893">
          <cell r="B893" t="str">
            <v>DIAMOND SPRINGS 1106926235</v>
          </cell>
          <cell r="C893">
            <v>152261106</v>
          </cell>
          <cell r="D893" t="str">
            <v>DIAMOND SPRINGS 1106</v>
          </cell>
          <cell r="E893">
            <v>926235</v>
          </cell>
          <cell r="F893" t="b">
            <v>1</v>
          </cell>
          <cell r="G893">
            <v>416.14190879732001</v>
          </cell>
          <cell r="H893">
            <v>305.36685150899802</v>
          </cell>
        </row>
        <row r="894">
          <cell r="B894" t="str">
            <v>DIAMOND SPRINGS 1106930190</v>
          </cell>
          <cell r="C894">
            <v>152261106</v>
          </cell>
          <cell r="D894" t="str">
            <v>DIAMOND SPRINGS 1106</v>
          </cell>
          <cell r="E894">
            <v>930190</v>
          </cell>
          <cell r="F894" t="b">
            <v>0</v>
          </cell>
          <cell r="G894">
            <v>30053.783280947198</v>
          </cell>
          <cell r="H894">
            <v>27579.542352224202</v>
          </cell>
        </row>
        <row r="895">
          <cell r="B895" t="str">
            <v>DIAMOND SPRINGS 110699658</v>
          </cell>
          <cell r="C895">
            <v>152261106</v>
          </cell>
          <cell r="D895" t="str">
            <v>DIAMOND SPRINGS 1106</v>
          </cell>
          <cell r="E895">
            <v>99658</v>
          </cell>
          <cell r="F895" t="b">
            <v>1</v>
          </cell>
          <cell r="G895">
            <v>4406.3904937111902</v>
          </cell>
          <cell r="H895">
            <v>0</v>
          </cell>
        </row>
        <row r="896">
          <cell r="B896" t="str">
            <v>DIAMOND SPRINGS 1107116815</v>
          </cell>
          <cell r="C896">
            <v>152261107</v>
          </cell>
          <cell r="D896" t="str">
            <v>DIAMOND SPRINGS 1107</v>
          </cell>
          <cell r="E896">
            <v>116815</v>
          </cell>
          <cell r="F896" t="b">
            <v>0</v>
          </cell>
          <cell r="G896">
            <v>4074.4872672603401</v>
          </cell>
          <cell r="H896">
            <v>2540.285655871</v>
          </cell>
        </row>
        <row r="897">
          <cell r="B897" t="str">
            <v>DIAMOND SPRINGS 11071402</v>
          </cell>
          <cell r="C897">
            <v>152261107</v>
          </cell>
          <cell r="D897" t="str">
            <v>DIAMOND SPRINGS 1107</v>
          </cell>
          <cell r="E897">
            <v>1402</v>
          </cell>
          <cell r="F897" t="b">
            <v>0</v>
          </cell>
          <cell r="G897">
            <v>71104.043154245694</v>
          </cell>
          <cell r="H897">
            <v>71104.043154245694</v>
          </cell>
        </row>
        <row r="898">
          <cell r="B898" t="str">
            <v>DIAMOND SPRINGS 1107203504</v>
          </cell>
          <cell r="C898">
            <v>152261107</v>
          </cell>
          <cell r="D898" t="str">
            <v>DIAMOND SPRINGS 1107</v>
          </cell>
          <cell r="E898">
            <v>203504</v>
          </cell>
          <cell r="F898" t="b">
            <v>1</v>
          </cell>
          <cell r="G898">
            <v>514.04250720861</v>
          </cell>
          <cell r="H898">
            <v>226.494340551352</v>
          </cell>
        </row>
        <row r="899">
          <cell r="B899" t="str">
            <v>DIAMOND SPRINGS 1107217974</v>
          </cell>
          <cell r="C899">
            <v>152261107</v>
          </cell>
          <cell r="D899" t="str">
            <v>DIAMOND SPRINGS 1107</v>
          </cell>
          <cell r="E899">
            <v>217974</v>
          </cell>
          <cell r="F899" t="b">
            <v>0</v>
          </cell>
          <cell r="G899">
            <v>6862.6922338311197</v>
          </cell>
          <cell r="H899">
            <v>6593.06507130713</v>
          </cell>
        </row>
        <row r="900">
          <cell r="B900" t="str">
            <v>DIAMOND SPRINGS 110777086</v>
          </cell>
          <cell r="C900">
            <v>152261107</v>
          </cell>
          <cell r="D900" t="str">
            <v>DIAMOND SPRINGS 1107</v>
          </cell>
          <cell r="E900">
            <v>77086</v>
          </cell>
          <cell r="F900" t="b">
            <v>0</v>
          </cell>
          <cell r="G900">
            <v>6051.2821850009996</v>
          </cell>
          <cell r="H900">
            <v>4371.5845511297202</v>
          </cell>
        </row>
        <row r="901">
          <cell r="B901" t="str">
            <v>DIAMOND SPRINGS 1107CB</v>
          </cell>
          <cell r="C901">
            <v>152261107</v>
          </cell>
          <cell r="D901" t="str">
            <v>DIAMOND SPRINGS 1107</v>
          </cell>
          <cell r="E901" t="str">
            <v>CB</v>
          </cell>
          <cell r="F901" t="b">
            <v>1</v>
          </cell>
          <cell r="G901">
            <v>5946.2244530908101</v>
          </cell>
          <cell r="H901">
            <v>0</v>
          </cell>
        </row>
        <row r="902">
          <cell r="B902" t="str">
            <v>DIVIDE 1103567884</v>
          </cell>
          <cell r="C902">
            <v>182571103</v>
          </cell>
          <cell r="D902" t="str">
            <v>DIVIDE 1103</v>
          </cell>
          <cell r="E902">
            <v>567884</v>
          </cell>
          <cell r="F902" t="b">
            <v>0</v>
          </cell>
          <cell r="G902">
            <v>4535.2993371820203</v>
          </cell>
          <cell r="H902">
            <v>4025.5628316662301</v>
          </cell>
        </row>
        <row r="903">
          <cell r="B903" t="str">
            <v>DOBBINS 11011264</v>
          </cell>
          <cell r="C903">
            <v>153741101</v>
          </cell>
          <cell r="D903" t="str">
            <v>DOBBINS 1101</v>
          </cell>
          <cell r="E903">
            <v>1264</v>
          </cell>
          <cell r="F903" t="b">
            <v>0</v>
          </cell>
          <cell r="G903">
            <v>56286.963562400902</v>
          </cell>
          <cell r="H903">
            <v>56286.963562400902</v>
          </cell>
        </row>
        <row r="904">
          <cell r="B904" t="str">
            <v>DOBBINS 11011808</v>
          </cell>
          <cell r="C904">
            <v>153741101</v>
          </cell>
          <cell r="D904" t="str">
            <v>DOBBINS 1101</v>
          </cell>
          <cell r="E904">
            <v>1808</v>
          </cell>
          <cell r="F904" t="b">
            <v>0</v>
          </cell>
          <cell r="G904">
            <v>25003.375669168599</v>
          </cell>
          <cell r="H904">
            <v>25003.375669168599</v>
          </cell>
        </row>
        <row r="905">
          <cell r="B905" t="str">
            <v>DOBBINS 11015202</v>
          </cell>
          <cell r="C905">
            <v>153741101</v>
          </cell>
          <cell r="D905" t="str">
            <v>DOBBINS 1101</v>
          </cell>
          <cell r="E905">
            <v>5202</v>
          </cell>
          <cell r="F905" t="b">
            <v>0</v>
          </cell>
          <cell r="G905">
            <v>27474.732896474201</v>
          </cell>
          <cell r="H905">
            <v>26267.898521317999</v>
          </cell>
        </row>
        <row r="906">
          <cell r="B906" t="str">
            <v>DOBBINS 110169722</v>
          </cell>
          <cell r="C906">
            <v>153741101</v>
          </cell>
          <cell r="D906" t="str">
            <v>DOBBINS 1101</v>
          </cell>
          <cell r="E906">
            <v>69722</v>
          </cell>
          <cell r="F906" t="b">
            <v>0</v>
          </cell>
          <cell r="G906">
            <v>10673.428857328399</v>
          </cell>
          <cell r="H906">
            <v>10673.428857328399</v>
          </cell>
        </row>
        <row r="907">
          <cell r="B907" t="str">
            <v>DOBBINS 110191464</v>
          </cell>
          <cell r="C907">
            <v>153741101</v>
          </cell>
          <cell r="D907" t="str">
            <v>DOBBINS 1101</v>
          </cell>
          <cell r="E907">
            <v>91464</v>
          </cell>
          <cell r="F907" t="b">
            <v>0</v>
          </cell>
          <cell r="G907">
            <v>11314.1037683049</v>
          </cell>
          <cell r="H907">
            <v>11314.1037683049</v>
          </cell>
        </row>
        <row r="908">
          <cell r="B908" t="str">
            <v>DOBBINS 1101CB</v>
          </cell>
          <cell r="C908">
            <v>153741101</v>
          </cell>
          <cell r="D908" t="str">
            <v>DOBBINS 1101</v>
          </cell>
          <cell r="E908" t="str">
            <v>CB</v>
          </cell>
          <cell r="F908" t="b">
            <v>0</v>
          </cell>
          <cell r="G908">
            <v>1079.09359213219</v>
          </cell>
          <cell r="H908">
            <v>1079.09359213219</v>
          </cell>
        </row>
        <row r="909">
          <cell r="B909" t="str">
            <v>DOLAN ROAD 1101156268</v>
          </cell>
          <cell r="C909">
            <v>182381101</v>
          </cell>
          <cell r="D909" t="str">
            <v>DOLAN ROAD 1101</v>
          </cell>
          <cell r="E909">
            <v>156268</v>
          </cell>
          <cell r="F909" t="b">
            <v>1</v>
          </cell>
          <cell r="G909">
            <v>3622.1132867595502</v>
          </cell>
          <cell r="H909">
            <v>52.745276163425203</v>
          </cell>
        </row>
        <row r="910">
          <cell r="B910" t="str">
            <v>DOLAN ROAD 1101173702</v>
          </cell>
          <cell r="C910">
            <v>182381101</v>
          </cell>
          <cell r="D910" t="str">
            <v>DOLAN ROAD 1101</v>
          </cell>
          <cell r="E910">
            <v>173702</v>
          </cell>
          <cell r="F910" t="b">
            <v>1</v>
          </cell>
          <cell r="G910">
            <v>213.49010324733399</v>
          </cell>
          <cell r="H910">
            <v>86.680277878921103</v>
          </cell>
        </row>
        <row r="911">
          <cell r="B911" t="str">
            <v>DOLAN ROAD 110122158</v>
          </cell>
          <cell r="C911">
            <v>182381101</v>
          </cell>
          <cell r="D911" t="str">
            <v>DOLAN ROAD 1101</v>
          </cell>
          <cell r="E911">
            <v>22158</v>
          </cell>
          <cell r="F911" t="b">
            <v>1</v>
          </cell>
          <cell r="G911">
            <v>14506.5343390081</v>
          </cell>
          <cell r="H911">
            <v>184.81976260235399</v>
          </cell>
        </row>
        <row r="912">
          <cell r="B912" t="str">
            <v>DOLAN ROAD 11013012</v>
          </cell>
          <cell r="C912">
            <v>182381101</v>
          </cell>
          <cell r="D912" t="str">
            <v>DOLAN ROAD 1101</v>
          </cell>
          <cell r="E912">
            <v>3012</v>
          </cell>
          <cell r="F912" t="b">
            <v>1</v>
          </cell>
          <cell r="G912">
            <v>22106.104930569501</v>
          </cell>
          <cell r="H912">
            <v>301.93860769489902</v>
          </cell>
        </row>
        <row r="913">
          <cell r="B913" t="str">
            <v>DOLAN ROAD 1101590402</v>
          </cell>
          <cell r="C913">
            <v>182381101</v>
          </cell>
          <cell r="D913" t="str">
            <v>DOLAN ROAD 1101</v>
          </cell>
          <cell r="E913">
            <v>590402</v>
          </cell>
          <cell r="F913" t="b">
            <v>0</v>
          </cell>
          <cell r="G913">
            <v>9614.0154259386309</v>
          </cell>
          <cell r="H913">
            <v>3916.0340490991698</v>
          </cell>
        </row>
        <row r="914">
          <cell r="B914" t="str">
            <v>DOLAN ROAD 1101857972</v>
          </cell>
          <cell r="C914">
            <v>182381101</v>
          </cell>
          <cell r="D914" t="str">
            <v>DOLAN ROAD 1101</v>
          </cell>
          <cell r="E914">
            <v>857972</v>
          </cell>
          <cell r="F914" t="b">
            <v>0</v>
          </cell>
          <cell r="G914">
            <v>2082.0424615633101</v>
          </cell>
          <cell r="H914">
            <v>1672.4823923492299</v>
          </cell>
        </row>
        <row r="915">
          <cell r="B915" t="str">
            <v>DOLAN ROAD 1101882610</v>
          </cell>
          <cell r="C915">
            <v>182381101</v>
          </cell>
          <cell r="D915" t="str">
            <v>DOLAN ROAD 1101</v>
          </cell>
          <cell r="E915">
            <v>882610</v>
          </cell>
          <cell r="F915" t="b">
            <v>1</v>
          </cell>
          <cell r="G915">
            <v>653.63346578403298</v>
          </cell>
          <cell r="H915">
            <v>228.31576376939501</v>
          </cell>
        </row>
        <row r="916">
          <cell r="B916" t="str">
            <v>DRUM 11011602</v>
          </cell>
          <cell r="C916">
            <v>152321101</v>
          </cell>
          <cell r="D916" t="str">
            <v>DRUM 1101</v>
          </cell>
          <cell r="E916">
            <v>1602</v>
          </cell>
          <cell r="F916" t="b">
            <v>0</v>
          </cell>
          <cell r="G916">
            <v>26067.912842218098</v>
          </cell>
          <cell r="H916">
            <v>26067.912842218098</v>
          </cell>
        </row>
        <row r="917">
          <cell r="B917" t="str">
            <v>DRUM 1101CB</v>
          </cell>
          <cell r="C917">
            <v>152321101</v>
          </cell>
          <cell r="D917" t="str">
            <v>DRUM 1101</v>
          </cell>
          <cell r="E917" t="str">
            <v>CB</v>
          </cell>
          <cell r="F917" t="b">
            <v>0</v>
          </cell>
          <cell r="G917">
            <v>3483.5782328855198</v>
          </cell>
          <cell r="H917">
            <v>3483.5782328855198</v>
          </cell>
        </row>
        <row r="918">
          <cell r="B918" t="str">
            <v>DUNBAR 110113481</v>
          </cell>
          <cell r="C918">
            <v>43071101</v>
          </cell>
          <cell r="D918" t="str">
            <v>DUNBAR 1101</v>
          </cell>
          <cell r="E918">
            <v>13481</v>
          </cell>
          <cell r="F918" t="b">
            <v>1</v>
          </cell>
          <cell r="G918">
            <v>1739.6965098349699</v>
          </cell>
          <cell r="H918">
            <v>0</v>
          </cell>
        </row>
        <row r="919">
          <cell r="B919" t="str">
            <v>DUNBAR 1101160</v>
          </cell>
          <cell r="C919">
            <v>43071101</v>
          </cell>
          <cell r="D919" t="str">
            <v>DUNBAR 1101</v>
          </cell>
          <cell r="E919">
            <v>160</v>
          </cell>
          <cell r="F919" t="b">
            <v>0</v>
          </cell>
          <cell r="G919">
            <v>10761.016266221</v>
          </cell>
          <cell r="H919">
            <v>4469.2889047784502</v>
          </cell>
        </row>
        <row r="920">
          <cell r="B920" t="str">
            <v>DUNBAR 1101234</v>
          </cell>
          <cell r="C920">
            <v>43071101</v>
          </cell>
          <cell r="D920" t="str">
            <v>DUNBAR 1101</v>
          </cell>
          <cell r="E920">
            <v>234</v>
          </cell>
          <cell r="F920" t="b">
            <v>0</v>
          </cell>
          <cell r="G920">
            <v>10290.6170527141</v>
          </cell>
          <cell r="H920">
            <v>5584.5076576798001</v>
          </cell>
        </row>
        <row r="921">
          <cell r="B921" t="str">
            <v>DUNBAR 1101302</v>
          </cell>
          <cell r="C921">
            <v>43071101</v>
          </cell>
          <cell r="D921" t="str">
            <v>DUNBAR 1101</v>
          </cell>
          <cell r="E921">
            <v>302</v>
          </cell>
          <cell r="F921" t="b">
            <v>0</v>
          </cell>
          <cell r="G921">
            <v>16561.552714490099</v>
          </cell>
          <cell r="H921">
            <v>14104.3324248316</v>
          </cell>
        </row>
        <row r="922">
          <cell r="B922" t="str">
            <v>DUNBAR 1101343</v>
          </cell>
          <cell r="C922">
            <v>43071101</v>
          </cell>
          <cell r="D922" t="str">
            <v>DUNBAR 1101</v>
          </cell>
          <cell r="E922">
            <v>343</v>
          </cell>
          <cell r="F922" t="b">
            <v>0</v>
          </cell>
          <cell r="G922">
            <v>7140.9405503227899</v>
          </cell>
          <cell r="H922">
            <v>7140.9405503227899</v>
          </cell>
        </row>
        <row r="923">
          <cell r="B923" t="str">
            <v>DUNBAR 1101416</v>
          </cell>
          <cell r="C923">
            <v>43071101</v>
          </cell>
          <cell r="D923" t="str">
            <v>DUNBAR 1101</v>
          </cell>
          <cell r="E923">
            <v>416</v>
          </cell>
          <cell r="F923" t="b">
            <v>0</v>
          </cell>
          <cell r="G923">
            <v>5187.8358192543601</v>
          </cell>
          <cell r="H923">
            <v>4249.9860304807298</v>
          </cell>
        </row>
        <row r="924">
          <cell r="B924" t="str">
            <v>DUNBAR 110147964</v>
          </cell>
          <cell r="C924">
            <v>43071101</v>
          </cell>
          <cell r="D924" t="str">
            <v>DUNBAR 1101</v>
          </cell>
          <cell r="E924">
            <v>47964</v>
          </cell>
          <cell r="F924" t="b">
            <v>0</v>
          </cell>
          <cell r="G924">
            <v>12397.035414828</v>
          </cell>
          <cell r="H924">
            <v>10475.640804599099</v>
          </cell>
        </row>
        <row r="925">
          <cell r="B925" t="str">
            <v>DUNBAR 11014817</v>
          </cell>
          <cell r="C925">
            <v>43071101</v>
          </cell>
          <cell r="D925" t="str">
            <v>DUNBAR 1101</v>
          </cell>
          <cell r="E925">
            <v>4817</v>
          </cell>
          <cell r="F925" t="b">
            <v>0</v>
          </cell>
          <cell r="G925">
            <v>5079.2963702379502</v>
          </cell>
          <cell r="H925">
            <v>5079.2963702379502</v>
          </cell>
        </row>
        <row r="926">
          <cell r="B926" t="str">
            <v>DUNBAR 110179086</v>
          </cell>
          <cell r="C926">
            <v>43071101</v>
          </cell>
          <cell r="D926" t="str">
            <v>DUNBAR 1101</v>
          </cell>
          <cell r="E926">
            <v>79086</v>
          </cell>
          <cell r="F926" t="b">
            <v>0</v>
          </cell>
          <cell r="G926">
            <v>11075.7433894405</v>
          </cell>
          <cell r="H926">
            <v>10954.5940437145</v>
          </cell>
        </row>
        <row r="927">
          <cell r="B927" t="str">
            <v>DUNBAR 1101CB</v>
          </cell>
          <cell r="C927">
            <v>43071101</v>
          </cell>
          <cell r="D927" t="str">
            <v>DUNBAR 1101</v>
          </cell>
          <cell r="E927" t="str">
            <v>CB</v>
          </cell>
          <cell r="F927" t="b">
            <v>0</v>
          </cell>
          <cell r="G927">
            <v>23959.128319862499</v>
          </cell>
          <cell r="H927">
            <v>5020.5865482641402</v>
          </cell>
        </row>
        <row r="928">
          <cell r="B928" t="str">
            <v>DUNBAR 1102246</v>
          </cell>
          <cell r="C928">
            <v>43071102</v>
          </cell>
          <cell r="D928" t="str">
            <v>DUNBAR 1102</v>
          </cell>
          <cell r="E928">
            <v>246</v>
          </cell>
          <cell r="F928" t="b">
            <v>0</v>
          </cell>
          <cell r="G928">
            <v>21497.755721721602</v>
          </cell>
          <cell r="H928">
            <v>21497.755721721602</v>
          </cell>
        </row>
        <row r="929">
          <cell r="B929" t="str">
            <v>DUNBAR 1102261774</v>
          </cell>
          <cell r="C929">
            <v>43071102</v>
          </cell>
          <cell r="D929" t="str">
            <v>DUNBAR 1102</v>
          </cell>
          <cell r="E929">
            <v>261774</v>
          </cell>
          <cell r="F929" t="b">
            <v>0</v>
          </cell>
          <cell r="G929">
            <v>21761.071777631001</v>
          </cell>
          <cell r="H929">
            <v>21761.071777631001</v>
          </cell>
        </row>
        <row r="930">
          <cell r="B930" t="str">
            <v>DUNBAR 1102448</v>
          </cell>
          <cell r="C930">
            <v>43071102</v>
          </cell>
          <cell r="D930" t="str">
            <v>DUNBAR 1102</v>
          </cell>
          <cell r="E930">
            <v>448</v>
          </cell>
          <cell r="F930" t="b">
            <v>0</v>
          </cell>
          <cell r="G930">
            <v>14554.2556309189</v>
          </cell>
          <cell r="H930">
            <v>3932.5973257897899</v>
          </cell>
        </row>
        <row r="931">
          <cell r="B931" t="str">
            <v>DUNBAR 1102528</v>
          </cell>
          <cell r="C931">
            <v>43071102</v>
          </cell>
          <cell r="D931" t="str">
            <v>DUNBAR 1102</v>
          </cell>
          <cell r="E931">
            <v>528</v>
          </cell>
          <cell r="F931" t="b">
            <v>0</v>
          </cell>
          <cell r="G931">
            <v>6520.0630958874499</v>
          </cell>
          <cell r="H931">
            <v>5521.1420052662597</v>
          </cell>
        </row>
        <row r="932">
          <cell r="B932" t="str">
            <v>DUNBAR 1102694641</v>
          </cell>
          <cell r="C932">
            <v>43071102</v>
          </cell>
          <cell r="D932" t="str">
            <v>DUNBAR 1102</v>
          </cell>
          <cell r="E932">
            <v>694641</v>
          </cell>
          <cell r="F932" t="b">
            <v>0</v>
          </cell>
          <cell r="G932">
            <v>6527.85195780905</v>
          </cell>
          <cell r="H932">
            <v>6527.85195780905</v>
          </cell>
        </row>
        <row r="933">
          <cell r="B933" t="str">
            <v>DUNBAR 1102861496</v>
          </cell>
          <cell r="C933">
            <v>43071102</v>
          </cell>
          <cell r="D933" t="str">
            <v>DUNBAR 1102</v>
          </cell>
          <cell r="E933">
            <v>861496</v>
          </cell>
          <cell r="F933" t="b">
            <v>0</v>
          </cell>
          <cell r="G933">
            <v>7188.8160238876799</v>
          </cell>
          <cell r="H933">
            <v>7188.8160238876799</v>
          </cell>
        </row>
        <row r="934">
          <cell r="B934" t="str">
            <v>DUNBAR 1102903030</v>
          </cell>
          <cell r="C934">
            <v>43071102</v>
          </cell>
          <cell r="D934" t="str">
            <v>DUNBAR 1102</v>
          </cell>
          <cell r="E934">
            <v>903030</v>
          </cell>
          <cell r="F934" t="b">
            <v>0</v>
          </cell>
          <cell r="G934">
            <v>2341.44078981748</v>
          </cell>
          <cell r="H934">
            <v>2341.44078981748</v>
          </cell>
        </row>
        <row r="935">
          <cell r="B935" t="str">
            <v>DUNBAR 1102CB</v>
          </cell>
          <cell r="C935">
            <v>43071102</v>
          </cell>
          <cell r="D935" t="str">
            <v>DUNBAR 1102</v>
          </cell>
          <cell r="E935" t="str">
            <v>CB</v>
          </cell>
          <cell r="F935" t="b">
            <v>0</v>
          </cell>
          <cell r="G935">
            <v>13834.3750149101</v>
          </cell>
          <cell r="H935">
            <v>12733.9139798099</v>
          </cell>
        </row>
        <row r="936">
          <cell r="B936" t="str">
            <v>DUNBAR 11033127</v>
          </cell>
          <cell r="C936">
            <v>43071103</v>
          </cell>
          <cell r="D936" t="str">
            <v>DUNBAR 1103</v>
          </cell>
          <cell r="E936">
            <v>3127</v>
          </cell>
          <cell r="F936" t="b">
            <v>0</v>
          </cell>
          <cell r="G936">
            <v>15418.413130479799</v>
          </cell>
          <cell r="H936">
            <v>15054.580650973799</v>
          </cell>
        </row>
        <row r="937">
          <cell r="B937" t="str">
            <v>DUNBAR 1103440</v>
          </cell>
          <cell r="C937">
            <v>43071103</v>
          </cell>
          <cell r="D937" t="str">
            <v>DUNBAR 1103</v>
          </cell>
          <cell r="E937">
            <v>440</v>
          </cell>
          <cell r="F937" t="b">
            <v>0</v>
          </cell>
          <cell r="G937">
            <v>19525.153007102399</v>
          </cell>
          <cell r="H937">
            <v>3309.7657780569398</v>
          </cell>
        </row>
        <row r="938">
          <cell r="B938" t="str">
            <v>DUNBAR 1103534</v>
          </cell>
          <cell r="C938">
            <v>43071103</v>
          </cell>
          <cell r="D938" t="str">
            <v>DUNBAR 1103</v>
          </cell>
          <cell r="E938">
            <v>534</v>
          </cell>
          <cell r="F938" t="b">
            <v>0</v>
          </cell>
          <cell r="G938">
            <v>27841.2407343224</v>
          </cell>
          <cell r="H938">
            <v>25519.088923833198</v>
          </cell>
        </row>
        <row r="939">
          <cell r="B939" t="str">
            <v>DUNBAR 1103725292</v>
          </cell>
          <cell r="C939">
            <v>43071103</v>
          </cell>
          <cell r="D939" t="str">
            <v>DUNBAR 1103</v>
          </cell>
          <cell r="E939">
            <v>725292</v>
          </cell>
          <cell r="F939" t="b">
            <v>1</v>
          </cell>
          <cell r="G939">
            <v>1519.9144875822301</v>
          </cell>
          <cell r="H939">
            <v>339.58618422851703</v>
          </cell>
        </row>
        <row r="940">
          <cell r="B940" t="str">
            <v>DUNBAR 1103835658</v>
          </cell>
          <cell r="C940">
            <v>43071103</v>
          </cell>
          <cell r="D940" t="str">
            <v>DUNBAR 1103</v>
          </cell>
          <cell r="E940">
            <v>835658</v>
          </cell>
          <cell r="F940" t="b">
            <v>1</v>
          </cell>
          <cell r="G940">
            <v>1187.2488531806</v>
          </cell>
          <cell r="H940">
            <v>50.039141804124803</v>
          </cell>
        </row>
        <row r="941">
          <cell r="B941" t="str">
            <v>DUNBAR 1103872066</v>
          </cell>
          <cell r="C941">
            <v>43071103</v>
          </cell>
          <cell r="D941" t="str">
            <v>DUNBAR 1103</v>
          </cell>
          <cell r="E941">
            <v>872066</v>
          </cell>
          <cell r="F941" t="b">
            <v>1</v>
          </cell>
          <cell r="G941">
            <v>1285.53738748708</v>
          </cell>
          <cell r="H941">
            <v>856.88814991569302</v>
          </cell>
        </row>
        <row r="942">
          <cell r="B942" t="str">
            <v>DUNBAR 1103CB</v>
          </cell>
          <cell r="C942">
            <v>43071103</v>
          </cell>
          <cell r="D942" t="str">
            <v>DUNBAR 1103</v>
          </cell>
          <cell r="E942" t="str">
            <v>CB</v>
          </cell>
          <cell r="F942" t="b">
            <v>0</v>
          </cell>
          <cell r="G942">
            <v>19272.758521235799</v>
          </cell>
          <cell r="H942">
            <v>4335.2228074984896</v>
          </cell>
        </row>
        <row r="943">
          <cell r="B943" t="str">
            <v>DUNLAP 110239190</v>
          </cell>
          <cell r="C943">
            <v>254061102</v>
          </cell>
          <cell r="D943" t="str">
            <v>DUNLAP 1102</v>
          </cell>
          <cell r="E943">
            <v>39190</v>
          </cell>
          <cell r="F943" t="b">
            <v>0</v>
          </cell>
          <cell r="G943">
            <v>2877.2566003019101</v>
          </cell>
          <cell r="H943">
            <v>2877.2566003019101</v>
          </cell>
        </row>
        <row r="944">
          <cell r="B944" t="str">
            <v>DUNLAP 11027050</v>
          </cell>
          <cell r="C944">
            <v>254061102</v>
          </cell>
          <cell r="D944" t="str">
            <v>DUNLAP 1102</v>
          </cell>
          <cell r="E944">
            <v>7050</v>
          </cell>
          <cell r="F944" t="b">
            <v>0</v>
          </cell>
          <cell r="G944">
            <v>15143.7830093803</v>
          </cell>
          <cell r="H944">
            <v>15143.7830093803</v>
          </cell>
        </row>
        <row r="945">
          <cell r="B945" t="str">
            <v>DUNLAP 11027060</v>
          </cell>
          <cell r="C945">
            <v>254061102</v>
          </cell>
          <cell r="D945" t="str">
            <v>DUNLAP 1102</v>
          </cell>
          <cell r="E945">
            <v>7060</v>
          </cell>
          <cell r="F945" t="b">
            <v>0</v>
          </cell>
          <cell r="G945">
            <v>28760.1957260975</v>
          </cell>
          <cell r="H945">
            <v>28760.1957260975</v>
          </cell>
        </row>
        <row r="946">
          <cell r="B946" t="str">
            <v>DUNLAP 11027290</v>
          </cell>
          <cell r="C946">
            <v>254061102</v>
          </cell>
          <cell r="D946" t="str">
            <v>DUNLAP 1102</v>
          </cell>
          <cell r="E946">
            <v>7290</v>
          </cell>
          <cell r="F946" t="b">
            <v>0</v>
          </cell>
          <cell r="G946">
            <v>1075.40712257581</v>
          </cell>
          <cell r="H946">
            <v>1075.40712257581</v>
          </cell>
        </row>
        <row r="947">
          <cell r="B947" t="str">
            <v>DUNLAP 11027360</v>
          </cell>
          <cell r="C947">
            <v>254061102</v>
          </cell>
          <cell r="D947" t="str">
            <v>DUNLAP 1102</v>
          </cell>
          <cell r="E947">
            <v>7360</v>
          </cell>
          <cell r="F947" t="b">
            <v>0</v>
          </cell>
          <cell r="G947">
            <v>14342.2552071476</v>
          </cell>
          <cell r="H947">
            <v>14342.2552071476</v>
          </cell>
        </row>
        <row r="948">
          <cell r="B948" t="str">
            <v>DUNLAP 1102778286</v>
          </cell>
          <cell r="C948">
            <v>254061102</v>
          </cell>
          <cell r="D948" t="str">
            <v>DUNLAP 1102</v>
          </cell>
          <cell r="E948">
            <v>778286</v>
          </cell>
          <cell r="F948" t="b">
            <v>0</v>
          </cell>
          <cell r="G948">
            <v>4188.0046630876795</v>
          </cell>
          <cell r="H948">
            <v>4188.0046630876795</v>
          </cell>
        </row>
        <row r="949">
          <cell r="B949" t="str">
            <v>DUNLAP 11027849F</v>
          </cell>
          <cell r="C949">
            <v>254061102</v>
          </cell>
          <cell r="D949" t="str">
            <v>DUNLAP 1102</v>
          </cell>
          <cell r="E949" t="str">
            <v>7849F</v>
          </cell>
          <cell r="F949" t="b">
            <v>0</v>
          </cell>
          <cell r="G949">
            <v>13949.6343532266</v>
          </cell>
          <cell r="H949">
            <v>13949.6343532266</v>
          </cell>
        </row>
        <row r="950">
          <cell r="B950" t="str">
            <v>DUNLAP 1102CB</v>
          </cell>
          <cell r="C950">
            <v>254061102</v>
          </cell>
          <cell r="D950" t="str">
            <v>DUNLAP 1102</v>
          </cell>
          <cell r="E950" t="str">
            <v>CB</v>
          </cell>
          <cell r="F950" t="b">
            <v>0</v>
          </cell>
          <cell r="G950">
            <v>10840.095588059199</v>
          </cell>
          <cell r="H950">
            <v>10840.095588059199</v>
          </cell>
        </row>
        <row r="951">
          <cell r="B951" t="str">
            <v>DUNLAP 11037040</v>
          </cell>
          <cell r="C951">
            <v>254061103</v>
          </cell>
          <cell r="D951" t="str">
            <v>DUNLAP 1103</v>
          </cell>
          <cell r="E951">
            <v>7040</v>
          </cell>
          <cell r="F951" t="b">
            <v>0</v>
          </cell>
          <cell r="G951">
            <v>39870.080974955803</v>
          </cell>
          <cell r="H951">
            <v>39870.080974955803</v>
          </cell>
        </row>
        <row r="952">
          <cell r="B952" t="str">
            <v>DUNLAP 11037080</v>
          </cell>
          <cell r="C952">
            <v>254061103</v>
          </cell>
          <cell r="D952" t="str">
            <v>DUNLAP 1103</v>
          </cell>
          <cell r="E952">
            <v>7080</v>
          </cell>
          <cell r="F952" t="b">
            <v>0</v>
          </cell>
          <cell r="G952">
            <v>17026.243350708301</v>
          </cell>
          <cell r="H952">
            <v>17026.243350708301</v>
          </cell>
        </row>
        <row r="953">
          <cell r="B953" t="str">
            <v>DUNLAP 11037170</v>
          </cell>
          <cell r="C953">
            <v>254061103</v>
          </cell>
          <cell r="D953" t="str">
            <v>DUNLAP 1103</v>
          </cell>
          <cell r="E953">
            <v>7170</v>
          </cell>
          <cell r="F953" t="b">
            <v>0</v>
          </cell>
          <cell r="G953">
            <v>8726.7126865543105</v>
          </cell>
          <cell r="H953">
            <v>8726.7126865543105</v>
          </cell>
        </row>
        <row r="954">
          <cell r="B954" t="str">
            <v>DUNLAP 11037220</v>
          </cell>
          <cell r="C954">
            <v>254061103</v>
          </cell>
          <cell r="D954" t="str">
            <v>DUNLAP 1103</v>
          </cell>
          <cell r="E954">
            <v>7220</v>
          </cell>
          <cell r="F954" t="b">
            <v>0</v>
          </cell>
          <cell r="G954">
            <v>39952.248276443599</v>
          </cell>
          <cell r="H954">
            <v>39952.248276443599</v>
          </cell>
        </row>
        <row r="955">
          <cell r="B955" t="str">
            <v>DUNLAP 1103CB</v>
          </cell>
          <cell r="C955">
            <v>254061103</v>
          </cell>
          <cell r="D955" t="str">
            <v>DUNLAP 1103</v>
          </cell>
          <cell r="E955" t="str">
            <v>CB</v>
          </cell>
          <cell r="F955" t="b">
            <v>0</v>
          </cell>
          <cell r="G955">
            <v>9029.3519976534099</v>
          </cell>
          <cell r="H955">
            <v>9029.3519976534099</v>
          </cell>
        </row>
        <row r="956">
          <cell r="B956" t="str">
            <v>EAST QUINCY 1101186938</v>
          </cell>
          <cell r="C956">
            <v>102551101</v>
          </cell>
          <cell r="D956" t="str">
            <v>EAST QUINCY 1101</v>
          </cell>
          <cell r="E956">
            <v>186938</v>
          </cell>
          <cell r="F956" t="b">
            <v>0</v>
          </cell>
          <cell r="G956">
            <v>4893.2220023129303</v>
          </cell>
          <cell r="H956">
            <v>2672.10502792742</v>
          </cell>
        </row>
        <row r="957">
          <cell r="B957" t="str">
            <v>EAST QUINCY 11012452</v>
          </cell>
          <cell r="C957">
            <v>102551101</v>
          </cell>
          <cell r="D957" t="str">
            <v>EAST QUINCY 1101</v>
          </cell>
          <cell r="E957">
            <v>2452</v>
          </cell>
          <cell r="F957" t="b">
            <v>1</v>
          </cell>
          <cell r="G957">
            <v>11049.8485259359</v>
          </cell>
          <cell r="H957">
            <v>228.517735365677</v>
          </cell>
        </row>
        <row r="958">
          <cell r="B958" t="str">
            <v>EAST QUINCY 1101424048</v>
          </cell>
          <cell r="C958">
            <v>102551101</v>
          </cell>
          <cell r="D958" t="str">
            <v>EAST QUINCY 1101</v>
          </cell>
          <cell r="E958">
            <v>424048</v>
          </cell>
          <cell r="F958" t="b">
            <v>0</v>
          </cell>
          <cell r="G958">
            <v>1501.86110951867</v>
          </cell>
          <cell r="H958">
            <v>1068.5882034900401</v>
          </cell>
        </row>
        <row r="959">
          <cell r="B959" t="str">
            <v>EAST QUINCY 1101678650</v>
          </cell>
          <cell r="C959">
            <v>102551101</v>
          </cell>
          <cell r="D959" t="str">
            <v>EAST QUINCY 1101</v>
          </cell>
          <cell r="E959">
            <v>678650</v>
          </cell>
          <cell r="F959" t="b">
            <v>0</v>
          </cell>
          <cell r="G959">
            <v>2024.91523809004</v>
          </cell>
          <cell r="H959">
            <v>1808.9819335228401</v>
          </cell>
        </row>
        <row r="960">
          <cell r="B960" t="str">
            <v>EAST QUINCY 1101782320</v>
          </cell>
          <cell r="C960">
            <v>102551101</v>
          </cell>
          <cell r="D960" t="str">
            <v>EAST QUINCY 1101</v>
          </cell>
          <cell r="E960">
            <v>782320</v>
          </cell>
          <cell r="F960" t="b">
            <v>1</v>
          </cell>
          <cell r="G960">
            <v>606.88830146271096</v>
          </cell>
          <cell r="H960">
            <v>340.310826777584</v>
          </cell>
        </row>
        <row r="961">
          <cell r="B961" t="str">
            <v>EAST QUINCY 1101951424</v>
          </cell>
          <cell r="C961">
            <v>102551101</v>
          </cell>
          <cell r="D961" t="str">
            <v>EAST QUINCY 1101</v>
          </cell>
          <cell r="E961">
            <v>951424</v>
          </cell>
          <cell r="F961" t="b">
            <v>0</v>
          </cell>
          <cell r="G961">
            <v>5857.3043099335</v>
          </cell>
          <cell r="H961">
            <v>1124.2370708145399</v>
          </cell>
        </row>
        <row r="962">
          <cell r="B962" t="str">
            <v>ECHO SUMMIT 11012500</v>
          </cell>
          <cell r="C962">
            <v>158031101</v>
          </cell>
          <cell r="D962" t="str">
            <v>ECHO SUMMIT 1101</v>
          </cell>
          <cell r="E962">
            <v>2500</v>
          </cell>
          <cell r="F962" t="b">
            <v>0</v>
          </cell>
          <cell r="G962">
            <v>3521.4170017757501</v>
          </cell>
          <cell r="H962">
            <v>3521.4170017757501</v>
          </cell>
        </row>
        <row r="963">
          <cell r="B963" t="str">
            <v>ECHO SUMMIT 1101344250</v>
          </cell>
          <cell r="C963">
            <v>158031101</v>
          </cell>
          <cell r="D963" t="str">
            <v>ECHO SUMMIT 1101</v>
          </cell>
          <cell r="E963">
            <v>344250</v>
          </cell>
          <cell r="F963" t="b">
            <v>0</v>
          </cell>
          <cell r="G963">
            <v>1668.18367719252</v>
          </cell>
          <cell r="H963">
            <v>1299.27079946558</v>
          </cell>
        </row>
        <row r="964">
          <cell r="B964" t="str">
            <v>ECHO SUMMIT 1101481660</v>
          </cell>
          <cell r="C964">
            <v>158031101</v>
          </cell>
          <cell r="D964" t="str">
            <v>ECHO SUMMIT 1101</v>
          </cell>
          <cell r="E964">
            <v>481660</v>
          </cell>
          <cell r="F964" t="b">
            <v>0</v>
          </cell>
          <cell r="G964">
            <v>1777.59040638131</v>
          </cell>
          <cell r="H964">
            <v>1750.39567772899</v>
          </cell>
        </row>
        <row r="965">
          <cell r="B965" t="str">
            <v>ECHO SUMMIT 110155262</v>
          </cell>
          <cell r="C965">
            <v>158031101</v>
          </cell>
          <cell r="D965" t="str">
            <v>ECHO SUMMIT 1101</v>
          </cell>
          <cell r="E965">
            <v>55262</v>
          </cell>
          <cell r="F965" t="b">
            <v>1</v>
          </cell>
          <cell r="G965">
            <v>266.53395738018099</v>
          </cell>
          <cell r="H965">
            <v>266.53395738018099</v>
          </cell>
        </row>
        <row r="966">
          <cell r="B966" t="str">
            <v>ECHO SUMMIT 1101741586</v>
          </cell>
          <cell r="C966">
            <v>158031101</v>
          </cell>
          <cell r="D966" t="str">
            <v>ECHO SUMMIT 1101</v>
          </cell>
          <cell r="E966">
            <v>741586</v>
          </cell>
          <cell r="F966" t="b">
            <v>0</v>
          </cell>
          <cell r="G966">
            <v>1137.7951665065</v>
          </cell>
          <cell r="H966">
            <v>1137.7951665065</v>
          </cell>
        </row>
        <row r="967">
          <cell r="B967" t="str">
            <v>ECHO SUMMIT 11018922</v>
          </cell>
          <cell r="C967">
            <v>158031101</v>
          </cell>
          <cell r="D967" t="str">
            <v>ECHO SUMMIT 1101</v>
          </cell>
          <cell r="E967">
            <v>8922</v>
          </cell>
          <cell r="F967" t="b">
            <v>0</v>
          </cell>
          <cell r="G967">
            <v>1940.39016728759</v>
          </cell>
          <cell r="H967">
            <v>1940.39016728759</v>
          </cell>
        </row>
        <row r="968">
          <cell r="B968" t="str">
            <v>ECHO SUMMIT 1101CB</v>
          </cell>
          <cell r="C968">
            <v>158031101</v>
          </cell>
          <cell r="D968" t="str">
            <v>ECHO SUMMIT 1101</v>
          </cell>
          <cell r="E968" t="str">
            <v>CB</v>
          </cell>
          <cell r="F968" t="b">
            <v>1</v>
          </cell>
          <cell r="G968">
            <v>49.176122780116899</v>
          </cell>
          <cell r="H968">
            <v>49.176122780116899</v>
          </cell>
        </row>
        <row r="969">
          <cell r="B969" t="str">
            <v>EDENVALE 1102XR064</v>
          </cell>
          <cell r="C969">
            <v>82951102</v>
          </cell>
          <cell r="D969" t="str">
            <v>EDENVALE 1102</v>
          </cell>
          <cell r="E969" t="str">
            <v>XR064</v>
          </cell>
          <cell r="F969" t="b">
            <v>0</v>
          </cell>
          <cell r="G969">
            <v>6026.8923389172096</v>
          </cell>
          <cell r="H969">
            <v>1175.60949428915</v>
          </cell>
        </row>
        <row r="970">
          <cell r="B970" t="str">
            <v>EDENVALE 2107288980</v>
          </cell>
          <cell r="C970">
            <v>82952107</v>
          </cell>
          <cell r="D970" t="str">
            <v>EDENVALE 2107</v>
          </cell>
          <cell r="E970">
            <v>288980</v>
          </cell>
          <cell r="F970" t="b">
            <v>1</v>
          </cell>
          <cell r="G970">
            <v>1137.52675783419</v>
          </cell>
          <cell r="H970">
            <v>532.32993642573399</v>
          </cell>
        </row>
        <row r="971">
          <cell r="B971" t="str">
            <v>EDENVALE 2107469810</v>
          </cell>
          <cell r="C971">
            <v>82952107</v>
          </cell>
          <cell r="D971" t="str">
            <v>EDENVALE 2107</v>
          </cell>
          <cell r="E971">
            <v>469810</v>
          </cell>
          <cell r="F971" t="b">
            <v>0</v>
          </cell>
          <cell r="G971">
            <v>9545.8931833229199</v>
          </cell>
          <cell r="H971">
            <v>3464.1713594334901</v>
          </cell>
        </row>
        <row r="972">
          <cell r="B972" t="str">
            <v>EDENVALE 2107739448</v>
          </cell>
          <cell r="C972">
            <v>82952107</v>
          </cell>
          <cell r="D972" t="str">
            <v>EDENVALE 2107</v>
          </cell>
          <cell r="E972">
            <v>739448</v>
          </cell>
          <cell r="F972" t="b">
            <v>0</v>
          </cell>
          <cell r="G972">
            <v>3763.2992552466999</v>
          </cell>
          <cell r="H972">
            <v>2860.1442626375901</v>
          </cell>
        </row>
        <row r="973">
          <cell r="B973" t="str">
            <v>EDENVALE 2113CB</v>
          </cell>
          <cell r="C973">
            <v>82952113</v>
          </cell>
          <cell r="D973" t="str">
            <v>EDENVALE 2113</v>
          </cell>
          <cell r="E973" t="str">
            <v>CB</v>
          </cell>
          <cell r="F973" t="b">
            <v>1</v>
          </cell>
          <cell r="G973">
            <v>2357.5159647810401</v>
          </cell>
          <cell r="H973">
            <v>24.567983621802998</v>
          </cell>
        </row>
        <row r="974">
          <cell r="B974" t="str">
            <v>EDES 1112714759</v>
          </cell>
          <cell r="C974">
            <v>13681112</v>
          </cell>
          <cell r="D974" t="str">
            <v>EDES 1112</v>
          </cell>
          <cell r="E974">
            <v>714759</v>
          </cell>
          <cell r="F974" t="b">
            <v>1</v>
          </cell>
          <cell r="G974">
            <v>1469.7625883704</v>
          </cell>
          <cell r="H974">
            <v>361.91914572824999</v>
          </cell>
        </row>
        <row r="975">
          <cell r="B975" t="str">
            <v>EDES 1112CB</v>
          </cell>
          <cell r="C975">
            <v>13681112</v>
          </cell>
          <cell r="D975" t="str">
            <v>EDES 1112</v>
          </cell>
          <cell r="E975" t="str">
            <v>CB</v>
          </cell>
          <cell r="F975" t="b">
            <v>1</v>
          </cell>
          <cell r="G975">
            <v>911.83800025079404</v>
          </cell>
          <cell r="H975">
            <v>70.461898678600406</v>
          </cell>
        </row>
        <row r="976">
          <cell r="B976" t="str">
            <v>EDES 1112CR100</v>
          </cell>
          <cell r="C976">
            <v>13681112</v>
          </cell>
          <cell r="D976" t="str">
            <v>EDES 1112</v>
          </cell>
          <cell r="E976" t="str">
            <v>CR100</v>
          </cell>
          <cell r="F976" t="b">
            <v>0</v>
          </cell>
          <cell r="G976">
            <v>5399.0675269683497</v>
          </cell>
          <cell r="H976">
            <v>5399.0675269683497</v>
          </cell>
        </row>
        <row r="977">
          <cell r="B977" t="str">
            <v>EDES 1112CR282</v>
          </cell>
          <cell r="C977">
            <v>13681112</v>
          </cell>
          <cell r="D977" t="str">
            <v>EDES 1112</v>
          </cell>
          <cell r="E977" t="str">
            <v>CR282</v>
          </cell>
          <cell r="F977" t="b">
            <v>0</v>
          </cell>
          <cell r="G977">
            <v>6573.0207697870701</v>
          </cell>
          <cell r="H977">
            <v>6573.0207697870701</v>
          </cell>
        </row>
        <row r="978">
          <cell r="B978" t="str">
            <v>EDES 1112CR306</v>
          </cell>
          <cell r="C978">
            <v>13681112</v>
          </cell>
          <cell r="D978" t="str">
            <v>EDES 1112</v>
          </cell>
          <cell r="E978" t="str">
            <v>CR306</v>
          </cell>
          <cell r="F978" t="b">
            <v>0</v>
          </cell>
          <cell r="G978">
            <v>1619.5832852457399</v>
          </cell>
          <cell r="H978">
            <v>1619.5832852457399</v>
          </cell>
        </row>
        <row r="979">
          <cell r="B979" t="str">
            <v>EDES 1112CR308</v>
          </cell>
          <cell r="C979">
            <v>13681112</v>
          </cell>
          <cell r="D979" t="str">
            <v>EDES 1112</v>
          </cell>
          <cell r="E979" t="str">
            <v>CR308</v>
          </cell>
          <cell r="F979" t="b">
            <v>0</v>
          </cell>
          <cell r="G979">
            <v>5698.32311982377</v>
          </cell>
          <cell r="H979">
            <v>5168.8002698458804</v>
          </cell>
        </row>
        <row r="980">
          <cell r="B980" t="str">
            <v>EDES 1112CR312</v>
          </cell>
          <cell r="C980">
            <v>13681112</v>
          </cell>
          <cell r="D980" t="str">
            <v>EDES 1112</v>
          </cell>
          <cell r="E980" t="str">
            <v>CR312</v>
          </cell>
          <cell r="F980" t="b">
            <v>0</v>
          </cell>
          <cell r="G980">
            <v>5934.1285789252097</v>
          </cell>
          <cell r="H980">
            <v>5934.1285789252097</v>
          </cell>
        </row>
        <row r="981">
          <cell r="B981" t="str">
            <v>EEL RIVER 11021902</v>
          </cell>
          <cell r="C981">
            <v>192381102</v>
          </cell>
          <cell r="D981" t="str">
            <v>EEL RIVER 1102</v>
          </cell>
          <cell r="E981">
            <v>1902</v>
          </cell>
          <cell r="F981" t="b">
            <v>0</v>
          </cell>
          <cell r="G981">
            <v>11685.3749516932</v>
          </cell>
          <cell r="H981">
            <v>10562.739090531701</v>
          </cell>
        </row>
        <row r="982">
          <cell r="B982" t="str">
            <v>EEL RIVER 11024814</v>
          </cell>
          <cell r="C982">
            <v>192381102</v>
          </cell>
          <cell r="D982" t="str">
            <v>EEL RIVER 1102</v>
          </cell>
          <cell r="E982">
            <v>4814</v>
          </cell>
          <cell r="F982" t="b">
            <v>0</v>
          </cell>
          <cell r="G982">
            <v>44262.901462294198</v>
          </cell>
          <cell r="H982">
            <v>43433.149954116503</v>
          </cell>
        </row>
        <row r="983">
          <cell r="B983" t="str">
            <v>EEL RIVER 1102530</v>
          </cell>
          <cell r="C983">
            <v>192381102</v>
          </cell>
          <cell r="D983" t="str">
            <v>EEL RIVER 1102</v>
          </cell>
          <cell r="E983">
            <v>530</v>
          </cell>
          <cell r="F983" t="b">
            <v>1</v>
          </cell>
          <cell r="G983">
            <v>43254.378083809097</v>
          </cell>
          <cell r="H983">
            <v>117.527749471291</v>
          </cell>
        </row>
        <row r="984">
          <cell r="B984" t="str">
            <v>EEL RIVER 1102630456</v>
          </cell>
          <cell r="C984">
            <v>192381102</v>
          </cell>
          <cell r="D984" t="str">
            <v>EEL RIVER 1102</v>
          </cell>
          <cell r="E984">
            <v>630456</v>
          </cell>
          <cell r="F984" t="b">
            <v>0</v>
          </cell>
          <cell r="G984">
            <v>8616.6169000517093</v>
          </cell>
          <cell r="H984">
            <v>8616.6169000517093</v>
          </cell>
        </row>
        <row r="985">
          <cell r="B985" t="str">
            <v>EEL RIVER 1102720639</v>
          </cell>
          <cell r="C985">
            <v>192381102</v>
          </cell>
          <cell r="D985" t="str">
            <v>EEL RIVER 1102</v>
          </cell>
          <cell r="E985">
            <v>720639</v>
          </cell>
          <cell r="F985" t="b">
            <v>0</v>
          </cell>
          <cell r="G985">
            <v>5844.6693598716101</v>
          </cell>
          <cell r="H985">
            <v>2660.7876289533201</v>
          </cell>
        </row>
        <row r="986">
          <cell r="B986" t="str">
            <v>EEL RIVER 1103216324</v>
          </cell>
          <cell r="C986">
            <v>192381103</v>
          </cell>
          <cell r="D986" t="str">
            <v>EEL RIVER 1103</v>
          </cell>
          <cell r="E986">
            <v>216324</v>
          </cell>
          <cell r="F986" t="b">
            <v>0</v>
          </cell>
          <cell r="G986">
            <v>4626.1815861702698</v>
          </cell>
          <cell r="H986">
            <v>3681.92326880971</v>
          </cell>
        </row>
        <row r="987">
          <cell r="B987" t="str">
            <v>EEL RIVER 1103241646</v>
          </cell>
          <cell r="C987">
            <v>192381103</v>
          </cell>
          <cell r="D987" t="str">
            <v>EEL RIVER 1103</v>
          </cell>
          <cell r="E987">
            <v>241646</v>
          </cell>
          <cell r="F987" t="b">
            <v>1</v>
          </cell>
          <cell r="G987">
            <v>2237.0921453312399</v>
          </cell>
          <cell r="H987">
            <v>583.42039785580505</v>
          </cell>
        </row>
        <row r="988">
          <cell r="B988" t="str">
            <v>EEL RIVER 11033820</v>
          </cell>
          <cell r="C988">
            <v>192381103</v>
          </cell>
          <cell r="D988" t="str">
            <v>EEL RIVER 1103</v>
          </cell>
          <cell r="E988">
            <v>3820</v>
          </cell>
          <cell r="F988" t="b">
            <v>1</v>
          </cell>
          <cell r="G988">
            <v>23262.423244169298</v>
          </cell>
          <cell r="H988">
            <v>0</v>
          </cell>
        </row>
        <row r="989">
          <cell r="B989" t="str">
            <v>EEL RIVER 1103987714</v>
          </cell>
          <cell r="C989">
            <v>192381103</v>
          </cell>
          <cell r="D989" t="str">
            <v>EEL RIVER 1103</v>
          </cell>
          <cell r="E989">
            <v>987714</v>
          </cell>
          <cell r="F989" t="b">
            <v>0</v>
          </cell>
          <cell r="G989">
            <v>1590.9598325354</v>
          </cell>
          <cell r="H989">
            <v>1218.9667515985</v>
          </cell>
        </row>
        <row r="990">
          <cell r="B990" t="str">
            <v>EEL RIVER 1103CB</v>
          </cell>
          <cell r="C990">
            <v>192381103</v>
          </cell>
          <cell r="D990" t="str">
            <v>EEL RIVER 1103</v>
          </cell>
          <cell r="E990" t="str">
            <v>CB</v>
          </cell>
          <cell r="F990" t="b">
            <v>1</v>
          </cell>
          <cell r="G990">
            <v>64360.314138594098</v>
          </cell>
          <cell r="H990">
            <v>0</v>
          </cell>
        </row>
        <row r="991">
          <cell r="B991" t="str">
            <v>EL CERRITO G 1105BR160</v>
          </cell>
          <cell r="C991">
            <v>12501105</v>
          </cell>
          <cell r="D991" t="str">
            <v>EL CERRITO G 1105</v>
          </cell>
          <cell r="E991" t="str">
            <v>BR160</v>
          </cell>
          <cell r="F991" t="b">
            <v>0</v>
          </cell>
          <cell r="G991">
            <v>18386.483180305899</v>
          </cell>
          <cell r="H991">
            <v>13394.711006830999</v>
          </cell>
        </row>
        <row r="992">
          <cell r="B992" t="str">
            <v>EL CERRITO G 1105BR164</v>
          </cell>
          <cell r="C992">
            <v>12501105</v>
          </cell>
          <cell r="D992" t="str">
            <v>EL CERRITO G 1105</v>
          </cell>
          <cell r="E992" t="str">
            <v>BR164</v>
          </cell>
          <cell r="F992" t="b">
            <v>1</v>
          </cell>
          <cell r="G992">
            <v>91.584488198383397</v>
          </cell>
          <cell r="H992">
            <v>91.584488198383397</v>
          </cell>
        </row>
        <row r="993">
          <cell r="B993" t="str">
            <v>EL CERRITO G 1105BR194</v>
          </cell>
          <cell r="C993">
            <v>12501105</v>
          </cell>
          <cell r="D993" t="str">
            <v>EL CERRITO G 1105</v>
          </cell>
          <cell r="E993" t="str">
            <v>BR194</v>
          </cell>
          <cell r="F993" t="b">
            <v>0</v>
          </cell>
          <cell r="G993">
            <v>8491.9295122302101</v>
          </cell>
          <cell r="H993">
            <v>6148.6965385427702</v>
          </cell>
        </row>
        <row r="994">
          <cell r="B994" t="str">
            <v>EL CERRITO G 1105CB</v>
          </cell>
          <cell r="C994">
            <v>12501105</v>
          </cell>
          <cell r="D994" t="str">
            <v>EL CERRITO G 1105</v>
          </cell>
          <cell r="E994" t="str">
            <v>CB</v>
          </cell>
          <cell r="F994" t="b">
            <v>0</v>
          </cell>
          <cell r="G994">
            <v>11982.825932784899</v>
          </cell>
          <cell r="H994">
            <v>11982.825932784899</v>
          </cell>
        </row>
        <row r="995">
          <cell r="B995" t="str">
            <v>EL CERRITO G 1108BR346</v>
          </cell>
          <cell r="C995">
            <v>12501108</v>
          </cell>
          <cell r="D995" t="str">
            <v>EL CERRITO G 1108</v>
          </cell>
          <cell r="E995" t="str">
            <v>BR346</v>
          </cell>
          <cell r="F995" t="b">
            <v>1</v>
          </cell>
          <cell r="G995">
            <v>11386.608947205899</v>
          </cell>
          <cell r="H995">
            <v>0</v>
          </cell>
        </row>
        <row r="996">
          <cell r="B996" t="str">
            <v>EL CERRITO G 1108CB</v>
          </cell>
          <cell r="C996">
            <v>12501108</v>
          </cell>
          <cell r="D996" t="str">
            <v>EL CERRITO G 1108</v>
          </cell>
          <cell r="E996" t="str">
            <v>CB</v>
          </cell>
          <cell r="F996" t="b">
            <v>1</v>
          </cell>
          <cell r="G996">
            <v>11783.470322113801</v>
          </cell>
          <cell r="H996">
            <v>4.3429207669974703</v>
          </cell>
        </row>
        <row r="997">
          <cell r="B997" t="str">
            <v>EL CERRITO G 1110173396</v>
          </cell>
          <cell r="C997">
            <v>12501110</v>
          </cell>
          <cell r="D997" t="str">
            <v>EL CERRITO G 1110</v>
          </cell>
          <cell r="E997">
            <v>173396</v>
          </cell>
          <cell r="F997" t="b">
            <v>1</v>
          </cell>
          <cell r="G997">
            <v>265.73463286749598</v>
          </cell>
          <cell r="H997">
            <v>265.73463286749598</v>
          </cell>
        </row>
        <row r="998">
          <cell r="B998" t="str">
            <v>EL CERRITO G 1110BR236</v>
          </cell>
          <cell r="C998">
            <v>12501110</v>
          </cell>
          <cell r="D998" t="str">
            <v>EL CERRITO G 1110</v>
          </cell>
          <cell r="E998" t="str">
            <v>BR236</v>
          </cell>
          <cell r="F998" t="b">
            <v>1</v>
          </cell>
          <cell r="G998">
            <v>850.41734877859506</v>
          </cell>
          <cell r="H998">
            <v>819.89638121580595</v>
          </cell>
        </row>
        <row r="999">
          <cell r="B999" t="str">
            <v>EL CERRITO G 1110CB</v>
          </cell>
          <cell r="C999">
            <v>12501110</v>
          </cell>
          <cell r="D999" t="str">
            <v>EL CERRITO G 1110</v>
          </cell>
          <cell r="E999" t="str">
            <v>CB</v>
          </cell>
          <cell r="F999" t="b">
            <v>1</v>
          </cell>
          <cell r="G999">
            <v>4157.1829475828599</v>
          </cell>
          <cell r="H999">
            <v>423.115327310981</v>
          </cell>
        </row>
        <row r="1000">
          <cell r="B1000" t="str">
            <v>EL CERRITO G 1111760530</v>
          </cell>
          <cell r="C1000">
            <v>12501111</v>
          </cell>
          <cell r="D1000" t="str">
            <v>EL CERRITO G 1111</v>
          </cell>
          <cell r="E1000">
            <v>760530</v>
          </cell>
          <cell r="F1000" t="b">
            <v>1</v>
          </cell>
          <cell r="G1000">
            <v>2038.4891130987</v>
          </cell>
          <cell r="H1000">
            <v>342.57877933159801</v>
          </cell>
        </row>
        <row r="1001">
          <cell r="B1001" t="str">
            <v>EL CERRITO G 1112209865</v>
          </cell>
          <cell r="C1001">
            <v>12501112</v>
          </cell>
          <cell r="D1001" t="str">
            <v>EL CERRITO G 1112</v>
          </cell>
          <cell r="E1001">
            <v>209865</v>
          </cell>
          <cell r="F1001" t="b">
            <v>1</v>
          </cell>
          <cell r="G1001">
            <v>1489.5819898653899</v>
          </cell>
          <cell r="H1001">
            <v>423.01020430412302</v>
          </cell>
        </row>
        <row r="1002">
          <cell r="B1002" t="str">
            <v>EL CERRITO G 1112418480</v>
          </cell>
          <cell r="C1002">
            <v>12501112</v>
          </cell>
          <cell r="D1002" t="str">
            <v>EL CERRITO G 1112</v>
          </cell>
          <cell r="E1002">
            <v>418480</v>
          </cell>
          <cell r="F1002" t="b">
            <v>0</v>
          </cell>
          <cell r="G1002">
            <v>1216.9885442109501</v>
          </cell>
          <cell r="H1002">
            <v>1216.9885442109501</v>
          </cell>
        </row>
        <row r="1003">
          <cell r="B1003" t="str">
            <v>EL CERRITO G 111257953</v>
          </cell>
          <cell r="C1003">
            <v>12501112</v>
          </cell>
          <cell r="D1003" t="str">
            <v>EL CERRITO G 1112</v>
          </cell>
          <cell r="E1003">
            <v>57953</v>
          </cell>
          <cell r="F1003" t="b">
            <v>1</v>
          </cell>
          <cell r="G1003">
            <v>1217.1907284253</v>
          </cell>
          <cell r="H1003">
            <v>353.27688562994098</v>
          </cell>
        </row>
        <row r="1004">
          <cell r="B1004" t="str">
            <v>EL CERRITO G 1112779030</v>
          </cell>
          <cell r="C1004">
            <v>12501112</v>
          </cell>
          <cell r="D1004" t="str">
            <v>EL CERRITO G 1112</v>
          </cell>
          <cell r="E1004">
            <v>779030</v>
          </cell>
          <cell r="F1004" t="b">
            <v>1</v>
          </cell>
          <cell r="G1004">
            <v>1061.9420250711501</v>
          </cell>
          <cell r="H1004">
            <v>827.47588974030896</v>
          </cell>
        </row>
        <row r="1005">
          <cell r="B1005" t="str">
            <v>EL CERRITO G 1112BR178</v>
          </cell>
          <cell r="C1005">
            <v>12501112</v>
          </cell>
          <cell r="D1005" t="str">
            <v>EL CERRITO G 1112</v>
          </cell>
          <cell r="E1005" t="str">
            <v>BR178</v>
          </cell>
          <cell r="F1005" t="b">
            <v>1</v>
          </cell>
          <cell r="G1005">
            <v>10667.160073819699</v>
          </cell>
          <cell r="H1005">
            <v>48.200259645947497</v>
          </cell>
        </row>
        <row r="1006">
          <cell r="B1006" t="str">
            <v>EL CERRITO G 1112BR180</v>
          </cell>
          <cell r="C1006">
            <v>12501112</v>
          </cell>
          <cell r="D1006" t="str">
            <v>EL CERRITO G 1112</v>
          </cell>
          <cell r="E1006" t="str">
            <v>BR180</v>
          </cell>
          <cell r="F1006" t="b">
            <v>1</v>
          </cell>
          <cell r="G1006">
            <v>3108.62760102018</v>
          </cell>
          <cell r="H1006">
            <v>675.07123573994397</v>
          </cell>
        </row>
        <row r="1007">
          <cell r="B1007" t="str">
            <v>EL CERRITO G 1112BR196</v>
          </cell>
          <cell r="C1007">
            <v>12501112</v>
          </cell>
          <cell r="D1007" t="str">
            <v>EL CERRITO G 1112</v>
          </cell>
          <cell r="E1007" t="str">
            <v>BR196</v>
          </cell>
          <cell r="F1007" t="b">
            <v>1</v>
          </cell>
          <cell r="G1007">
            <v>5817.7227533811702</v>
          </cell>
          <cell r="H1007">
            <v>0</v>
          </cell>
        </row>
        <row r="1008">
          <cell r="B1008" t="str">
            <v>EL CERRITO G 1113CB</v>
          </cell>
          <cell r="C1008">
            <v>12501113</v>
          </cell>
          <cell r="D1008" t="str">
            <v>EL CERRITO G 1113</v>
          </cell>
          <cell r="E1008" t="str">
            <v>CB</v>
          </cell>
          <cell r="F1008" t="b">
            <v>1</v>
          </cell>
          <cell r="G1008">
            <v>6943.4772110821896</v>
          </cell>
          <cell r="H1008">
            <v>158.17493507191901</v>
          </cell>
        </row>
        <row r="1009">
          <cell r="B1009" t="str">
            <v>EL DORADO PH 210113532</v>
          </cell>
          <cell r="C1009">
            <v>152762101</v>
          </cell>
          <cell r="D1009" t="str">
            <v>EL DORADO PH 2101</v>
          </cell>
          <cell r="E1009">
            <v>13532</v>
          </cell>
          <cell r="F1009" t="b">
            <v>0</v>
          </cell>
          <cell r="G1009">
            <v>8576.7797675430302</v>
          </cell>
          <cell r="H1009">
            <v>8576.7797675430302</v>
          </cell>
        </row>
        <row r="1010">
          <cell r="B1010" t="str">
            <v>EL DORADO PH 210119612</v>
          </cell>
          <cell r="C1010">
            <v>152762101</v>
          </cell>
          <cell r="D1010" t="str">
            <v>EL DORADO PH 2101</v>
          </cell>
          <cell r="E1010">
            <v>19612</v>
          </cell>
          <cell r="F1010" t="b">
            <v>0</v>
          </cell>
          <cell r="G1010">
            <v>14689.1647002422</v>
          </cell>
          <cell r="H1010">
            <v>14689.1647002422</v>
          </cell>
        </row>
        <row r="1011">
          <cell r="B1011" t="str">
            <v>EL DORADO PH 210119752</v>
          </cell>
          <cell r="C1011">
            <v>152762101</v>
          </cell>
          <cell r="D1011" t="str">
            <v>EL DORADO PH 2101</v>
          </cell>
          <cell r="E1011">
            <v>19752</v>
          </cell>
          <cell r="F1011" t="b">
            <v>0</v>
          </cell>
          <cell r="G1011">
            <v>58764.731755429799</v>
          </cell>
          <cell r="H1011">
            <v>58764.731755429799</v>
          </cell>
        </row>
        <row r="1012">
          <cell r="B1012" t="str">
            <v>EL DORADO PH 210126000</v>
          </cell>
          <cell r="C1012">
            <v>152762101</v>
          </cell>
          <cell r="D1012" t="str">
            <v>EL DORADO PH 2101</v>
          </cell>
          <cell r="E1012">
            <v>26000</v>
          </cell>
          <cell r="F1012" t="b">
            <v>0</v>
          </cell>
          <cell r="G1012">
            <v>55311.570486925302</v>
          </cell>
          <cell r="H1012">
            <v>55311.570486925302</v>
          </cell>
        </row>
        <row r="1013">
          <cell r="B1013" t="str">
            <v>EL DORADO PH 210136764</v>
          </cell>
          <cell r="C1013">
            <v>152762101</v>
          </cell>
          <cell r="D1013" t="str">
            <v>EL DORADO PH 2101</v>
          </cell>
          <cell r="E1013">
            <v>36764</v>
          </cell>
          <cell r="F1013" t="b">
            <v>0</v>
          </cell>
          <cell r="G1013">
            <v>7038.6749123927802</v>
          </cell>
          <cell r="H1013">
            <v>5034.5882464872102</v>
          </cell>
        </row>
        <row r="1014">
          <cell r="B1014" t="str">
            <v>EL DORADO PH 210152456</v>
          </cell>
          <cell r="C1014">
            <v>152762101</v>
          </cell>
          <cell r="D1014" t="str">
            <v>EL DORADO PH 2101</v>
          </cell>
          <cell r="E1014">
            <v>52456</v>
          </cell>
          <cell r="F1014" t="b">
            <v>0</v>
          </cell>
          <cell r="G1014">
            <v>16414.575977465902</v>
          </cell>
          <cell r="H1014">
            <v>16414.575977465902</v>
          </cell>
        </row>
        <row r="1015">
          <cell r="B1015" t="str">
            <v>EL DORADO PH 210163464</v>
          </cell>
          <cell r="C1015">
            <v>152762101</v>
          </cell>
          <cell r="D1015" t="str">
            <v>EL DORADO PH 2101</v>
          </cell>
          <cell r="E1015">
            <v>63464</v>
          </cell>
          <cell r="F1015" t="b">
            <v>0</v>
          </cell>
          <cell r="G1015">
            <v>21920.8691922451</v>
          </cell>
          <cell r="H1015">
            <v>21920.8691922451</v>
          </cell>
        </row>
        <row r="1016">
          <cell r="B1016" t="str">
            <v>EL DORADO PH 2101668674</v>
          </cell>
          <cell r="C1016">
            <v>152762101</v>
          </cell>
          <cell r="D1016" t="str">
            <v>EL DORADO PH 2101</v>
          </cell>
          <cell r="E1016">
            <v>668674</v>
          </cell>
          <cell r="F1016" t="b">
            <v>0</v>
          </cell>
          <cell r="G1016">
            <v>15298.654883487199</v>
          </cell>
          <cell r="H1016">
            <v>15298.654883487199</v>
          </cell>
        </row>
        <row r="1017">
          <cell r="B1017" t="str">
            <v>EL DORADO PH 21016852</v>
          </cell>
          <cell r="C1017">
            <v>152762101</v>
          </cell>
          <cell r="D1017" t="str">
            <v>EL DORADO PH 2101</v>
          </cell>
          <cell r="E1017">
            <v>6852</v>
          </cell>
          <cell r="F1017" t="b">
            <v>0</v>
          </cell>
          <cell r="G1017">
            <v>40624.272686910001</v>
          </cell>
          <cell r="H1017">
            <v>40624.272686910001</v>
          </cell>
        </row>
        <row r="1018">
          <cell r="B1018" t="str">
            <v>EL DORADO PH 21019759</v>
          </cell>
          <cell r="C1018">
            <v>152762101</v>
          </cell>
          <cell r="D1018" t="str">
            <v>EL DORADO PH 2101</v>
          </cell>
          <cell r="E1018">
            <v>9759</v>
          </cell>
          <cell r="F1018" t="b">
            <v>0</v>
          </cell>
          <cell r="G1018">
            <v>4110.5785718638099</v>
          </cell>
          <cell r="H1018">
            <v>4110.5785718638099</v>
          </cell>
        </row>
        <row r="1019">
          <cell r="B1019" t="str">
            <v>EL DORADO PH 2101CB</v>
          </cell>
          <cell r="C1019">
            <v>152762101</v>
          </cell>
          <cell r="D1019" t="str">
            <v>EL DORADO PH 2101</v>
          </cell>
          <cell r="E1019" t="str">
            <v>CB</v>
          </cell>
          <cell r="F1019" t="b">
            <v>0</v>
          </cell>
          <cell r="G1019">
            <v>11999.450482459401</v>
          </cell>
          <cell r="H1019">
            <v>11999.450482459401</v>
          </cell>
        </row>
        <row r="1020">
          <cell r="B1020" t="str">
            <v>EL DORADO PH 210219542</v>
          </cell>
          <cell r="C1020">
            <v>152762102</v>
          </cell>
          <cell r="D1020" t="str">
            <v>EL DORADO PH 2102</v>
          </cell>
          <cell r="E1020">
            <v>19542</v>
          </cell>
          <cell r="F1020" t="b">
            <v>0</v>
          </cell>
          <cell r="G1020">
            <v>15319.577414302599</v>
          </cell>
          <cell r="H1020">
            <v>15319.577414302599</v>
          </cell>
        </row>
        <row r="1021">
          <cell r="B1021" t="str">
            <v>EL DORADO PH 210219562</v>
          </cell>
          <cell r="C1021">
            <v>152762102</v>
          </cell>
          <cell r="D1021" t="str">
            <v>EL DORADO PH 2102</v>
          </cell>
          <cell r="E1021">
            <v>19562</v>
          </cell>
          <cell r="F1021" t="b">
            <v>0</v>
          </cell>
          <cell r="G1021">
            <v>11663.89644877</v>
          </cell>
          <cell r="H1021">
            <v>11663.89644877</v>
          </cell>
        </row>
        <row r="1022">
          <cell r="B1022" t="str">
            <v>EL DORADO PH 2102542272</v>
          </cell>
          <cell r="C1022">
            <v>152762102</v>
          </cell>
          <cell r="D1022" t="str">
            <v>EL DORADO PH 2102</v>
          </cell>
          <cell r="E1022">
            <v>542272</v>
          </cell>
          <cell r="F1022" t="b">
            <v>0</v>
          </cell>
          <cell r="G1022">
            <v>12585.3616434909</v>
          </cell>
          <cell r="H1022">
            <v>12585.3616434909</v>
          </cell>
        </row>
        <row r="1023">
          <cell r="B1023" t="str">
            <v>EL DORADO PH 21026645</v>
          </cell>
          <cell r="C1023">
            <v>152762102</v>
          </cell>
          <cell r="D1023" t="str">
            <v>EL DORADO PH 2102</v>
          </cell>
          <cell r="E1023">
            <v>6645</v>
          </cell>
          <cell r="F1023" t="b">
            <v>0</v>
          </cell>
          <cell r="G1023">
            <v>6787.3604233224996</v>
          </cell>
          <cell r="H1023">
            <v>6787.3604233224996</v>
          </cell>
        </row>
        <row r="1024">
          <cell r="B1024" t="str">
            <v>EL DORADO PH 2102CB</v>
          </cell>
          <cell r="C1024">
            <v>152762102</v>
          </cell>
          <cell r="D1024" t="str">
            <v>EL DORADO PH 2102</v>
          </cell>
          <cell r="E1024" t="str">
            <v>CB</v>
          </cell>
          <cell r="F1024" t="b">
            <v>0</v>
          </cell>
          <cell r="G1024">
            <v>8918.2943340652</v>
          </cell>
          <cell r="H1024">
            <v>8918.2943340652</v>
          </cell>
        </row>
        <row r="1025">
          <cell r="B1025" t="str">
            <v>ELECTRA 11011238</v>
          </cell>
          <cell r="C1025">
            <v>162161101</v>
          </cell>
          <cell r="D1025" t="str">
            <v>ELECTRA 1101</v>
          </cell>
          <cell r="E1025">
            <v>1238</v>
          </cell>
          <cell r="F1025" t="b">
            <v>0</v>
          </cell>
          <cell r="G1025">
            <v>11344.076722907001</v>
          </cell>
          <cell r="H1025">
            <v>5824.67401757876</v>
          </cell>
        </row>
        <row r="1026">
          <cell r="B1026" t="str">
            <v>ELECTRA 110136816</v>
          </cell>
          <cell r="C1026">
            <v>162161101</v>
          </cell>
          <cell r="D1026" t="str">
            <v>ELECTRA 1101</v>
          </cell>
          <cell r="E1026">
            <v>36816</v>
          </cell>
          <cell r="F1026" t="b">
            <v>0</v>
          </cell>
          <cell r="G1026">
            <v>8023.9265819890497</v>
          </cell>
          <cell r="H1026">
            <v>8023.9265819890497</v>
          </cell>
        </row>
        <row r="1027">
          <cell r="B1027" t="str">
            <v>ELECTRA 110161816</v>
          </cell>
          <cell r="C1027">
            <v>162161101</v>
          </cell>
          <cell r="D1027" t="str">
            <v>ELECTRA 1101</v>
          </cell>
          <cell r="E1027">
            <v>61816</v>
          </cell>
          <cell r="F1027" t="b">
            <v>0</v>
          </cell>
          <cell r="G1027">
            <v>37826.987442954502</v>
          </cell>
          <cell r="H1027">
            <v>37826.987442954502</v>
          </cell>
        </row>
        <row r="1028">
          <cell r="B1028" t="str">
            <v>ELECTRA 11017104</v>
          </cell>
          <cell r="C1028">
            <v>162161101</v>
          </cell>
          <cell r="D1028" t="str">
            <v>ELECTRA 1101</v>
          </cell>
          <cell r="E1028">
            <v>7104</v>
          </cell>
          <cell r="F1028" t="b">
            <v>0</v>
          </cell>
          <cell r="G1028">
            <v>19430.665182778299</v>
          </cell>
          <cell r="H1028">
            <v>19430.665182778299</v>
          </cell>
        </row>
        <row r="1029">
          <cell r="B1029" t="str">
            <v>ELECTRA 1101CB</v>
          </cell>
          <cell r="C1029">
            <v>162161101</v>
          </cell>
          <cell r="D1029" t="str">
            <v>ELECTRA 1101</v>
          </cell>
          <cell r="E1029" t="str">
            <v>CB</v>
          </cell>
          <cell r="F1029" t="b">
            <v>0</v>
          </cell>
          <cell r="G1029">
            <v>50985.834918205903</v>
          </cell>
          <cell r="H1029">
            <v>50985.834918205903</v>
          </cell>
        </row>
        <row r="1030">
          <cell r="B1030" t="str">
            <v>ELECTRA 1101L1697</v>
          </cell>
          <cell r="C1030">
            <v>162161101</v>
          </cell>
          <cell r="D1030" t="str">
            <v>ELECTRA 1101</v>
          </cell>
          <cell r="E1030" t="str">
            <v>L1697</v>
          </cell>
          <cell r="F1030" t="b">
            <v>0</v>
          </cell>
          <cell r="G1030">
            <v>9283.5435018375592</v>
          </cell>
          <cell r="H1030">
            <v>9283.5435018375592</v>
          </cell>
        </row>
        <row r="1031">
          <cell r="B1031" t="str">
            <v>ELECTRA 11024756</v>
          </cell>
          <cell r="C1031">
            <v>162161102</v>
          </cell>
          <cell r="D1031" t="str">
            <v>ELECTRA 1102</v>
          </cell>
          <cell r="E1031">
            <v>4756</v>
          </cell>
          <cell r="F1031" t="b">
            <v>0</v>
          </cell>
          <cell r="G1031">
            <v>18962.2338481519</v>
          </cell>
          <cell r="H1031">
            <v>15139.416536745801</v>
          </cell>
        </row>
        <row r="1032">
          <cell r="B1032" t="str">
            <v>ELECTRA 11026014</v>
          </cell>
          <cell r="C1032">
            <v>162161102</v>
          </cell>
          <cell r="D1032" t="str">
            <v>ELECTRA 1102</v>
          </cell>
          <cell r="E1032">
            <v>6014</v>
          </cell>
          <cell r="F1032" t="b">
            <v>0</v>
          </cell>
          <cell r="G1032">
            <v>8043.0217833489796</v>
          </cell>
          <cell r="H1032">
            <v>8043.0217833489796</v>
          </cell>
        </row>
        <row r="1033">
          <cell r="B1033" t="str">
            <v>ELECTRA 1102CB</v>
          </cell>
          <cell r="C1033">
            <v>162161102</v>
          </cell>
          <cell r="D1033" t="str">
            <v>ELECTRA 1102</v>
          </cell>
          <cell r="E1033" t="str">
            <v>CB</v>
          </cell>
          <cell r="F1033" t="b">
            <v>0</v>
          </cell>
          <cell r="G1033">
            <v>4270.3268167115802</v>
          </cell>
          <cell r="H1033">
            <v>4270.3268167115802</v>
          </cell>
        </row>
        <row r="1034">
          <cell r="B1034" t="str">
            <v>ELK 11011260</v>
          </cell>
          <cell r="C1034">
            <v>42981101</v>
          </cell>
          <cell r="D1034" t="str">
            <v>ELK 1101</v>
          </cell>
          <cell r="E1034">
            <v>1260</v>
          </cell>
          <cell r="F1034" t="b">
            <v>0</v>
          </cell>
          <cell r="G1034">
            <v>25231.409993382102</v>
          </cell>
          <cell r="H1034">
            <v>25226.838014664201</v>
          </cell>
        </row>
        <row r="1035">
          <cell r="B1035" t="str">
            <v>ELK 11011272</v>
          </cell>
          <cell r="C1035">
            <v>42981101</v>
          </cell>
          <cell r="D1035" t="str">
            <v>ELK 1101</v>
          </cell>
          <cell r="E1035">
            <v>1272</v>
          </cell>
          <cell r="F1035" t="b">
            <v>0</v>
          </cell>
          <cell r="G1035">
            <v>36077.8727575546</v>
          </cell>
          <cell r="H1035">
            <v>35548.516986682604</v>
          </cell>
        </row>
        <row r="1036">
          <cell r="B1036" t="str">
            <v>ELK 11011298</v>
          </cell>
          <cell r="C1036">
            <v>42981101</v>
          </cell>
          <cell r="D1036" t="str">
            <v>ELK 1101</v>
          </cell>
          <cell r="E1036">
            <v>1298</v>
          </cell>
          <cell r="F1036" t="b">
            <v>0</v>
          </cell>
          <cell r="G1036">
            <v>25951.450488931801</v>
          </cell>
          <cell r="H1036">
            <v>19969.5788259535</v>
          </cell>
        </row>
        <row r="1037">
          <cell r="B1037" t="str">
            <v>ELK 11011300</v>
          </cell>
          <cell r="C1037">
            <v>42981101</v>
          </cell>
          <cell r="D1037" t="str">
            <v>ELK 1101</v>
          </cell>
          <cell r="E1037">
            <v>1300</v>
          </cell>
          <cell r="F1037" t="b">
            <v>0</v>
          </cell>
          <cell r="G1037">
            <v>15995.4515815123</v>
          </cell>
          <cell r="H1037">
            <v>5711.2619129888499</v>
          </cell>
        </row>
        <row r="1038">
          <cell r="B1038" t="str">
            <v>ELK 1101311906</v>
          </cell>
          <cell r="C1038">
            <v>42981101</v>
          </cell>
          <cell r="D1038" t="str">
            <v>ELK 1101</v>
          </cell>
          <cell r="E1038">
            <v>311906</v>
          </cell>
          <cell r="F1038" t="b">
            <v>0</v>
          </cell>
          <cell r="G1038">
            <v>1528.1122311007</v>
          </cell>
          <cell r="H1038">
            <v>1112.44585186974</v>
          </cell>
        </row>
        <row r="1039">
          <cell r="B1039" t="str">
            <v>ELK 11014628</v>
          </cell>
          <cell r="C1039">
            <v>42981101</v>
          </cell>
          <cell r="D1039" t="str">
            <v>ELK 1101</v>
          </cell>
          <cell r="E1039">
            <v>4628</v>
          </cell>
          <cell r="F1039" t="b">
            <v>0</v>
          </cell>
          <cell r="G1039">
            <v>6688.9792955706098</v>
          </cell>
          <cell r="H1039">
            <v>3975.7324028155999</v>
          </cell>
        </row>
        <row r="1040">
          <cell r="B1040" t="str">
            <v>ELK 11018779</v>
          </cell>
          <cell r="C1040">
            <v>42981101</v>
          </cell>
          <cell r="D1040" t="str">
            <v>ELK 1101</v>
          </cell>
          <cell r="E1040">
            <v>8779</v>
          </cell>
          <cell r="F1040" t="b">
            <v>0</v>
          </cell>
          <cell r="G1040">
            <v>6865.41285141352</v>
          </cell>
          <cell r="H1040">
            <v>6865.41285141352</v>
          </cell>
        </row>
        <row r="1041">
          <cell r="B1041" t="str">
            <v>ELK 1101900</v>
          </cell>
          <cell r="C1041">
            <v>42981101</v>
          </cell>
          <cell r="D1041" t="str">
            <v>ELK 1101</v>
          </cell>
          <cell r="E1041">
            <v>900</v>
          </cell>
          <cell r="F1041" t="b">
            <v>0</v>
          </cell>
          <cell r="G1041">
            <v>34419.946332883097</v>
          </cell>
          <cell r="H1041">
            <v>14125.547665026699</v>
          </cell>
        </row>
        <row r="1042">
          <cell r="B1042" t="str">
            <v>ELK 110191336</v>
          </cell>
          <cell r="C1042">
            <v>42981101</v>
          </cell>
          <cell r="D1042" t="str">
            <v>ELK 1101</v>
          </cell>
          <cell r="E1042">
            <v>91336</v>
          </cell>
          <cell r="F1042" t="b">
            <v>0</v>
          </cell>
          <cell r="G1042">
            <v>13315.5221639417</v>
          </cell>
          <cell r="H1042">
            <v>12740.7114070679</v>
          </cell>
        </row>
        <row r="1043">
          <cell r="B1043" t="str">
            <v>ELK 1101CB</v>
          </cell>
          <cell r="C1043">
            <v>42981101</v>
          </cell>
          <cell r="D1043" t="str">
            <v>ELK 1101</v>
          </cell>
          <cell r="E1043" t="str">
            <v>CB</v>
          </cell>
          <cell r="F1043" t="b">
            <v>1</v>
          </cell>
          <cell r="G1043">
            <v>39.919788056041199</v>
          </cell>
          <cell r="H1043">
            <v>39.919788056041199</v>
          </cell>
        </row>
        <row r="1044">
          <cell r="B1044" t="str">
            <v>ELK CREEK 11012002</v>
          </cell>
          <cell r="C1044">
            <v>102781101</v>
          </cell>
          <cell r="D1044" t="str">
            <v>ELK CREEK 1101</v>
          </cell>
          <cell r="E1044">
            <v>2002</v>
          </cell>
          <cell r="F1044" t="b">
            <v>0</v>
          </cell>
          <cell r="G1044">
            <v>48391.759318502998</v>
          </cell>
          <cell r="H1044">
            <v>35045.772870807203</v>
          </cell>
        </row>
        <row r="1045">
          <cell r="B1045" t="str">
            <v>ELK CREEK 11012004</v>
          </cell>
          <cell r="C1045">
            <v>102781101</v>
          </cell>
          <cell r="D1045" t="str">
            <v>ELK CREEK 1101</v>
          </cell>
          <cell r="E1045">
            <v>2004</v>
          </cell>
          <cell r="F1045" t="b">
            <v>0</v>
          </cell>
          <cell r="G1045">
            <v>86935.243107710907</v>
          </cell>
          <cell r="H1045">
            <v>40225.0600201337</v>
          </cell>
        </row>
        <row r="1046">
          <cell r="B1046" t="str">
            <v>ELK CREEK 11012008</v>
          </cell>
          <cell r="C1046">
            <v>102781101</v>
          </cell>
          <cell r="D1046" t="str">
            <v>ELK CREEK 1101</v>
          </cell>
          <cell r="E1046">
            <v>2008</v>
          </cell>
          <cell r="F1046" t="b">
            <v>0</v>
          </cell>
          <cell r="G1046">
            <v>29196.2282085406</v>
          </cell>
          <cell r="H1046">
            <v>9225.9589273977799</v>
          </cell>
        </row>
        <row r="1047">
          <cell r="B1047" t="str">
            <v>ELK CREEK 11012032</v>
          </cell>
          <cell r="C1047">
            <v>102781101</v>
          </cell>
          <cell r="D1047" t="str">
            <v>ELK CREEK 1101</v>
          </cell>
          <cell r="E1047">
            <v>2032</v>
          </cell>
          <cell r="F1047" t="b">
            <v>0</v>
          </cell>
          <cell r="G1047">
            <v>15248.671298576301</v>
          </cell>
          <cell r="H1047">
            <v>14097.676047032601</v>
          </cell>
        </row>
        <row r="1048">
          <cell r="B1048" t="str">
            <v>ELK CREEK 11012106</v>
          </cell>
          <cell r="C1048">
            <v>102781101</v>
          </cell>
          <cell r="D1048" t="str">
            <v>ELK CREEK 1101</v>
          </cell>
          <cell r="E1048">
            <v>2106</v>
          </cell>
          <cell r="F1048" t="b">
            <v>0</v>
          </cell>
          <cell r="G1048">
            <v>21303.458147057401</v>
          </cell>
          <cell r="H1048">
            <v>21303.458147057401</v>
          </cell>
        </row>
        <row r="1049">
          <cell r="B1049" t="str">
            <v>ELK CREEK 11012212</v>
          </cell>
          <cell r="C1049">
            <v>102781101</v>
          </cell>
          <cell r="D1049" t="str">
            <v>ELK CREEK 1101</v>
          </cell>
          <cell r="E1049">
            <v>2212</v>
          </cell>
          <cell r="F1049" t="b">
            <v>0</v>
          </cell>
          <cell r="G1049">
            <v>54144.630877806499</v>
          </cell>
          <cell r="H1049">
            <v>25107.519636401601</v>
          </cell>
        </row>
        <row r="1050">
          <cell r="B1050" t="str">
            <v>ELK CREEK 11012228</v>
          </cell>
          <cell r="C1050">
            <v>102781101</v>
          </cell>
          <cell r="D1050" t="str">
            <v>ELK CREEK 1101</v>
          </cell>
          <cell r="E1050">
            <v>2228</v>
          </cell>
          <cell r="F1050" t="b">
            <v>0</v>
          </cell>
          <cell r="G1050">
            <v>16654.618981305299</v>
          </cell>
          <cell r="H1050">
            <v>5410.2105013533301</v>
          </cell>
        </row>
        <row r="1051">
          <cell r="B1051" t="str">
            <v>ELK CREEK 110137334</v>
          </cell>
          <cell r="C1051">
            <v>102781101</v>
          </cell>
          <cell r="D1051" t="str">
            <v>ELK CREEK 1101</v>
          </cell>
          <cell r="E1051">
            <v>37334</v>
          </cell>
          <cell r="F1051" t="b">
            <v>0</v>
          </cell>
          <cell r="G1051">
            <v>15392.984776257101</v>
          </cell>
          <cell r="H1051">
            <v>15392.984776257101</v>
          </cell>
        </row>
        <row r="1052">
          <cell r="B1052" t="str">
            <v>ELK CREEK 110193504</v>
          </cell>
          <cell r="C1052">
            <v>102781101</v>
          </cell>
          <cell r="D1052" t="str">
            <v>ELK CREEK 1101</v>
          </cell>
          <cell r="E1052">
            <v>93504</v>
          </cell>
          <cell r="F1052" t="b">
            <v>0</v>
          </cell>
          <cell r="G1052">
            <v>4036.8011059815099</v>
          </cell>
          <cell r="H1052">
            <v>3461.2366123735001</v>
          </cell>
        </row>
        <row r="1053">
          <cell r="B1053" t="str">
            <v>ELK CREEK 1101CB</v>
          </cell>
          <cell r="C1053">
            <v>102781101</v>
          </cell>
          <cell r="D1053" t="str">
            <v>ELK CREEK 1101</v>
          </cell>
          <cell r="E1053" t="str">
            <v>CB</v>
          </cell>
          <cell r="F1053" t="b">
            <v>1</v>
          </cell>
          <cell r="G1053">
            <v>135.53401795137299</v>
          </cell>
          <cell r="H1053">
            <v>135.53401795137299</v>
          </cell>
        </row>
        <row r="1054">
          <cell r="B1054" t="str">
            <v>EMERALD LAKE 0401CB</v>
          </cell>
          <cell r="C1054">
            <v>24080401</v>
          </cell>
          <cell r="D1054" t="str">
            <v>EMERALD LAKE 0401</v>
          </cell>
          <cell r="E1054" t="str">
            <v>CB</v>
          </cell>
          <cell r="F1054" t="b">
            <v>0</v>
          </cell>
          <cell r="G1054">
            <v>21117.954925624799</v>
          </cell>
          <cell r="H1054">
            <v>15035.2162609222</v>
          </cell>
        </row>
        <row r="1055">
          <cell r="B1055" t="str">
            <v>EMERALD LAKE 04028858</v>
          </cell>
          <cell r="C1055">
            <v>24080402</v>
          </cell>
          <cell r="D1055" t="str">
            <v>EMERALD LAKE 0402</v>
          </cell>
          <cell r="E1055">
            <v>8858</v>
          </cell>
          <cell r="F1055" t="b">
            <v>0</v>
          </cell>
          <cell r="G1055">
            <v>3073.62255187037</v>
          </cell>
          <cell r="H1055">
            <v>3073.62255187037</v>
          </cell>
        </row>
        <row r="1056">
          <cell r="B1056" t="str">
            <v>EMERALD LAKE 04028872</v>
          </cell>
          <cell r="C1056">
            <v>24080402</v>
          </cell>
          <cell r="D1056" t="str">
            <v>EMERALD LAKE 0402</v>
          </cell>
          <cell r="E1056">
            <v>8872</v>
          </cell>
          <cell r="F1056" t="b">
            <v>0</v>
          </cell>
          <cell r="G1056">
            <v>9042.2667352489698</v>
          </cell>
          <cell r="H1056">
            <v>7244.0551728754599</v>
          </cell>
        </row>
        <row r="1057">
          <cell r="B1057" t="str">
            <v>EMERALD LAKE 0402CB</v>
          </cell>
          <cell r="C1057">
            <v>24080402</v>
          </cell>
          <cell r="D1057" t="str">
            <v>EMERALD LAKE 0402</v>
          </cell>
          <cell r="E1057" t="str">
            <v>CB</v>
          </cell>
          <cell r="F1057" t="b">
            <v>0</v>
          </cell>
          <cell r="G1057">
            <v>3052.0290986595901</v>
          </cell>
          <cell r="H1057">
            <v>3052.0290986595901</v>
          </cell>
        </row>
        <row r="1058">
          <cell r="B1058" t="str">
            <v>ESTUDILLO 0401850884</v>
          </cell>
          <cell r="C1058">
            <v>13480401</v>
          </cell>
          <cell r="D1058" t="str">
            <v>ESTUDILLO 0401</v>
          </cell>
          <cell r="E1058">
            <v>850884</v>
          </cell>
          <cell r="F1058" t="b">
            <v>0</v>
          </cell>
          <cell r="G1058">
            <v>2534.3349951100899</v>
          </cell>
          <cell r="H1058">
            <v>1368.17110610396</v>
          </cell>
        </row>
        <row r="1059">
          <cell r="B1059" t="str">
            <v>EUREKA E 110435934</v>
          </cell>
          <cell r="C1059">
            <v>192331104</v>
          </cell>
          <cell r="D1059" t="str">
            <v>EUREKA E 1104</v>
          </cell>
          <cell r="E1059">
            <v>35934</v>
          </cell>
          <cell r="F1059" t="b">
            <v>1</v>
          </cell>
          <cell r="G1059">
            <v>5459.9113471656401</v>
          </cell>
          <cell r="H1059">
            <v>78.410882180623403</v>
          </cell>
        </row>
        <row r="1060">
          <cell r="B1060" t="str">
            <v>FAIRMOUNT 0401395180</v>
          </cell>
          <cell r="C1060">
            <v>12650401</v>
          </cell>
          <cell r="D1060" t="str">
            <v>FAIRMOUNT 0401</v>
          </cell>
          <cell r="E1060">
            <v>395180</v>
          </cell>
          <cell r="F1060" t="b">
            <v>0</v>
          </cell>
          <cell r="G1060">
            <v>2394.7505244763202</v>
          </cell>
          <cell r="H1060">
            <v>2263.8751869493699</v>
          </cell>
        </row>
        <row r="1061">
          <cell r="B1061" t="str">
            <v>FAIRVIEW 220799096</v>
          </cell>
          <cell r="C1061">
            <v>13432207</v>
          </cell>
          <cell r="D1061" t="str">
            <v>FAIRVIEW 2207</v>
          </cell>
          <cell r="E1061">
            <v>99096</v>
          </cell>
          <cell r="F1061" t="b">
            <v>0</v>
          </cell>
          <cell r="G1061">
            <v>15944.1649762652</v>
          </cell>
          <cell r="H1061">
            <v>15895.824396842099</v>
          </cell>
        </row>
        <row r="1062">
          <cell r="B1062" t="str">
            <v>FAIRVIEW 2207CB</v>
          </cell>
          <cell r="C1062">
            <v>13432207</v>
          </cell>
          <cell r="D1062" t="str">
            <v>FAIRVIEW 2207</v>
          </cell>
          <cell r="E1062" t="str">
            <v>CB</v>
          </cell>
          <cell r="F1062" t="b">
            <v>1</v>
          </cell>
          <cell r="G1062">
            <v>8128.5866791325398</v>
          </cell>
          <cell r="H1062">
            <v>387.14963696593401</v>
          </cell>
        </row>
        <row r="1063">
          <cell r="B1063" t="str">
            <v>FAIRVIEW 2207M501R</v>
          </cell>
          <cell r="C1063">
            <v>13432207</v>
          </cell>
          <cell r="D1063" t="str">
            <v>FAIRVIEW 2207</v>
          </cell>
          <cell r="E1063" t="str">
            <v>M501R</v>
          </cell>
          <cell r="F1063" t="b">
            <v>0</v>
          </cell>
          <cell r="G1063">
            <v>7503.1066771993901</v>
          </cell>
          <cell r="H1063">
            <v>4016.4433286999301</v>
          </cell>
        </row>
        <row r="1064">
          <cell r="B1064" t="str">
            <v>FAIRVIEW 2207P142</v>
          </cell>
          <cell r="C1064">
            <v>13432207</v>
          </cell>
          <cell r="D1064" t="str">
            <v>FAIRVIEW 2207</v>
          </cell>
          <cell r="E1064" t="str">
            <v>P142</v>
          </cell>
          <cell r="F1064" t="b">
            <v>0</v>
          </cell>
          <cell r="G1064">
            <v>5002.4344058229399</v>
          </cell>
          <cell r="H1064">
            <v>1963.57037265084</v>
          </cell>
        </row>
        <row r="1065">
          <cell r="B1065" t="str">
            <v>FAIRVIEW 2207P148</v>
          </cell>
          <cell r="C1065">
            <v>13432207</v>
          </cell>
          <cell r="D1065" t="str">
            <v>FAIRVIEW 2207</v>
          </cell>
          <cell r="E1065" t="str">
            <v>P148</v>
          </cell>
          <cell r="F1065" t="b">
            <v>0</v>
          </cell>
          <cell r="G1065">
            <v>7362.5214861936502</v>
          </cell>
          <cell r="H1065">
            <v>1361.9079015248601</v>
          </cell>
        </row>
        <row r="1066">
          <cell r="B1066" t="str">
            <v>FAIRVIEW 2207P150</v>
          </cell>
          <cell r="C1066">
            <v>13432207</v>
          </cell>
          <cell r="D1066" t="str">
            <v>FAIRVIEW 2207</v>
          </cell>
          <cell r="E1066" t="str">
            <v>P150</v>
          </cell>
          <cell r="F1066" t="b">
            <v>0</v>
          </cell>
          <cell r="G1066">
            <v>3652.8381416842199</v>
          </cell>
          <cell r="H1066">
            <v>3652.8381416842199</v>
          </cell>
        </row>
        <row r="1067">
          <cell r="B1067" t="str">
            <v>FAIRVIEW 2207P304</v>
          </cell>
          <cell r="C1067">
            <v>13432207</v>
          </cell>
          <cell r="D1067" t="str">
            <v>FAIRVIEW 2207</v>
          </cell>
          <cell r="E1067" t="str">
            <v>P304</v>
          </cell>
          <cell r="F1067" t="b">
            <v>0</v>
          </cell>
          <cell r="G1067">
            <v>9851.3778695760993</v>
          </cell>
          <cell r="H1067">
            <v>8440.4652080812994</v>
          </cell>
        </row>
        <row r="1068">
          <cell r="B1068" t="str">
            <v>FELTON 0401CB</v>
          </cell>
          <cell r="C1068">
            <v>83140401</v>
          </cell>
          <cell r="D1068" t="str">
            <v>FELTON 0401</v>
          </cell>
          <cell r="E1068" t="str">
            <v>CB</v>
          </cell>
          <cell r="F1068" t="b">
            <v>0</v>
          </cell>
          <cell r="G1068">
            <v>4118.8768375434202</v>
          </cell>
          <cell r="H1068">
            <v>4062.5856913408602</v>
          </cell>
        </row>
        <row r="1069">
          <cell r="B1069" t="str">
            <v>FITCH MOUNTAIN 1111555644</v>
          </cell>
          <cell r="C1069">
            <v>42751111</v>
          </cell>
          <cell r="D1069" t="str">
            <v>FITCH MOUNTAIN 1111</v>
          </cell>
          <cell r="E1069">
            <v>555644</v>
          </cell>
          <cell r="F1069" t="b">
            <v>1</v>
          </cell>
          <cell r="G1069">
            <v>5004.5279849744202</v>
          </cell>
          <cell r="H1069">
            <v>268.67914485357102</v>
          </cell>
        </row>
        <row r="1070">
          <cell r="B1070" t="str">
            <v>FITCH MOUNTAIN 1111752596</v>
          </cell>
          <cell r="C1070">
            <v>42751111</v>
          </cell>
          <cell r="D1070" t="str">
            <v>FITCH MOUNTAIN 1111</v>
          </cell>
          <cell r="E1070">
            <v>752596</v>
          </cell>
          <cell r="F1070" t="b">
            <v>1</v>
          </cell>
          <cell r="G1070">
            <v>1041.1395795902599</v>
          </cell>
          <cell r="H1070">
            <v>395.13337876298499</v>
          </cell>
        </row>
        <row r="1071">
          <cell r="B1071" t="str">
            <v>FITCH MOUNTAIN 1111792628</v>
          </cell>
          <cell r="C1071">
            <v>42751111</v>
          </cell>
          <cell r="D1071" t="str">
            <v>FITCH MOUNTAIN 1111</v>
          </cell>
          <cell r="E1071">
            <v>792628</v>
          </cell>
          <cell r="F1071" t="b">
            <v>1</v>
          </cell>
          <cell r="G1071">
            <v>1482.8090573182801</v>
          </cell>
          <cell r="H1071">
            <v>365.61766645818699</v>
          </cell>
        </row>
        <row r="1072">
          <cell r="B1072" t="str">
            <v>FITCH MOUNTAIN 1113154</v>
          </cell>
          <cell r="C1072">
            <v>42751113</v>
          </cell>
          <cell r="D1072" t="str">
            <v>FITCH MOUNTAIN 1113</v>
          </cell>
          <cell r="E1072">
            <v>154</v>
          </cell>
          <cell r="F1072" t="b">
            <v>1</v>
          </cell>
          <cell r="G1072">
            <v>15159.685683654699</v>
          </cell>
          <cell r="H1072">
            <v>20.5740915133165</v>
          </cell>
        </row>
        <row r="1073">
          <cell r="B1073" t="str">
            <v>FITCH MOUNTAIN 111324550</v>
          </cell>
          <cell r="C1073">
            <v>42751113</v>
          </cell>
          <cell r="D1073" t="str">
            <v>FITCH MOUNTAIN 1113</v>
          </cell>
          <cell r="E1073">
            <v>24550</v>
          </cell>
          <cell r="F1073" t="b">
            <v>0</v>
          </cell>
          <cell r="G1073">
            <v>34688.2787707432</v>
          </cell>
          <cell r="H1073">
            <v>17797.4845685539</v>
          </cell>
        </row>
        <row r="1074">
          <cell r="B1074" t="str">
            <v>FITCH MOUNTAIN 111324918</v>
          </cell>
          <cell r="C1074">
            <v>42751113</v>
          </cell>
          <cell r="D1074" t="str">
            <v>FITCH MOUNTAIN 1113</v>
          </cell>
          <cell r="E1074">
            <v>24918</v>
          </cell>
          <cell r="F1074" t="b">
            <v>0</v>
          </cell>
          <cell r="G1074">
            <v>8843.8556764480709</v>
          </cell>
          <cell r="H1074">
            <v>8843.8556764480709</v>
          </cell>
        </row>
        <row r="1075">
          <cell r="B1075" t="str">
            <v>FITCH MOUNTAIN 1113352</v>
          </cell>
          <cell r="C1075">
            <v>42751113</v>
          </cell>
          <cell r="D1075" t="str">
            <v>FITCH MOUNTAIN 1113</v>
          </cell>
          <cell r="E1075">
            <v>352</v>
          </cell>
          <cell r="F1075" t="b">
            <v>0</v>
          </cell>
          <cell r="G1075">
            <v>19238.601865551798</v>
          </cell>
          <cell r="H1075">
            <v>9086.2434464900598</v>
          </cell>
        </row>
        <row r="1076">
          <cell r="B1076" t="str">
            <v>FITCH MOUNTAIN 1113356</v>
          </cell>
          <cell r="C1076">
            <v>42751113</v>
          </cell>
          <cell r="D1076" t="str">
            <v>FITCH MOUNTAIN 1113</v>
          </cell>
          <cell r="E1076">
            <v>356</v>
          </cell>
          <cell r="F1076" t="b">
            <v>0</v>
          </cell>
          <cell r="G1076">
            <v>24352.0151886559</v>
          </cell>
          <cell r="H1076">
            <v>17245.148536989102</v>
          </cell>
        </row>
        <row r="1077">
          <cell r="B1077" t="str">
            <v>FITCH MOUNTAIN 1113443164</v>
          </cell>
          <cell r="C1077">
            <v>42751113</v>
          </cell>
          <cell r="D1077" t="str">
            <v>FITCH MOUNTAIN 1113</v>
          </cell>
          <cell r="E1077">
            <v>443164</v>
          </cell>
          <cell r="F1077" t="b">
            <v>0</v>
          </cell>
          <cell r="G1077">
            <v>15151.447535641</v>
          </cell>
          <cell r="H1077">
            <v>4499.58717413877</v>
          </cell>
        </row>
        <row r="1078">
          <cell r="B1078" t="str">
            <v>FITCH MOUNTAIN 11134566</v>
          </cell>
          <cell r="C1078">
            <v>42751113</v>
          </cell>
          <cell r="D1078" t="str">
            <v>FITCH MOUNTAIN 1113</v>
          </cell>
          <cell r="E1078">
            <v>4566</v>
          </cell>
          <cell r="F1078" t="b">
            <v>0</v>
          </cell>
          <cell r="G1078">
            <v>28160.2777887956</v>
          </cell>
          <cell r="H1078">
            <v>20128.086350319401</v>
          </cell>
        </row>
        <row r="1079">
          <cell r="B1079" t="str">
            <v>FITCH MOUNTAIN 1113583202</v>
          </cell>
          <cell r="C1079">
            <v>42751113</v>
          </cell>
          <cell r="D1079" t="str">
            <v>FITCH MOUNTAIN 1113</v>
          </cell>
          <cell r="E1079">
            <v>583202</v>
          </cell>
          <cell r="F1079" t="b">
            <v>0</v>
          </cell>
          <cell r="G1079">
            <v>15783.847232841399</v>
          </cell>
          <cell r="H1079">
            <v>7874.8461346968497</v>
          </cell>
        </row>
        <row r="1080">
          <cell r="B1080" t="str">
            <v>FITCH MOUNTAIN 11136751</v>
          </cell>
          <cell r="C1080">
            <v>42751113</v>
          </cell>
          <cell r="D1080" t="str">
            <v>FITCH MOUNTAIN 1113</v>
          </cell>
          <cell r="E1080">
            <v>6751</v>
          </cell>
          <cell r="F1080" t="b">
            <v>0</v>
          </cell>
          <cell r="G1080">
            <v>36483.920229629497</v>
          </cell>
          <cell r="H1080">
            <v>36483.920229629497</v>
          </cell>
        </row>
        <row r="1081">
          <cell r="B1081" t="str">
            <v>FITCH MOUNTAIN 1113775992</v>
          </cell>
          <cell r="C1081">
            <v>42751113</v>
          </cell>
          <cell r="D1081" t="str">
            <v>FITCH MOUNTAIN 1113</v>
          </cell>
          <cell r="E1081">
            <v>775992</v>
          </cell>
          <cell r="F1081" t="b">
            <v>0</v>
          </cell>
          <cell r="G1081">
            <v>5059.1290597962197</v>
          </cell>
          <cell r="H1081">
            <v>3381.5311127763898</v>
          </cell>
        </row>
        <row r="1082">
          <cell r="B1082" t="str">
            <v>FLINT 110140666</v>
          </cell>
          <cell r="C1082">
            <v>152531101</v>
          </cell>
          <cell r="D1082" t="str">
            <v>FLINT 1101</v>
          </cell>
          <cell r="E1082">
            <v>40666</v>
          </cell>
          <cell r="F1082" t="b">
            <v>1</v>
          </cell>
          <cell r="G1082">
            <v>2641.9290264961501</v>
          </cell>
          <cell r="H1082">
            <v>575.17343628176695</v>
          </cell>
        </row>
        <row r="1083">
          <cell r="B1083" t="str">
            <v>FLINT 1101750</v>
          </cell>
          <cell r="C1083">
            <v>152531101</v>
          </cell>
          <cell r="D1083" t="str">
            <v>FLINT 1101</v>
          </cell>
          <cell r="E1083">
            <v>750</v>
          </cell>
          <cell r="F1083" t="b">
            <v>0</v>
          </cell>
          <cell r="G1083">
            <v>14900.5271782891</v>
          </cell>
          <cell r="H1083">
            <v>7342.9024901304301</v>
          </cell>
        </row>
        <row r="1084">
          <cell r="B1084" t="str">
            <v>FLINT 1101958726</v>
          </cell>
          <cell r="C1084">
            <v>152531101</v>
          </cell>
          <cell r="D1084" t="str">
            <v>FLINT 1101</v>
          </cell>
          <cell r="E1084">
            <v>958726</v>
          </cell>
          <cell r="F1084" t="b">
            <v>0</v>
          </cell>
          <cell r="G1084">
            <v>1647.4395228426899</v>
          </cell>
          <cell r="H1084">
            <v>1605.46531601877</v>
          </cell>
        </row>
        <row r="1085">
          <cell r="B1085" t="str">
            <v>FLINT 1101CB</v>
          </cell>
          <cell r="C1085">
            <v>152531101</v>
          </cell>
          <cell r="D1085" t="str">
            <v>FLINT 1101</v>
          </cell>
          <cell r="E1085" t="str">
            <v>CB</v>
          </cell>
          <cell r="F1085" t="b">
            <v>0</v>
          </cell>
          <cell r="G1085">
            <v>4176.91510662162</v>
          </cell>
          <cell r="H1085">
            <v>1037.2766311187499</v>
          </cell>
        </row>
        <row r="1086">
          <cell r="B1086" t="str">
            <v>FLINT 1102CB</v>
          </cell>
          <cell r="C1086">
            <v>152531102</v>
          </cell>
          <cell r="D1086" t="str">
            <v>FLINT 1102</v>
          </cell>
          <cell r="E1086" t="str">
            <v>CB</v>
          </cell>
          <cell r="F1086" t="b">
            <v>1</v>
          </cell>
          <cell r="G1086">
            <v>149.41783197025799</v>
          </cell>
          <cell r="H1086">
            <v>149.41783197025799</v>
          </cell>
        </row>
        <row r="1087">
          <cell r="B1087" t="str">
            <v>FLORENCE 0401CB</v>
          </cell>
          <cell r="C1087">
            <v>12690401</v>
          </cell>
          <cell r="D1087" t="str">
            <v>FLORENCE 0401</v>
          </cell>
          <cell r="E1087" t="str">
            <v>CB</v>
          </cell>
          <cell r="F1087" t="b">
            <v>0</v>
          </cell>
          <cell r="G1087">
            <v>4654.0754930293297</v>
          </cell>
          <cell r="H1087">
            <v>1041.2536866278399</v>
          </cell>
        </row>
        <row r="1088">
          <cell r="B1088" t="str">
            <v>FLORENCE 0401CR220</v>
          </cell>
          <cell r="C1088">
            <v>12690401</v>
          </cell>
          <cell r="D1088" t="str">
            <v>FLORENCE 0401</v>
          </cell>
          <cell r="E1088" t="str">
            <v>CR220</v>
          </cell>
          <cell r="F1088" t="b">
            <v>1</v>
          </cell>
          <cell r="G1088">
            <v>2216.0779498165498</v>
          </cell>
          <cell r="H1088">
            <v>325.39920219195102</v>
          </cell>
        </row>
        <row r="1089">
          <cell r="B1089" t="str">
            <v>FOOTHILL 1101251688</v>
          </cell>
          <cell r="C1089">
            <v>182951101</v>
          </cell>
          <cell r="D1089" t="str">
            <v>FOOTHILL 1101</v>
          </cell>
          <cell r="E1089">
            <v>251688</v>
          </cell>
          <cell r="F1089" t="b">
            <v>0</v>
          </cell>
          <cell r="G1089">
            <v>12475.4445231101</v>
          </cell>
          <cell r="H1089">
            <v>11233.710142788401</v>
          </cell>
        </row>
        <row r="1090">
          <cell r="B1090" t="str">
            <v>FOOTHILL 1101386844</v>
          </cell>
          <cell r="C1090">
            <v>182951101</v>
          </cell>
          <cell r="D1090" t="str">
            <v>FOOTHILL 1101</v>
          </cell>
          <cell r="E1090">
            <v>386844</v>
          </cell>
          <cell r="F1090" t="b">
            <v>1</v>
          </cell>
          <cell r="G1090">
            <v>2561.2261896886498</v>
          </cell>
          <cell r="H1090">
            <v>615.60192797065304</v>
          </cell>
        </row>
        <row r="1091">
          <cell r="B1091" t="str">
            <v>FOOTHILL 1101549904</v>
          </cell>
          <cell r="C1091">
            <v>182951101</v>
          </cell>
          <cell r="D1091" t="str">
            <v>FOOTHILL 1101</v>
          </cell>
          <cell r="E1091">
            <v>549904</v>
          </cell>
          <cell r="F1091" t="b">
            <v>1</v>
          </cell>
          <cell r="G1091">
            <v>8119.1518723900199</v>
          </cell>
          <cell r="H1091">
            <v>250.443387946396</v>
          </cell>
        </row>
        <row r="1092">
          <cell r="B1092" t="str">
            <v>FOOTHILL 1101645910</v>
          </cell>
          <cell r="C1092">
            <v>182951101</v>
          </cell>
          <cell r="D1092" t="str">
            <v>FOOTHILL 1101</v>
          </cell>
          <cell r="E1092">
            <v>645910</v>
          </cell>
          <cell r="F1092" t="b">
            <v>1</v>
          </cell>
          <cell r="G1092">
            <v>3990.9244342673801</v>
          </cell>
          <cell r="H1092">
            <v>774.62770488262902</v>
          </cell>
        </row>
        <row r="1093">
          <cell r="B1093" t="str">
            <v>FOOTHILL 1101722270</v>
          </cell>
          <cell r="C1093">
            <v>182951101</v>
          </cell>
          <cell r="D1093" t="str">
            <v>FOOTHILL 1101</v>
          </cell>
          <cell r="E1093">
            <v>722270</v>
          </cell>
          <cell r="F1093" t="b">
            <v>1</v>
          </cell>
          <cell r="G1093">
            <v>712.80562960876898</v>
          </cell>
          <cell r="H1093">
            <v>283.55736446676298</v>
          </cell>
        </row>
        <row r="1094">
          <cell r="B1094" t="str">
            <v>FOOTHILL 1101798137</v>
          </cell>
          <cell r="C1094">
            <v>182951101</v>
          </cell>
          <cell r="D1094" t="str">
            <v>FOOTHILL 1101</v>
          </cell>
          <cell r="E1094">
            <v>798137</v>
          </cell>
          <cell r="F1094" t="b">
            <v>1</v>
          </cell>
          <cell r="G1094">
            <v>581.82283638822605</v>
          </cell>
          <cell r="H1094">
            <v>68.014926949327602</v>
          </cell>
        </row>
        <row r="1095">
          <cell r="B1095" t="str">
            <v>FOOTHILL 1101CB</v>
          </cell>
          <cell r="C1095">
            <v>182951101</v>
          </cell>
          <cell r="D1095" t="str">
            <v>FOOTHILL 1101</v>
          </cell>
          <cell r="E1095" t="str">
            <v>CB</v>
          </cell>
          <cell r="F1095" t="b">
            <v>0</v>
          </cell>
          <cell r="G1095">
            <v>35256.717382639901</v>
          </cell>
          <cell r="H1095">
            <v>21554.471264808501</v>
          </cell>
        </row>
        <row r="1096">
          <cell r="B1096" t="str">
            <v>FOOTHILL 110299432</v>
          </cell>
          <cell r="C1096">
            <v>182951102</v>
          </cell>
          <cell r="D1096" t="str">
            <v>FOOTHILL 1102</v>
          </cell>
          <cell r="E1096">
            <v>99432</v>
          </cell>
          <cell r="F1096" t="b">
            <v>0</v>
          </cell>
          <cell r="G1096">
            <v>13966.7809766968</v>
          </cell>
          <cell r="H1096">
            <v>2359.0159090785801</v>
          </cell>
        </row>
        <row r="1097">
          <cell r="B1097" t="str">
            <v>FOOTHILL 1102CB</v>
          </cell>
          <cell r="C1097">
            <v>182951102</v>
          </cell>
          <cell r="D1097" t="str">
            <v>FOOTHILL 1102</v>
          </cell>
          <cell r="E1097" t="str">
            <v>CB</v>
          </cell>
          <cell r="F1097" t="b">
            <v>0</v>
          </cell>
          <cell r="G1097">
            <v>15763.111397566699</v>
          </cell>
          <cell r="H1097">
            <v>12699.3510232959</v>
          </cell>
        </row>
        <row r="1098">
          <cell r="B1098" t="str">
            <v>FOOTHILL 1102V06</v>
          </cell>
          <cell r="C1098">
            <v>182951102</v>
          </cell>
          <cell r="D1098" t="str">
            <v>FOOTHILL 1102</v>
          </cell>
          <cell r="E1098" t="str">
            <v>V06</v>
          </cell>
          <cell r="F1098" t="b">
            <v>0</v>
          </cell>
          <cell r="G1098">
            <v>10508.937616950599</v>
          </cell>
          <cell r="H1098">
            <v>3602.7995406027899</v>
          </cell>
        </row>
        <row r="1099">
          <cell r="B1099" t="str">
            <v>FORESTHILL 11011802</v>
          </cell>
          <cell r="C1099">
            <v>152181101</v>
          </cell>
          <cell r="D1099" t="str">
            <v>FORESTHILL 1101</v>
          </cell>
          <cell r="E1099">
            <v>1802</v>
          </cell>
          <cell r="F1099" t="b">
            <v>0</v>
          </cell>
          <cell r="G1099">
            <v>35771.022931005202</v>
          </cell>
          <cell r="H1099">
            <v>35771.022931005202</v>
          </cell>
        </row>
        <row r="1100">
          <cell r="B1100" t="str">
            <v>FORESTHILL 11011820</v>
          </cell>
          <cell r="C1100">
            <v>152181101</v>
          </cell>
          <cell r="D1100" t="str">
            <v>FORESTHILL 1101</v>
          </cell>
          <cell r="E1100">
            <v>1820</v>
          </cell>
          <cell r="F1100" t="b">
            <v>0</v>
          </cell>
          <cell r="G1100">
            <v>9227.6621796480995</v>
          </cell>
          <cell r="H1100">
            <v>9227.6621796480995</v>
          </cell>
        </row>
        <row r="1101">
          <cell r="B1101" t="str">
            <v>FORESTHILL 110137238</v>
          </cell>
          <cell r="C1101">
            <v>152181101</v>
          </cell>
          <cell r="D1101" t="str">
            <v>FORESTHILL 1101</v>
          </cell>
          <cell r="E1101">
            <v>37238</v>
          </cell>
          <cell r="F1101" t="b">
            <v>0</v>
          </cell>
          <cell r="G1101">
            <v>18384.281288983399</v>
          </cell>
          <cell r="H1101">
            <v>18384.281288983399</v>
          </cell>
        </row>
        <row r="1102">
          <cell r="B1102" t="str">
            <v>FORESTHILL 110150486</v>
          </cell>
          <cell r="C1102">
            <v>152181101</v>
          </cell>
          <cell r="D1102" t="str">
            <v>FORESTHILL 1101</v>
          </cell>
          <cell r="E1102">
            <v>50486</v>
          </cell>
          <cell r="F1102" t="b">
            <v>0</v>
          </cell>
          <cell r="G1102">
            <v>18786.574973068498</v>
          </cell>
          <cell r="H1102">
            <v>18786.574973068498</v>
          </cell>
        </row>
        <row r="1103">
          <cell r="B1103" t="str">
            <v>FORESTHILL 110175340</v>
          </cell>
          <cell r="C1103">
            <v>152181101</v>
          </cell>
          <cell r="D1103" t="str">
            <v>FORESTHILL 1101</v>
          </cell>
          <cell r="E1103">
            <v>75340</v>
          </cell>
          <cell r="F1103" t="b">
            <v>0</v>
          </cell>
          <cell r="G1103">
            <v>7696.0179108012399</v>
          </cell>
          <cell r="H1103">
            <v>7696.0179108012399</v>
          </cell>
        </row>
        <row r="1104">
          <cell r="B1104" t="str">
            <v>FORESTHILL 1101CB</v>
          </cell>
          <cell r="C1104">
            <v>152181101</v>
          </cell>
          <cell r="D1104" t="str">
            <v>FORESTHILL 1101</v>
          </cell>
          <cell r="E1104" t="str">
            <v>CB</v>
          </cell>
          <cell r="F1104" t="b">
            <v>0</v>
          </cell>
          <cell r="G1104">
            <v>14659.752168425999</v>
          </cell>
          <cell r="H1104">
            <v>14659.752168425999</v>
          </cell>
        </row>
        <row r="1105">
          <cell r="B1105" t="str">
            <v>FORESTHILL 11022106</v>
          </cell>
          <cell r="C1105">
            <v>152181102</v>
          </cell>
          <cell r="D1105" t="str">
            <v>FORESTHILL 1102</v>
          </cell>
          <cell r="E1105">
            <v>2106</v>
          </cell>
          <cell r="F1105" t="b">
            <v>0</v>
          </cell>
          <cell r="G1105">
            <v>44861.554298871102</v>
          </cell>
          <cell r="H1105">
            <v>44861.554298871102</v>
          </cell>
        </row>
        <row r="1106">
          <cell r="B1106" t="str">
            <v>FORESTHILL 1102CB</v>
          </cell>
          <cell r="C1106">
            <v>152181102</v>
          </cell>
          <cell r="D1106" t="str">
            <v>FORESTHILL 1102</v>
          </cell>
          <cell r="E1106" t="str">
            <v>CB</v>
          </cell>
          <cell r="F1106" t="b">
            <v>0</v>
          </cell>
          <cell r="G1106">
            <v>2646.4634093219602</v>
          </cell>
          <cell r="H1106">
            <v>2646.4634093219602</v>
          </cell>
        </row>
        <row r="1107">
          <cell r="B1107" t="str">
            <v>FORT BRAGG A 11013100</v>
          </cell>
          <cell r="C1107">
            <v>42761101</v>
          </cell>
          <cell r="D1107" t="str">
            <v>FORT BRAGG A 1101</v>
          </cell>
          <cell r="E1107">
            <v>3100</v>
          </cell>
          <cell r="F1107" t="b">
            <v>0</v>
          </cell>
          <cell r="G1107">
            <v>23694.172671643799</v>
          </cell>
          <cell r="H1107">
            <v>19636.327202124299</v>
          </cell>
        </row>
        <row r="1108">
          <cell r="B1108" t="str">
            <v>FORT BRAGG A 11013113</v>
          </cell>
          <cell r="C1108">
            <v>42761101</v>
          </cell>
          <cell r="D1108" t="str">
            <v>FORT BRAGG A 1101</v>
          </cell>
          <cell r="E1108">
            <v>3113</v>
          </cell>
          <cell r="F1108" t="b">
            <v>0</v>
          </cell>
          <cell r="G1108">
            <v>16133.3329761117</v>
          </cell>
          <cell r="H1108">
            <v>16133.3329761117</v>
          </cell>
        </row>
        <row r="1109">
          <cell r="B1109" t="str">
            <v>FORT BRAGG A 11014622</v>
          </cell>
          <cell r="C1109">
            <v>42761101</v>
          </cell>
          <cell r="D1109" t="str">
            <v>FORT BRAGG A 1101</v>
          </cell>
          <cell r="E1109">
            <v>4622</v>
          </cell>
          <cell r="F1109" t="b">
            <v>0</v>
          </cell>
          <cell r="G1109">
            <v>21650.664821123199</v>
          </cell>
          <cell r="H1109">
            <v>21650.664821123199</v>
          </cell>
        </row>
        <row r="1110">
          <cell r="B1110" t="str">
            <v>FORT BRAGG A 11014698</v>
          </cell>
          <cell r="C1110">
            <v>42761101</v>
          </cell>
          <cell r="D1110" t="str">
            <v>FORT BRAGG A 1101</v>
          </cell>
          <cell r="E1110">
            <v>4698</v>
          </cell>
          <cell r="F1110" t="b">
            <v>0</v>
          </cell>
          <cell r="G1110">
            <v>12883.0061528894</v>
          </cell>
          <cell r="H1110">
            <v>12883.0061528894</v>
          </cell>
        </row>
        <row r="1111">
          <cell r="B1111" t="str">
            <v>FORT BRAGG A 110195294</v>
          </cell>
          <cell r="C1111">
            <v>42761101</v>
          </cell>
          <cell r="D1111" t="str">
            <v>FORT BRAGG A 1101</v>
          </cell>
          <cell r="E1111">
            <v>95294</v>
          </cell>
          <cell r="F1111" t="b">
            <v>0</v>
          </cell>
          <cell r="G1111">
            <v>43494.719356383401</v>
          </cell>
          <cell r="H1111">
            <v>43494.719356383401</v>
          </cell>
        </row>
        <row r="1112">
          <cell r="B1112" t="str">
            <v>FORT BRAGG A 11021226</v>
          </cell>
          <cell r="C1112">
            <v>42761102</v>
          </cell>
          <cell r="D1112" t="str">
            <v>FORT BRAGG A 1102</v>
          </cell>
          <cell r="E1112">
            <v>1226</v>
          </cell>
          <cell r="F1112" t="b">
            <v>0</v>
          </cell>
          <cell r="G1112">
            <v>12686.937088763299</v>
          </cell>
          <cell r="H1112">
            <v>2717.74242764665</v>
          </cell>
        </row>
        <row r="1113">
          <cell r="B1113" t="str">
            <v>FORT BRAGG A 110231304</v>
          </cell>
          <cell r="C1113">
            <v>42761102</v>
          </cell>
          <cell r="D1113" t="str">
            <v>FORT BRAGG A 1102</v>
          </cell>
          <cell r="E1113">
            <v>31304</v>
          </cell>
          <cell r="F1113" t="b">
            <v>0</v>
          </cell>
          <cell r="G1113">
            <v>34880.316182849601</v>
          </cell>
          <cell r="H1113">
            <v>34880.316182849601</v>
          </cell>
        </row>
        <row r="1114">
          <cell r="B1114" t="str">
            <v>FORT BRAGG A 110233064</v>
          </cell>
          <cell r="C1114">
            <v>42761102</v>
          </cell>
          <cell r="D1114" t="str">
            <v>FORT BRAGG A 1102</v>
          </cell>
          <cell r="E1114">
            <v>33064</v>
          </cell>
          <cell r="F1114" t="b">
            <v>1</v>
          </cell>
          <cell r="G1114">
            <v>5902.0297419758499</v>
          </cell>
          <cell r="H1114">
            <v>0</v>
          </cell>
        </row>
        <row r="1115">
          <cell r="B1115" t="str">
            <v>FORT BRAGG A 110235592</v>
          </cell>
          <cell r="C1115">
            <v>42761102</v>
          </cell>
          <cell r="D1115" t="str">
            <v>FORT BRAGG A 1102</v>
          </cell>
          <cell r="E1115">
            <v>35592</v>
          </cell>
          <cell r="F1115" t="b">
            <v>0</v>
          </cell>
          <cell r="G1115">
            <v>21129.6387640963</v>
          </cell>
          <cell r="H1115">
            <v>21129.6387640963</v>
          </cell>
        </row>
        <row r="1116">
          <cell r="B1116" t="str">
            <v>FORT BRAGG A 1102418</v>
          </cell>
          <cell r="C1116">
            <v>42761102</v>
          </cell>
          <cell r="D1116" t="str">
            <v>FORT BRAGG A 1102</v>
          </cell>
          <cell r="E1116">
            <v>418</v>
          </cell>
          <cell r="F1116" t="b">
            <v>0</v>
          </cell>
          <cell r="G1116">
            <v>22746.330241068699</v>
          </cell>
          <cell r="H1116">
            <v>22539.294477894699</v>
          </cell>
        </row>
        <row r="1117">
          <cell r="B1117" t="str">
            <v>FORT BRAGG A 1102816</v>
          </cell>
          <cell r="C1117">
            <v>42761102</v>
          </cell>
          <cell r="D1117" t="str">
            <v>FORT BRAGG A 1102</v>
          </cell>
          <cell r="E1117">
            <v>816</v>
          </cell>
          <cell r="F1117" t="b">
            <v>0</v>
          </cell>
          <cell r="G1117">
            <v>4123.7572302511699</v>
          </cell>
          <cell r="H1117">
            <v>3941.7419416140101</v>
          </cell>
        </row>
        <row r="1118">
          <cell r="B1118" t="str">
            <v>FORT BRAGG A 1102956</v>
          </cell>
          <cell r="C1118">
            <v>42761102</v>
          </cell>
          <cell r="D1118" t="str">
            <v>FORT BRAGG A 1102</v>
          </cell>
          <cell r="E1118">
            <v>956</v>
          </cell>
          <cell r="F1118" t="b">
            <v>0</v>
          </cell>
          <cell r="G1118">
            <v>19682.088271915301</v>
          </cell>
          <cell r="H1118">
            <v>18278.726736359498</v>
          </cell>
        </row>
        <row r="1119">
          <cell r="B1119" t="str">
            <v>FORT BRAGG A 1102CB</v>
          </cell>
          <cell r="C1119">
            <v>42761102</v>
          </cell>
          <cell r="D1119" t="str">
            <v>FORT BRAGG A 1102</v>
          </cell>
          <cell r="E1119" t="str">
            <v>CB</v>
          </cell>
          <cell r="F1119" t="b">
            <v>0</v>
          </cell>
          <cell r="G1119">
            <v>9310.1864742693906</v>
          </cell>
          <cell r="H1119">
            <v>3594.4278887854698</v>
          </cell>
        </row>
        <row r="1120">
          <cell r="B1120" t="str">
            <v>FORT BRAGG A 1103284356</v>
          </cell>
          <cell r="C1120">
            <v>42761103</v>
          </cell>
          <cell r="D1120" t="str">
            <v>FORT BRAGG A 1103</v>
          </cell>
          <cell r="E1120">
            <v>284356</v>
          </cell>
          <cell r="F1120" t="b">
            <v>1</v>
          </cell>
          <cell r="G1120">
            <v>325.87745488176603</v>
          </cell>
          <cell r="H1120">
            <v>218.126972985072</v>
          </cell>
        </row>
        <row r="1121">
          <cell r="B1121" t="str">
            <v>FORT BRAGG A 1103CB</v>
          </cell>
          <cell r="C1121">
            <v>42761103</v>
          </cell>
          <cell r="D1121" t="str">
            <v>FORT BRAGG A 1103</v>
          </cell>
          <cell r="E1121" t="str">
            <v>CB</v>
          </cell>
          <cell r="F1121" t="b">
            <v>1</v>
          </cell>
          <cell r="G1121">
            <v>3993.2278078291001</v>
          </cell>
          <cell r="H1121">
            <v>151.46931018347499</v>
          </cell>
        </row>
        <row r="1122">
          <cell r="B1122" t="str">
            <v>FORT BRAGG A 11041316</v>
          </cell>
          <cell r="C1122">
            <v>42761104</v>
          </cell>
          <cell r="D1122" t="str">
            <v>FORT BRAGG A 1104</v>
          </cell>
          <cell r="E1122">
            <v>1316</v>
          </cell>
          <cell r="F1122" t="b">
            <v>0</v>
          </cell>
          <cell r="G1122">
            <v>22645.668453864</v>
          </cell>
          <cell r="H1122">
            <v>22101.068796394102</v>
          </cell>
        </row>
        <row r="1123">
          <cell r="B1123" t="str">
            <v>FORT BRAGG A 110436526</v>
          </cell>
          <cell r="C1123">
            <v>42761104</v>
          </cell>
          <cell r="D1123" t="str">
            <v>FORT BRAGG A 1104</v>
          </cell>
          <cell r="E1123">
            <v>36526</v>
          </cell>
          <cell r="F1123" t="b">
            <v>1</v>
          </cell>
          <cell r="G1123">
            <v>10589.235749879899</v>
          </cell>
          <cell r="H1123">
            <v>72.264479420827101</v>
          </cell>
        </row>
        <row r="1124">
          <cell r="B1124" t="str">
            <v>FORT BRAGG A 11044690</v>
          </cell>
          <cell r="C1124">
            <v>42761104</v>
          </cell>
          <cell r="D1124" t="str">
            <v>FORT BRAGG A 1104</v>
          </cell>
          <cell r="E1124">
            <v>4690</v>
          </cell>
          <cell r="F1124" t="b">
            <v>0</v>
          </cell>
          <cell r="G1124">
            <v>23028.367099520699</v>
          </cell>
          <cell r="H1124">
            <v>18710.8642904966</v>
          </cell>
        </row>
        <row r="1125">
          <cell r="B1125" t="str">
            <v>FORT BRAGG A 110465894</v>
          </cell>
          <cell r="C1125">
            <v>42761104</v>
          </cell>
          <cell r="D1125" t="str">
            <v>FORT BRAGG A 1104</v>
          </cell>
          <cell r="E1125">
            <v>65894</v>
          </cell>
          <cell r="F1125" t="b">
            <v>1</v>
          </cell>
          <cell r="G1125">
            <v>1441.63909393533</v>
          </cell>
          <cell r="H1125">
            <v>0</v>
          </cell>
        </row>
        <row r="1126">
          <cell r="B1126" t="str">
            <v>FORT BRAGG A 1104920850</v>
          </cell>
          <cell r="C1126">
            <v>42761104</v>
          </cell>
          <cell r="D1126" t="str">
            <v>FORT BRAGG A 1104</v>
          </cell>
          <cell r="E1126">
            <v>920850</v>
          </cell>
          <cell r="F1126" t="b">
            <v>1</v>
          </cell>
          <cell r="G1126">
            <v>514.64250845601202</v>
          </cell>
          <cell r="H1126">
            <v>322.19944605384399</v>
          </cell>
        </row>
        <row r="1127">
          <cell r="B1127" t="str">
            <v>FORT BRAGG A 1104CB</v>
          </cell>
          <cell r="C1127">
            <v>42761104</v>
          </cell>
          <cell r="D1127" t="str">
            <v>FORT BRAGG A 1104</v>
          </cell>
          <cell r="E1127" t="str">
            <v>CB</v>
          </cell>
          <cell r="F1127" t="b">
            <v>1</v>
          </cell>
          <cell r="G1127">
            <v>4613.0306235068201</v>
          </cell>
          <cell r="H1127">
            <v>118.744337025137</v>
          </cell>
        </row>
        <row r="1128">
          <cell r="B1128" t="str">
            <v>FORT ORD 210637286</v>
          </cell>
          <cell r="C1128">
            <v>182402106</v>
          </cell>
          <cell r="D1128" t="str">
            <v>FORT ORD 2106</v>
          </cell>
          <cell r="E1128">
            <v>37286</v>
          </cell>
          <cell r="F1128" t="b">
            <v>0</v>
          </cell>
          <cell r="G1128">
            <v>5924.4604872132804</v>
          </cell>
          <cell r="H1128">
            <v>4150.8287037582804</v>
          </cell>
        </row>
        <row r="1129">
          <cell r="B1129" t="str">
            <v>FORT ORD 21069656</v>
          </cell>
          <cell r="C1129">
            <v>182402106</v>
          </cell>
          <cell r="D1129" t="str">
            <v>FORT ORD 2106</v>
          </cell>
          <cell r="E1129">
            <v>9656</v>
          </cell>
          <cell r="F1129" t="b">
            <v>1</v>
          </cell>
          <cell r="G1129">
            <v>188.98829727100701</v>
          </cell>
          <cell r="H1129">
            <v>188.98829727100701</v>
          </cell>
        </row>
        <row r="1130">
          <cell r="B1130" t="str">
            <v>FORT ORD 21069658</v>
          </cell>
          <cell r="C1130">
            <v>182402106</v>
          </cell>
          <cell r="D1130" t="str">
            <v>FORT ORD 2106</v>
          </cell>
          <cell r="E1130">
            <v>9658</v>
          </cell>
          <cell r="F1130" t="b">
            <v>1</v>
          </cell>
          <cell r="G1130">
            <v>156.01246532479999</v>
          </cell>
          <cell r="H1130">
            <v>156.01246532479999</v>
          </cell>
        </row>
        <row r="1131">
          <cell r="B1131" t="str">
            <v>FORT ORD 210736596</v>
          </cell>
          <cell r="C1131">
            <v>182402107</v>
          </cell>
          <cell r="D1131" t="str">
            <v>FORT ORD 2107</v>
          </cell>
          <cell r="E1131">
            <v>36596</v>
          </cell>
          <cell r="F1131" t="b">
            <v>0</v>
          </cell>
          <cell r="G1131">
            <v>20043.761925103801</v>
          </cell>
          <cell r="H1131">
            <v>6572.3951000747702</v>
          </cell>
        </row>
        <row r="1132">
          <cell r="B1132" t="str">
            <v>FORT ROSS 1121124</v>
          </cell>
          <cell r="C1132">
            <v>42851121</v>
          </cell>
          <cell r="D1132" t="str">
            <v>FORT ROSS 1121</v>
          </cell>
          <cell r="E1132">
            <v>124</v>
          </cell>
          <cell r="F1132" t="b">
            <v>0</v>
          </cell>
          <cell r="G1132">
            <v>29762.438438341898</v>
          </cell>
          <cell r="H1132">
            <v>29762.438438341898</v>
          </cell>
        </row>
        <row r="1133">
          <cell r="B1133" t="str">
            <v>FORT ROSS 1121134</v>
          </cell>
          <cell r="C1133">
            <v>42851121</v>
          </cell>
          <cell r="D1133" t="str">
            <v>FORT ROSS 1121</v>
          </cell>
          <cell r="E1133">
            <v>134</v>
          </cell>
          <cell r="F1133" t="b">
            <v>0</v>
          </cell>
          <cell r="G1133">
            <v>13416.4815688294</v>
          </cell>
          <cell r="H1133">
            <v>13272.540894527699</v>
          </cell>
        </row>
        <row r="1134">
          <cell r="B1134" t="str">
            <v>FORT ROSS 1121204</v>
          </cell>
          <cell r="C1134">
            <v>42851121</v>
          </cell>
          <cell r="D1134" t="str">
            <v>FORT ROSS 1121</v>
          </cell>
          <cell r="E1134">
            <v>204</v>
          </cell>
          <cell r="F1134" t="b">
            <v>0</v>
          </cell>
          <cell r="G1134">
            <v>31553.8481901427</v>
          </cell>
          <cell r="H1134">
            <v>31553.8481901427</v>
          </cell>
        </row>
        <row r="1135">
          <cell r="B1135" t="str">
            <v>FORT ROSS 11212987</v>
          </cell>
          <cell r="C1135">
            <v>42851121</v>
          </cell>
          <cell r="D1135" t="str">
            <v>FORT ROSS 1121</v>
          </cell>
          <cell r="E1135">
            <v>2987</v>
          </cell>
          <cell r="F1135" t="b">
            <v>0</v>
          </cell>
          <cell r="G1135">
            <v>3171.95830516155</v>
          </cell>
          <cell r="H1135">
            <v>3171.95830516155</v>
          </cell>
        </row>
        <row r="1136">
          <cell r="B1136" t="str">
            <v>FORT ROSS 112137326</v>
          </cell>
          <cell r="C1136">
            <v>42851121</v>
          </cell>
          <cell r="D1136" t="str">
            <v>FORT ROSS 1121</v>
          </cell>
          <cell r="E1136">
            <v>37326</v>
          </cell>
          <cell r="F1136" t="b">
            <v>0</v>
          </cell>
          <cell r="G1136">
            <v>8213.2529929817701</v>
          </cell>
          <cell r="H1136">
            <v>8213.2529929817701</v>
          </cell>
        </row>
        <row r="1137">
          <cell r="B1137" t="str">
            <v>FORT ROSS 11214614</v>
          </cell>
          <cell r="C1137">
            <v>42851121</v>
          </cell>
          <cell r="D1137" t="str">
            <v>FORT ROSS 1121</v>
          </cell>
          <cell r="E1137">
            <v>4614</v>
          </cell>
          <cell r="F1137" t="b">
            <v>0</v>
          </cell>
          <cell r="G1137">
            <v>20206.897221101499</v>
          </cell>
          <cell r="H1137">
            <v>20206.897221101499</v>
          </cell>
        </row>
        <row r="1138">
          <cell r="B1138" t="str">
            <v>FORT ROSS 11214947</v>
          </cell>
          <cell r="C1138">
            <v>42851121</v>
          </cell>
          <cell r="D1138" t="str">
            <v>FORT ROSS 1121</v>
          </cell>
          <cell r="E1138">
            <v>4947</v>
          </cell>
          <cell r="F1138" t="b">
            <v>0</v>
          </cell>
          <cell r="G1138">
            <v>16652.800930834499</v>
          </cell>
          <cell r="H1138">
            <v>16652.800930834499</v>
          </cell>
        </row>
        <row r="1139">
          <cell r="B1139" t="str">
            <v>FORT ROSS 1121560</v>
          </cell>
          <cell r="C1139">
            <v>42851121</v>
          </cell>
          <cell r="D1139" t="str">
            <v>FORT ROSS 1121</v>
          </cell>
          <cell r="E1139">
            <v>560</v>
          </cell>
          <cell r="F1139" t="b">
            <v>0</v>
          </cell>
          <cell r="G1139">
            <v>9061.7878224704109</v>
          </cell>
          <cell r="H1139">
            <v>8145.5491277777001</v>
          </cell>
        </row>
        <row r="1140">
          <cell r="B1140" t="str">
            <v>FORT ROSS 112170288</v>
          </cell>
          <cell r="C1140">
            <v>42851121</v>
          </cell>
          <cell r="D1140" t="str">
            <v>FORT ROSS 1121</v>
          </cell>
          <cell r="E1140">
            <v>70288</v>
          </cell>
          <cell r="F1140" t="b">
            <v>0</v>
          </cell>
          <cell r="G1140">
            <v>18879.798378548199</v>
          </cell>
          <cell r="H1140">
            <v>18879.798378548199</v>
          </cell>
        </row>
        <row r="1141">
          <cell r="B1141" t="str">
            <v>FORT ROSS 1121CB</v>
          </cell>
          <cell r="C1141">
            <v>42851121</v>
          </cell>
          <cell r="D1141" t="str">
            <v>FORT ROSS 1121</v>
          </cell>
          <cell r="E1141" t="str">
            <v>CB</v>
          </cell>
          <cell r="F1141" t="b">
            <v>1</v>
          </cell>
          <cell r="G1141">
            <v>25.933359741527699</v>
          </cell>
          <cell r="H1141">
            <v>25.933359741527699</v>
          </cell>
        </row>
        <row r="1142">
          <cell r="B1142" t="str">
            <v>FORT SEWARD 11211602</v>
          </cell>
          <cell r="C1142">
            <v>192321121</v>
          </cell>
          <cell r="D1142" t="str">
            <v>FORT SEWARD 1121</v>
          </cell>
          <cell r="E1142">
            <v>1602</v>
          </cell>
          <cell r="F1142" t="b">
            <v>0</v>
          </cell>
          <cell r="G1142">
            <v>36538.7847621904</v>
          </cell>
          <cell r="H1142">
            <v>29307.754225452201</v>
          </cell>
        </row>
        <row r="1143">
          <cell r="B1143" t="str">
            <v>FORT SEWARD 11211690</v>
          </cell>
          <cell r="C1143">
            <v>192321121</v>
          </cell>
          <cell r="D1143" t="str">
            <v>FORT SEWARD 1121</v>
          </cell>
          <cell r="E1143">
            <v>1690</v>
          </cell>
          <cell r="F1143" t="b">
            <v>0</v>
          </cell>
          <cell r="G1143">
            <v>26217.8201076572</v>
          </cell>
          <cell r="H1143">
            <v>17377.702702536699</v>
          </cell>
        </row>
        <row r="1144">
          <cell r="B1144" t="str">
            <v>FORT SEWARD 1121CB</v>
          </cell>
          <cell r="C1144">
            <v>192321121</v>
          </cell>
          <cell r="D1144" t="str">
            <v>FORT SEWARD 1121</v>
          </cell>
          <cell r="E1144" t="str">
            <v>CB</v>
          </cell>
          <cell r="F1144" t="b">
            <v>0</v>
          </cell>
          <cell r="G1144">
            <v>14807.5224306853</v>
          </cell>
          <cell r="H1144">
            <v>14807.5224306853</v>
          </cell>
        </row>
        <row r="1145">
          <cell r="B1145" t="str">
            <v>FORT SEWARD 1122CB</v>
          </cell>
          <cell r="C1145">
            <v>192321122</v>
          </cell>
          <cell r="D1145" t="str">
            <v>FORT SEWARD 1122</v>
          </cell>
          <cell r="E1145" t="str">
            <v>CB</v>
          </cell>
          <cell r="F1145" t="b">
            <v>0</v>
          </cell>
          <cell r="G1145">
            <v>35287.617845341301</v>
          </cell>
          <cell r="H1145">
            <v>28413.103102264799</v>
          </cell>
        </row>
        <row r="1146">
          <cell r="B1146" t="str">
            <v>FRANKLIN 1101P138</v>
          </cell>
          <cell r="C1146">
            <v>13921101</v>
          </cell>
          <cell r="D1146" t="str">
            <v>FRANKLIN 1101</v>
          </cell>
          <cell r="E1146" t="str">
            <v>P138</v>
          </cell>
          <cell r="F1146" t="b">
            <v>0</v>
          </cell>
          <cell r="G1146">
            <v>2470.0231534182699</v>
          </cell>
          <cell r="H1146">
            <v>2259.0029574934401</v>
          </cell>
        </row>
        <row r="1147">
          <cell r="B1147" t="str">
            <v>FRANKLIN 1104CB</v>
          </cell>
          <cell r="C1147">
            <v>13921104</v>
          </cell>
          <cell r="D1147" t="str">
            <v>FRANKLIN 1104</v>
          </cell>
          <cell r="E1147" t="str">
            <v>CB</v>
          </cell>
          <cell r="F1147" t="b">
            <v>1</v>
          </cell>
          <cell r="G1147">
            <v>8361.6686398801103</v>
          </cell>
          <cell r="H1147">
            <v>466.264071484883</v>
          </cell>
        </row>
        <row r="1148">
          <cell r="B1148" t="str">
            <v>FRANKLIN 1104P136</v>
          </cell>
          <cell r="C1148">
            <v>13921104</v>
          </cell>
          <cell r="D1148" t="str">
            <v>FRANKLIN 1104</v>
          </cell>
          <cell r="E1148" t="str">
            <v>P136</v>
          </cell>
          <cell r="F1148" t="b">
            <v>0</v>
          </cell>
          <cell r="G1148">
            <v>9489.9011445599408</v>
          </cell>
          <cell r="H1148">
            <v>7931.4996600460299</v>
          </cell>
        </row>
        <row r="1149">
          <cell r="B1149" t="str">
            <v>FRANKLIN 1104P146</v>
          </cell>
          <cell r="C1149">
            <v>13921104</v>
          </cell>
          <cell r="D1149" t="str">
            <v>FRANKLIN 1104</v>
          </cell>
          <cell r="E1149" t="str">
            <v>P146</v>
          </cell>
          <cell r="F1149" t="b">
            <v>0</v>
          </cell>
          <cell r="G1149">
            <v>5911.5651280588399</v>
          </cell>
          <cell r="H1149">
            <v>5843.5424604904301</v>
          </cell>
        </row>
        <row r="1150">
          <cell r="B1150" t="str">
            <v>FREMONT 1104MR339</v>
          </cell>
          <cell r="C1150">
            <v>14351104</v>
          </cell>
          <cell r="D1150" t="str">
            <v>FREMONT 1104</v>
          </cell>
          <cell r="E1150" t="str">
            <v>MR339</v>
          </cell>
          <cell r="F1150" t="b">
            <v>0</v>
          </cell>
          <cell r="G1150">
            <v>11213.6735138576</v>
          </cell>
          <cell r="H1150">
            <v>1921.23308930384</v>
          </cell>
        </row>
        <row r="1151">
          <cell r="B1151" t="str">
            <v>FRENCH GULCH 11011464</v>
          </cell>
          <cell r="C1151">
            <v>103381101</v>
          </cell>
          <cell r="D1151" t="str">
            <v>FRENCH GULCH 1101</v>
          </cell>
          <cell r="E1151">
            <v>1464</v>
          </cell>
          <cell r="F1151" t="b">
            <v>0</v>
          </cell>
          <cell r="G1151">
            <v>1371.4853570642299</v>
          </cell>
          <cell r="H1151">
            <v>1371.4853570642299</v>
          </cell>
        </row>
        <row r="1152">
          <cell r="B1152" t="str">
            <v>FRENCH GULCH 11011892</v>
          </cell>
          <cell r="C1152">
            <v>103381101</v>
          </cell>
          <cell r="D1152" t="str">
            <v>FRENCH GULCH 1101</v>
          </cell>
          <cell r="E1152">
            <v>1892</v>
          </cell>
          <cell r="F1152" t="b">
            <v>0</v>
          </cell>
          <cell r="G1152">
            <v>5154.3446543293303</v>
          </cell>
          <cell r="H1152">
            <v>5154.3446543293303</v>
          </cell>
        </row>
        <row r="1153">
          <cell r="B1153" t="str">
            <v>FRENCH GULCH 11012905</v>
          </cell>
          <cell r="C1153">
            <v>103381101</v>
          </cell>
          <cell r="D1153" t="str">
            <v>FRENCH GULCH 1101</v>
          </cell>
          <cell r="E1153">
            <v>2905</v>
          </cell>
          <cell r="F1153" t="b">
            <v>0</v>
          </cell>
          <cell r="G1153">
            <v>15594.3492084682</v>
          </cell>
          <cell r="H1153">
            <v>15594.3492084682</v>
          </cell>
        </row>
        <row r="1154">
          <cell r="B1154" t="str">
            <v>FRENCH GULCH 1101CB</v>
          </cell>
          <cell r="C1154">
            <v>103381101</v>
          </cell>
          <cell r="D1154" t="str">
            <v>FRENCH GULCH 1101</v>
          </cell>
          <cell r="E1154" t="str">
            <v>CB</v>
          </cell>
          <cell r="F1154" t="b">
            <v>0</v>
          </cell>
          <cell r="G1154">
            <v>3697.53373911782</v>
          </cell>
          <cell r="H1154">
            <v>3697.53373911782</v>
          </cell>
        </row>
        <row r="1155">
          <cell r="B1155" t="str">
            <v>FRENCH GULCH 11021462</v>
          </cell>
          <cell r="C1155">
            <v>103381102</v>
          </cell>
          <cell r="D1155" t="str">
            <v>FRENCH GULCH 1102</v>
          </cell>
          <cell r="E1155">
            <v>1462</v>
          </cell>
          <cell r="F1155" t="b">
            <v>0</v>
          </cell>
          <cell r="G1155">
            <v>16147.087422115599</v>
          </cell>
          <cell r="H1155">
            <v>16116.067594088299</v>
          </cell>
        </row>
        <row r="1156">
          <cell r="B1156" t="str">
            <v>FRENCH GULCH 11022902</v>
          </cell>
          <cell r="C1156">
            <v>103381102</v>
          </cell>
          <cell r="D1156" t="str">
            <v>FRENCH GULCH 1102</v>
          </cell>
          <cell r="E1156">
            <v>2902</v>
          </cell>
          <cell r="F1156" t="b">
            <v>0</v>
          </cell>
          <cell r="G1156">
            <v>11242.822827440399</v>
          </cell>
          <cell r="H1156">
            <v>11242.822827440399</v>
          </cell>
        </row>
        <row r="1157">
          <cell r="B1157" t="str">
            <v>FRENCH GULCH 1102CB</v>
          </cell>
          <cell r="C1157">
            <v>103381102</v>
          </cell>
          <cell r="D1157" t="str">
            <v>FRENCH GULCH 1102</v>
          </cell>
          <cell r="E1157" t="str">
            <v>CB</v>
          </cell>
          <cell r="F1157" t="b">
            <v>0</v>
          </cell>
          <cell r="G1157">
            <v>2729.0128879213999</v>
          </cell>
          <cell r="H1157">
            <v>2729.0128879213999</v>
          </cell>
        </row>
        <row r="1158">
          <cell r="B1158" t="str">
            <v>FROGTOWN 170113412</v>
          </cell>
          <cell r="C1158">
            <v>163451701</v>
          </cell>
          <cell r="D1158" t="str">
            <v>FROGTOWN 1701</v>
          </cell>
          <cell r="E1158">
            <v>13412</v>
          </cell>
          <cell r="F1158" t="b">
            <v>0</v>
          </cell>
          <cell r="G1158">
            <v>62439.7254802803</v>
          </cell>
          <cell r="H1158">
            <v>62439.7254802803</v>
          </cell>
        </row>
        <row r="1159">
          <cell r="B1159" t="str">
            <v>FROGTOWN 17011623</v>
          </cell>
          <cell r="C1159">
            <v>163451701</v>
          </cell>
          <cell r="D1159" t="str">
            <v>FROGTOWN 1701</v>
          </cell>
          <cell r="E1159">
            <v>1623</v>
          </cell>
          <cell r="F1159" t="b">
            <v>0</v>
          </cell>
          <cell r="G1159">
            <v>24554.211113376001</v>
          </cell>
          <cell r="H1159">
            <v>24554.211113376001</v>
          </cell>
        </row>
        <row r="1160">
          <cell r="B1160" t="str">
            <v>FROGTOWN 17016807</v>
          </cell>
          <cell r="C1160">
            <v>163451701</v>
          </cell>
          <cell r="D1160" t="str">
            <v>FROGTOWN 1701</v>
          </cell>
          <cell r="E1160">
            <v>6807</v>
          </cell>
          <cell r="F1160" t="b">
            <v>0</v>
          </cell>
          <cell r="G1160">
            <v>7894.5526843992102</v>
          </cell>
          <cell r="H1160">
            <v>7894.5526843992102</v>
          </cell>
        </row>
        <row r="1161">
          <cell r="B1161" t="str">
            <v>FROGTOWN 1701CB</v>
          </cell>
          <cell r="C1161">
            <v>163451701</v>
          </cell>
          <cell r="D1161" t="str">
            <v>FROGTOWN 1701</v>
          </cell>
          <cell r="E1161" t="str">
            <v>CB</v>
          </cell>
          <cell r="F1161" t="b">
            <v>0</v>
          </cell>
          <cell r="G1161">
            <v>18045.047282006301</v>
          </cell>
          <cell r="H1161">
            <v>16189.788127576599</v>
          </cell>
        </row>
        <row r="1162">
          <cell r="B1162" t="str">
            <v>FROGTOWN 1701L3361</v>
          </cell>
          <cell r="C1162">
            <v>163451701</v>
          </cell>
          <cell r="D1162" t="str">
            <v>FROGTOWN 1701</v>
          </cell>
          <cell r="E1162" t="str">
            <v>L3361</v>
          </cell>
          <cell r="F1162" t="b">
            <v>0</v>
          </cell>
          <cell r="G1162">
            <v>3015.68381330498</v>
          </cell>
          <cell r="H1162">
            <v>3015.68381330498</v>
          </cell>
        </row>
        <row r="1163">
          <cell r="B1163" t="str">
            <v>FROGTOWN 170211212</v>
          </cell>
          <cell r="C1163">
            <v>163451702</v>
          </cell>
          <cell r="D1163" t="str">
            <v>FROGTOWN 1702</v>
          </cell>
          <cell r="E1163">
            <v>11212</v>
          </cell>
          <cell r="F1163" t="b">
            <v>0</v>
          </cell>
          <cell r="G1163">
            <v>35943.995417502403</v>
          </cell>
          <cell r="H1163">
            <v>35943.995417502403</v>
          </cell>
        </row>
        <row r="1164">
          <cell r="B1164" t="str">
            <v>FROGTOWN 170212282</v>
          </cell>
          <cell r="C1164">
            <v>163451702</v>
          </cell>
          <cell r="D1164" t="str">
            <v>FROGTOWN 1702</v>
          </cell>
          <cell r="E1164">
            <v>12282</v>
          </cell>
          <cell r="F1164" t="b">
            <v>0</v>
          </cell>
          <cell r="G1164">
            <v>58482.1142683363</v>
          </cell>
          <cell r="H1164">
            <v>58482.1142683363</v>
          </cell>
        </row>
        <row r="1165">
          <cell r="B1165" t="str">
            <v>FROGTOWN 17021573</v>
          </cell>
          <cell r="C1165">
            <v>163451702</v>
          </cell>
          <cell r="D1165" t="str">
            <v>FROGTOWN 1702</v>
          </cell>
          <cell r="E1165">
            <v>1573</v>
          </cell>
          <cell r="F1165" t="b">
            <v>0</v>
          </cell>
          <cell r="G1165">
            <v>29066.996982152799</v>
          </cell>
          <cell r="H1165">
            <v>29066.996982152799</v>
          </cell>
        </row>
        <row r="1166">
          <cell r="B1166" t="str">
            <v>FROGTOWN 1702204480</v>
          </cell>
          <cell r="C1166">
            <v>163451702</v>
          </cell>
          <cell r="D1166" t="str">
            <v>FROGTOWN 1702</v>
          </cell>
          <cell r="E1166">
            <v>204480</v>
          </cell>
          <cell r="F1166" t="b">
            <v>1</v>
          </cell>
          <cell r="G1166">
            <v>3182.9165346069099</v>
          </cell>
          <cell r="H1166">
            <v>807.67996370195601</v>
          </cell>
        </row>
        <row r="1167">
          <cell r="B1167" t="str">
            <v>FROGTOWN 1702224708</v>
          </cell>
          <cell r="C1167">
            <v>163451702</v>
          </cell>
          <cell r="D1167" t="str">
            <v>FROGTOWN 1702</v>
          </cell>
          <cell r="E1167">
            <v>224708</v>
          </cell>
          <cell r="F1167" t="b">
            <v>0</v>
          </cell>
          <cell r="G1167">
            <v>1049.16034875531</v>
          </cell>
          <cell r="H1167">
            <v>1033.1582411289</v>
          </cell>
        </row>
        <row r="1168">
          <cell r="B1168" t="str">
            <v>FROGTOWN 1702307998</v>
          </cell>
          <cell r="C1168">
            <v>163451702</v>
          </cell>
          <cell r="D1168" t="str">
            <v>FROGTOWN 1702</v>
          </cell>
          <cell r="E1168">
            <v>307998</v>
          </cell>
          <cell r="F1168" t="b">
            <v>1</v>
          </cell>
          <cell r="G1168">
            <v>911.47745479687399</v>
          </cell>
          <cell r="H1168">
            <v>895.40258705329404</v>
          </cell>
        </row>
        <row r="1169">
          <cell r="B1169" t="str">
            <v>FROGTOWN 170232556</v>
          </cell>
          <cell r="C1169">
            <v>163451702</v>
          </cell>
          <cell r="D1169" t="str">
            <v>FROGTOWN 1702</v>
          </cell>
          <cell r="E1169">
            <v>32556</v>
          </cell>
          <cell r="F1169" t="b">
            <v>1</v>
          </cell>
          <cell r="G1169">
            <v>2113.2756278430002</v>
          </cell>
          <cell r="H1169">
            <v>188.099904915108</v>
          </cell>
        </row>
        <row r="1170">
          <cell r="B1170" t="str">
            <v>FROGTOWN 170236870</v>
          </cell>
          <cell r="C1170">
            <v>163451702</v>
          </cell>
          <cell r="D1170" t="str">
            <v>FROGTOWN 1702</v>
          </cell>
          <cell r="E1170">
            <v>36870</v>
          </cell>
          <cell r="F1170" t="b">
            <v>1</v>
          </cell>
          <cell r="G1170">
            <v>3829.36814661069</v>
          </cell>
          <cell r="H1170">
            <v>541.29223378635299</v>
          </cell>
        </row>
        <row r="1171">
          <cell r="B1171" t="str">
            <v>FROGTOWN 1702390720</v>
          </cell>
          <cell r="C1171">
            <v>163451702</v>
          </cell>
          <cell r="D1171" t="str">
            <v>FROGTOWN 1702</v>
          </cell>
          <cell r="E1171">
            <v>390720</v>
          </cell>
          <cell r="F1171" t="b">
            <v>1</v>
          </cell>
          <cell r="G1171">
            <v>218.44687539765599</v>
          </cell>
          <cell r="H1171">
            <v>202.44482876285099</v>
          </cell>
        </row>
        <row r="1172">
          <cell r="B1172" t="str">
            <v>FROGTOWN 1702411508</v>
          </cell>
          <cell r="C1172">
            <v>163451702</v>
          </cell>
          <cell r="D1172" t="str">
            <v>FROGTOWN 1702</v>
          </cell>
          <cell r="E1172">
            <v>411508</v>
          </cell>
          <cell r="F1172" t="b">
            <v>1</v>
          </cell>
          <cell r="G1172">
            <v>731.36956749512296</v>
          </cell>
          <cell r="H1172">
            <v>726.79767796613601</v>
          </cell>
        </row>
        <row r="1173">
          <cell r="B1173" t="str">
            <v>FROGTOWN 1702592404</v>
          </cell>
          <cell r="C1173">
            <v>163451702</v>
          </cell>
          <cell r="D1173" t="str">
            <v>FROGTOWN 1702</v>
          </cell>
          <cell r="E1173">
            <v>592404</v>
          </cell>
          <cell r="F1173" t="b">
            <v>0</v>
          </cell>
          <cell r="G1173">
            <v>2658.3381033720202</v>
          </cell>
          <cell r="H1173">
            <v>2642.3360837187702</v>
          </cell>
        </row>
        <row r="1174">
          <cell r="B1174" t="str">
            <v>FROGTOWN 1702694042</v>
          </cell>
          <cell r="C1174">
            <v>163451702</v>
          </cell>
          <cell r="D1174" t="str">
            <v>FROGTOWN 1702</v>
          </cell>
          <cell r="E1174">
            <v>694042</v>
          </cell>
          <cell r="F1174" t="b">
            <v>1</v>
          </cell>
          <cell r="G1174">
            <v>972.04708386424295</v>
          </cell>
          <cell r="H1174">
            <v>972.04708386424295</v>
          </cell>
        </row>
        <row r="1175">
          <cell r="B1175" t="str">
            <v>FROGTOWN 17027108</v>
          </cell>
          <cell r="C1175">
            <v>163451702</v>
          </cell>
          <cell r="D1175" t="str">
            <v>FROGTOWN 1702</v>
          </cell>
          <cell r="E1175">
            <v>7108</v>
          </cell>
          <cell r="F1175" t="b">
            <v>0</v>
          </cell>
          <cell r="G1175">
            <v>20715.9427325219</v>
          </cell>
          <cell r="H1175">
            <v>15478.9307431991</v>
          </cell>
        </row>
        <row r="1176">
          <cell r="B1176" t="str">
            <v>FROGTOWN 17027134</v>
          </cell>
          <cell r="C1176">
            <v>163451702</v>
          </cell>
          <cell r="D1176" t="str">
            <v>FROGTOWN 1702</v>
          </cell>
          <cell r="E1176">
            <v>7134</v>
          </cell>
          <cell r="F1176" t="b">
            <v>0</v>
          </cell>
          <cell r="G1176">
            <v>37777.901208581497</v>
          </cell>
          <cell r="H1176">
            <v>32518.124310004499</v>
          </cell>
        </row>
        <row r="1177">
          <cell r="B1177" t="str">
            <v>FROGTOWN 1702737236</v>
          </cell>
          <cell r="C1177">
            <v>163451702</v>
          </cell>
          <cell r="D1177" t="str">
            <v>FROGTOWN 1702</v>
          </cell>
          <cell r="E1177">
            <v>737236</v>
          </cell>
          <cell r="F1177" t="b">
            <v>0</v>
          </cell>
          <cell r="G1177">
            <v>14223.4404769876</v>
          </cell>
          <cell r="H1177">
            <v>14101.6239426623</v>
          </cell>
        </row>
        <row r="1178">
          <cell r="B1178" t="str">
            <v>FROGTOWN 1702739858</v>
          </cell>
          <cell r="C1178">
            <v>163451702</v>
          </cell>
          <cell r="D1178" t="str">
            <v>FROGTOWN 1702</v>
          </cell>
          <cell r="E1178">
            <v>739858</v>
          </cell>
          <cell r="F1178" t="b">
            <v>0</v>
          </cell>
          <cell r="G1178">
            <v>8002.90284433541</v>
          </cell>
          <cell r="H1178">
            <v>7850.7224524457697</v>
          </cell>
        </row>
        <row r="1179">
          <cell r="B1179" t="str">
            <v>FROGTOWN 170274648</v>
          </cell>
          <cell r="C1179">
            <v>163451702</v>
          </cell>
          <cell r="D1179" t="str">
            <v>FROGTOWN 1702</v>
          </cell>
          <cell r="E1179">
            <v>74648</v>
          </cell>
          <cell r="F1179" t="b">
            <v>1</v>
          </cell>
          <cell r="G1179">
            <v>7581.2034451384197</v>
          </cell>
          <cell r="H1179">
            <v>262.19863303749099</v>
          </cell>
        </row>
        <row r="1180">
          <cell r="B1180" t="str">
            <v>FROGTOWN 170275252</v>
          </cell>
          <cell r="C1180">
            <v>163451702</v>
          </cell>
          <cell r="D1180" t="str">
            <v>FROGTOWN 1702</v>
          </cell>
          <cell r="E1180">
            <v>75252</v>
          </cell>
          <cell r="F1180" t="b">
            <v>0</v>
          </cell>
          <cell r="G1180">
            <v>98047.145647294004</v>
          </cell>
          <cell r="H1180">
            <v>93174.099578256995</v>
          </cell>
        </row>
        <row r="1181">
          <cell r="B1181" t="str">
            <v>FROGTOWN 1702798032</v>
          </cell>
          <cell r="C1181">
            <v>163451702</v>
          </cell>
          <cell r="D1181" t="str">
            <v>FROGTOWN 1702</v>
          </cell>
          <cell r="E1181">
            <v>798032</v>
          </cell>
          <cell r="F1181" t="b">
            <v>1</v>
          </cell>
          <cell r="G1181">
            <v>259.83045129210097</v>
          </cell>
          <cell r="H1181">
            <v>244.50647264793099</v>
          </cell>
        </row>
        <row r="1182">
          <cell r="B1182" t="str">
            <v>FROGTOWN 1702812366</v>
          </cell>
          <cell r="C1182">
            <v>163451702</v>
          </cell>
          <cell r="D1182" t="str">
            <v>FROGTOWN 1702</v>
          </cell>
          <cell r="E1182">
            <v>812366</v>
          </cell>
          <cell r="F1182" t="b">
            <v>0</v>
          </cell>
          <cell r="G1182">
            <v>4450.8968701917101</v>
          </cell>
          <cell r="H1182">
            <v>4421.1037804670104</v>
          </cell>
        </row>
        <row r="1183">
          <cell r="B1183" t="str">
            <v>FROGTOWN 1702814784</v>
          </cell>
          <cell r="C1183">
            <v>163451702</v>
          </cell>
          <cell r="D1183" t="str">
            <v>FROGTOWN 1702</v>
          </cell>
          <cell r="E1183">
            <v>814784</v>
          </cell>
          <cell r="F1183" t="b">
            <v>1</v>
          </cell>
          <cell r="G1183">
            <v>296.05724809771698</v>
          </cell>
          <cell r="H1183">
            <v>280.055177395442</v>
          </cell>
        </row>
        <row r="1184">
          <cell r="B1184" t="str">
            <v>FROGTOWN 1702832694</v>
          </cell>
          <cell r="C1184">
            <v>163451702</v>
          </cell>
          <cell r="D1184" t="str">
            <v>FROGTOWN 1702</v>
          </cell>
          <cell r="E1184">
            <v>832694</v>
          </cell>
          <cell r="F1184" t="b">
            <v>1</v>
          </cell>
          <cell r="G1184">
            <v>477.56545543636702</v>
          </cell>
          <cell r="H1184">
            <v>461.56341890928798</v>
          </cell>
        </row>
        <row r="1185">
          <cell r="B1185" t="str">
            <v>FROGTOWN 1702835115</v>
          </cell>
          <cell r="C1185">
            <v>163451702</v>
          </cell>
          <cell r="D1185" t="str">
            <v>FROGTOWN 1702</v>
          </cell>
          <cell r="E1185">
            <v>835115</v>
          </cell>
          <cell r="F1185" t="b">
            <v>0</v>
          </cell>
          <cell r="G1185">
            <v>29192.1081084545</v>
          </cell>
          <cell r="H1185">
            <v>29192.1081084545</v>
          </cell>
        </row>
        <row r="1186">
          <cell r="B1186" t="str">
            <v>FROGTOWN 17028482</v>
          </cell>
          <cell r="C1186">
            <v>163451702</v>
          </cell>
          <cell r="D1186" t="str">
            <v>FROGTOWN 1702</v>
          </cell>
          <cell r="E1186">
            <v>8482</v>
          </cell>
          <cell r="F1186" t="b">
            <v>0</v>
          </cell>
          <cell r="G1186">
            <v>23390.992894160099</v>
          </cell>
          <cell r="H1186">
            <v>23390.992894160099</v>
          </cell>
        </row>
        <row r="1187">
          <cell r="B1187" t="str">
            <v>FROGTOWN 1702CB</v>
          </cell>
          <cell r="C1187">
            <v>163451702</v>
          </cell>
          <cell r="D1187" t="str">
            <v>FROGTOWN 1702</v>
          </cell>
          <cell r="E1187" t="str">
            <v>CB</v>
          </cell>
          <cell r="F1187" t="b">
            <v>0</v>
          </cell>
          <cell r="G1187">
            <v>6932.7551306576797</v>
          </cell>
          <cell r="H1187">
            <v>2351.36135750518</v>
          </cell>
        </row>
        <row r="1188">
          <cell r="B1188" t="str">
            <v>FROGTOWN 1702L5407</v>
          </cell>
          <cell r="C1188">
            <v>163451702</v>
          </cell>
          <cell r="D1188" t="str">
            <v>FROGTOWN 1702</v>
          </cell>
          <cell r="E1188" t="str">
            <v>L5407</v>
          </cell>
          <cell r="F1188" t="b">
            <v>0</v>
          </cell>
          <cell r="G1188">
            <v>29410.8857080817</v>
          </cell>
          <cell r="H1188">
            <v>29410.8857080817</v>
          </cell>
        </row>
        <row r="1189">
          <cell r="B1189" t="str">
            <v>FRUITLAND 1141200856</v>
          </cell>
          <cell r="C1189">
            <v>192311141</v>
          </cell>
          <cell r="D1189" t="str">
            <v>FRUITLAND 1141</v>
          </cell>
          <cell r="E1189">
            <v>200856</v>
          </cell>
          <cell r="F1189" t="b">
            <v>0</v>
          </cell>
          <cell r="G1189">
            <v>4144.4333669058497</v>
          </cell>
          <cell r="H1189">
            <v>4144.4333669058497</v>
          </cell>
        </row>
        <row r="1190">
          <cell r="B1190" t="str">
            <v>FRUITLAND 114137410</v>
          </cell>
          <cell r="C1190">
            <v>192311141</v>
          </cell>
          <cell r="D1190" t="str">
            <v>FRUITLAND 1141</v>
          </cell>
          <cell r="E1190">
            <v>37410</v>
          </cell>
          <cell r="F1190" t="b">
            <v>0</v>
          </cell>
          <cell r="G1190">
            <v>8875.6068888858899</v>
          </cell>
          <cell r="H1190">
            <v>8413.1179437795399</v>
          </cell>
        </row>
        <row r="1191">
          <cell r="B1191" t="str">
            <v>FRUITLAND 11413902</v>
          </cell>
          <cell r="C1191">
            <v>192311141</v>
          </cell>
          <cell r="D1191" t="str">
            <v>FRUITLAND 1141</v>
          </cell>
          <cell r="E1191">
            <v>3902</v>
          </cell>
          <cell r="F1191" t="b">
            <v>0</v>
          </cell>
          <cell r="G1191">
            <v>8223.63442610737</v>
          </cell>
          <cell r="H1191">
            <v>8223.63442610737</v>
          </cell>
        </row>
        <row r="1192">
          <cell r="B1192" t="str">
            <v>FRUITLAND 11418746</v>
          </cell>
          <cell r="C1192">
            <v>192311141</v>
          </cell>
          <cell r="D1192" t="str">
            <v>FRUITLAND 1141</v>
          </cell>
          <cell r="E1192">
            <v>8746</v>
          </cell>
          <cell r="F1192" t="b">
            <v>1</v>
          </cell>
          <cell r="G1192">
            <v>832.21617599924002</v>
          </cell>
          <cell r="H1192">
            <v>645.69651619626904</v>
          </cell>
        </row>
        <row r="1193">
          <cell r="B1193" t="str">
            <v>FRUITLAND 11418860</v>
          </cell>
          <cell r="C1193">
            <v>192311141</v>
          </cell>
          <cell r="D1193" t="str">
            <v>FRUITLAND 1141</v>
          </cell>
          <cell r="E1193">
            <v>8860</v>
          </cell>
          <cell r="F1193" t="b">
            <v>0</v>
          </cell>
          <cell r="G1193">
            <v>6108.7784632743096</v>
          </cell>
          <cell r="H1193">
            <v>3211.9110028661598</v>
          </cell>
        </row>
        <row r="1194">
          <cell r="B1194" t="str">
            <v>FRUITLAND 114195324</v>
          </cell>
          <cell r="C1194">
            <v>192311141</v>
          </cell>
          <cell r="D1194" t="str">
            <v>FRUITLAND 1141</v>
          </cell>
          <cell r="E1194">
            <v>95324</v>
          </cell>
          <cell r="F1194" t="b">
            <v>0</v>
          </cell>
          <cell r="G1194">
            <v>10430.4829869229</v>
          </cell>
          <cell r="H1194">
            <v>10430.4829869229</v>
          </cell>
        </row>
        <row r="1195">
          <cell r="B1195" t="str">
            <v>FRUITLAND 1141CB</v>
          </cell>
          <cell r="C1195">
            <v>192311141</v>
          </cell>
          <cell r="D1195" t="str">
            <v>FRUITLAND 1141</v>
          </cell>
          <cell r="E1195" t="str">
            <v>CB</v>
          </cell>
          <cell r="F1195" t="b">
            <v>0</v>
          </cell>
          <cell r="G1195">
            <v>5135.5452967638203</v>
          </cell>
          <cell r="H1195">
            <v>5135.5452967638203</v>
          </cell>
        </row>
        <row r="1196">
          <cell r="B1196" t="str">
            <v>FRUITLAND 11422006</v>
          </cell>
          <cell r="C1196">
            <v>192311142</v>
          </cell>
          <cell r="D1196" t="str">
            <v>FRUITLAND 1142</v>
          </cell>
          <cell r="E1196">
            <v>2006</v>
          </cell>
          <cell r="F1196" t="b">
            <v>0</v>
          </cell>
          <cell r="G1196">
            <v>14941.7424484158</v>
          </cell>
          <cell r="H1196">
            <v>13398.0901850557</v>
          </cell>
        </row>
        <row r="1197">
          <cell r="B1197" t="str">
            <v>FRUITLAND 11426054</v>
          </cell>
          <cell r="C1197">
            <v>192311142</v>
          </cell>
          <cell r="D1197" t="str">
            <v>FRUITLAND 1142</v>
          </cell>
          <cell r="E1197">
            <v>6054</v>
          </cell>
          <cell r="F1197" t="b">
            <v>0</v>
          </cell>
          <cell r="G1197">
            <v>11579.671989251099</v>
          </cell>
          <cell r="H1197">
            <v>11579.671989251099</v>
          </cell>
        </row>
        <row r="1198">
          <cell r="B1198" t="str">
            <v>FRUITLAND 11426064</v>
          </cell>
          <cell r="C1198">
            <v>192311142</v>
          </cell>
          <cell r="D1198" t="str">
            <v>FRUITLAND 1142</v>
          </cell>
          <cell r="E1198">
            <v>6064</v>
          </cell>
          <cell r="F1198" t="b">
            <v>0</v>
          </cell>
          <cell r="G1198">
            <v>13322.7276025233</v>
          </cell>
          <cell r="H1198">
            <v>10776.935219798899</v>
          </cell>
        </row>
        <row r="1199">
          <cell r="B1199" t="str">
            <v>FRUITLAND 114263170</v>
          </cell>
          <cell r="C1199">
            <v>192311142</v>
          </cell>
          <cell r="D1199" t="str">
            <v>FRUITLAND 1142</v>
          </cell>
          <cell r="E1199">
            <v>63170</v>
          </cell>
          <cell r="F1199" t="b">
            <v>0</v>
          </cell>
          <cell r="G1199">
            <v>21717.278406156001</v>
          </cell>
          <cell r="H1199">
            <v>20031.3405882958</v>
          </cell>
        </row>
        <row r="1200">
          <cell r="B1200" t="str">
            <v>FRUITLAND 1142899734</v>
          </cell>
          <cell r="C1200">
            <v>192311142</v>
          </cell>
          <cell r="D1200" t="str">
            <v>FRUITLAND 1142</v>
          </cell>
          <cell r="E1200">
            <v>899734</v>
          </cell>
          <cell r="F1200" t="b">
            <v>0</v>
          </cell>
          <cell r="G1200">
            <v>5471.5337457960904</v>
          </cell>
          <cell r="H1200">
            <v>5471.5337457960904</v>
          </cell>
        </row>
        <row r="1201">
          <cell r="B1201" t="str">
            <v>FRUITLAND 114293234</v>
          </cell>
          <cell r="C1201">
            <v>192311142</v>
          </cell>
          <cell r="D1201" t="str">
            <v>FRUITLAND 1142</v>
          </cell>
          <cell r="E1201">
            <v>93234</v>
          </cell>
          <cell r="F1201" t="b">
            <v>0</v>
          </cell>
          <cell r="G1201">
            <v>18471.727271874199</v>
          </cell>
          <cell r="H1201">
            <v>18471.727271874199</v>
          </cell>
        </row>
        <row r="1202">
          <cell r="B1202" t="str">
            <v>FRUITLAND 1142CB</v>
          </cell>
          <cell r="C1202">
            <v>192311142</v>
          </cell>
          <cell r="D1202" t="str">
            <v>FRUITLAND 1142</v>
          </cell>
          <cell r="E1202" t="str">
            <v>CB</v>
          </cell>
          <cell r="F1202" t="b">
            <v>0</v>
          </cell>
          <cell r="G1202">
            <v>24719.991871758299</v>
          </cell>
          <cell r="H1202">
            <v>16900.9682631297</v>
          </cell>
        </row>
        <row r="1203">
          <cell r="B1203" t="str">
            <v>FULTON 1102287172</v>
          </cell>
          <cell r="C1203">
            <v>42561102</v>
          </cell>
          <cell r="D1203" t="str">
            <v>FULTON 1102</v>
          </cell>
          <cell r="E1203">
            <v>287172</v>
          </cell>
          <cell r="F1203" t="b">
            <v>0</v>
          </cell>
          <cell r="G1203">
            <v>42975.842389120196</v>
          </cell>
          <cell r="H1203">
            <v>32888.5180662087</v>
          </cell>
        </row>
        <row r="1204">
          <cell r="B1204" t="str">
            <v>FULTON 11024522</v>
          </cell>
          <cell r="C1204">
            <v>42561102</v>
          </cell>
          <cell r="D1204" t="str">
            <v>FULTON 1102</v>
          </cell>
          <cell r="E1204">
            <v>4522</v>
          </cell>
          <cell r="F1204" t="b">
            <v>0</v>
          </cell>
          <cell r="G1204">
            <v>19482.335312238502</v>
          </cell>
          <cell r="H1204">
            <v>14178.9488617728</v>
          </cell>
        </row>
        <row r="1205">
          <cell r="B1205" t="str">
            <v>FULTON 11024994</v>
          </cell>
          <cell r="C1205">
            <v>42561102</v>
          </cell>
          <cell r="D1205" t="str">
            <v>FULTON 1102</v>
          </cell>
          <cell r="E1205">
            <v>4994</v>
          </cell>
          <cell r="F1205" t="b">
            <v>0</v>
          </cell>
          <cell r="G1205">
            <v>6920.6464471505196</v>
          </cell>
          <cell r="H1205">
            <v>2185.8295140784398</v>
          </cell>
        </row>
        <row r="1206">
          <cell r="B1206" t="str">
            <v>FULTON 110258990</v>
          </cell>
          <cell r="C1206">
            <v>42561102</v>
          </cell>
          <cell r="D1206" t="str">
            <v>FULTON 1102</v>
          </cell>
          <cell r="E1206">
            <v>58990</v>
          </cell>
          <cell r="F1206" t="b">
            <v>1</v>
          </cell>
          <cell r="G1206">
            <v>971.50451492669799</v>
          </cell>
          <cell r="H1206">
            <v>427.97442919153798</v>
          </cell>
        </row>
        <row r="1207">
          <cell r="B1207" t="str">
            <v>FULTON 1102CB</v>
          </cell>
          <cell r="C1207">
            <v>42561102</v>
          </cell>
          <cell r="D1207" t="str">
            <v>FULTON 1102</v>
          </cell>
          <cell r="E1207" t="str">
            <v>CB</v>
          </cell>
          <cell r="F1207" t="b">
            <v>1</v>
          </cell>
          <cell r="G1207">
            <v>6358.3504087920701</v>
          </cell>
          <cell r="H1207">
            <v>326.859210592419</v>
          </cell>
        </row>
        <row r="1208">
          <cell r="B1208" t="str">
            <v>FULTON 1104466</v>
          </cell>
          <cell r="C1208">
            <v>42561104</v>
          </cell>
          <cell r="D1208" t="str">
            <v>FULTON 1104</v>
          </cell>
          <cell r="E1208">
            <v>466</v>
          </cell>
          <cell r="F1208" t="b">
            <v>1</v>
          </cell>
          <cell r="G1208">
            <v>2421.8685983229998</v>
          </cell>
          <cell r="H1208">
            <v>622.96439778345905</v>
          </cell>
        </row>
        <row r="1209">
          <cell r="B1209" t="str">
            <v>FULTON 1107214</v>
          </cell>
          <cell r="C1209">
            <v>42561107</v>
          </cell>
          <cell r="D1209" t="str">
            <v>FULTON 1107</v>
          </cell>
          <cell r="E1209">
            <v>214</v>
          </cell>
          <cell r="F1209" t="b">
            <v>0</v>
          </cell>
          <cell r="G1209">
            <v>18868.376842368602</v>
          </cell>
          <cell r="H1209">
            <v>18868.376842368602</v>
          </cell>
        </row>
        <row r="1210">
          <cell r="B1210" t="str">
            <v>FULTON 1107604</v>
          </cell>
          <cell r="C1210">
            <v>42561107</v>
          </cell>
          <cell r="D1210" t="str">
            <v>FULTON 1107</v>
          </cell>
          <cell r="E1210">
            <v>604</v>
          </cell>
          <cell r="F1210" t="b">
            <v>0</v>
          </cell>
          <cell r="G1210">
            <v>28058.6741024238</v>
          </cell>
          <cell r="H1210">
            <v>28058.6741024238</v>
          </cell>
        </row>
        <row r="1211">
          <cell r="B1211" t="str">
            <v>FULTON 110777670</v>
          </cell>
          <cell r="C1211">
            <v>42561107</v>
          </cell>
          <cell r="D1211" t="str">
            <v>FULTON 1107</v>
          </cell>
          <cell r="E1211">
            <v>77670</v>
          </cell>
          <cell r="F1211" t="b">
            <v>0</v>
          </cell>
          <cell r="G1211">
            <v>10996.9078960798</v>
          </cell>
          <cell r="H1211">
            <v>10874.583265016299</v>
          </cell>
        </row>
        <row r="1212">
          <cell r="B1212" t="str">
            <v>FULTON 1107CB</v>
          </cell>
          <cell r="C1212">
            <v>42561107</v>
          </cell>
          <cell r="D1212" t="str">
            <v>FULTON 1107</v>
          </cell>
          <cell r="E1212" t="str">
            <v>CB</v>
          </cell>
          <cell r="F1212" t="b">
            <v>1</v>
          </cell>
          <cell r="G1212">
            <v>19915.784981262499</v>
          </cell>
          <cell r="H1212">
            <v>875.31778695291598</v>
          </cell>
        </row>
        <row r="1213">
          <cell r="B1213" t="str">
            <v>GABILAN 11013034</v>
          </cell>
          <cell r="C1213">
            <v>182331101</v>
          </cell>
          <cell r="D1213" t="str">
            <v>GABILAN 1101</v>
          </cell>
          <cell r="E1213">
            <v>3034</v>
          </cell>
          <cell r="F1213" t="b">
            <v>1</v>
          </cell>
          <cell r="G1213">
            <v>31905.887075611801</v>
          </cell>
          <cell r="H1213">
            <v>80.337683742833207</v>
          </cell>
        </row>
        <row r="1214">
          <cell r="B1214" t="str">
            <v>GABILAN 1101460414</v>
          </cell>
          <cell r="C1214">
            <v>182331101</v>
          </cell>
          <cell r="D1214" t="str">
            <v>GABILAN 1101</v>
          </cell>
          <cell r="E1214">
            <v>460414</v>
          </cell>
          <cell r="F1214" t="b">
            <v>0</v>
          </cell>
          <cell r="G1214">
            <v>10774.9077155127</v>
          </cell>
          <cell r="H1214">
            <v>8655.1603717350208</v>
          </cell>
        </row>
        <row r="1215">
          <cell r="B1215" t="str">
            <v>GABILAN 1101566352</v>
          </cell>
          <cell r="C1215">
            <v>182331101</v>
          </cell>
          <cell r="D1215" t="str">
            <v>GABILAN 1101</v>
          </cell>
          <cell r="E1215">
            <v>566352</v>
          </cell>
          <cell r="F1215" t="b">
            <v>1</v>
          </cell>
          <cell r="G1215">
            <v>1524.3754677342899</v>
          </cell>
          <cell r="H1215">
            <v>680.75544236502196</v>
          </cell>
        </row>
        <row r="1216">
          <cell r="B1216" t="str">
            <v>GABILAN 1101989608</v>
          </cell>
          <cell r="C1216">
            <v>182331101</v>
          </cell>
          <cell r="D1216" t="str">
            <v>GABILAN 1101</v>
          </cell>
          <cell r="E1216">
            <v>989608</v>
          </cell>
          <cell r="F1216" t="b">
            <v>0</v>
          </cell>
          <cell r="G1216">
            <v>3673.9458128987899</v>
          </cell>
          <cell r="H1216">
            <v>1209.6120327344299</v>
          </cell>
        </row>
        <row r="1217">
          <cell r="B1217" t="str">
            <v>GANSNER 1101174072</v>
          </cell>
          <cell r="C1217">
            <v>103021101</v>
          </cell>
          <cell r="D1217" t="str">
            <v>GANSNER 1101</v>
          </cell>
          <cell r="E1217">
            <v>174072</v>
          </cell>
          <cell r="F1217" t="b">
            <v>1</v>
          </cell>
          <cell r="G1217">
            <v>172.70331944503701</v>
          </cell>
          <cell r="H1217">
            <v>172.70331944503701</v>
          </cell>
        </row>
        <row r="1218">
          <cell r="B1218" t="str">
            <v>GANSNER 11012006</v>
          </cell>
          <cell r="C1218">
            <v>103021101</v>
          </cell>
          <cell r="D1218" t="str">
            <v>GANSNER 1101</v>
          </cell>
          <cell r="E1218">
            <v>2006</v>
          </cell>
          <cell r="F1218" t="b">
            <v>0</v>
          </cell>
          <cell r="G1218">
            <v>27571.188278797399</v>
          </cell>
          <cell r="H1218">
            <v>27571.188278797399</v>
          </cell>
        </row>
        <row r="1219">
          <cell r="B1219" t="str">
            <v>GANSNER 11012424</v>
          </cell>
          <cell r="C1219">
            <v>103021101</v>
          </cell>
          <cell r="D1219" t="str">
            <v>GANSNER 1101</v>
          </cell>
          <cell r="E1219">
            <v>2424</v>
          </cell>
          <cell r="F1219" t="b">
            <v>0</v>
          </cell>
          <cell r="G1219">
            <v>30415.171786995099</v>
          </cell>
          <cell r="H1219">
            <v>30186.903071475801</v>
          </cell>
        </row>
        <row r="1220">
          <cell r="B1220" t="str">
            <v>GANSNER 1101336664</v>
          </cell>
          <cell r="C1220">
            <v>103021101</v>
          </cell>
          <cell r="D1220" t="str">
            <v>GANSNER 1101</v>
          </cell>
          <cell r="E1220">
            <v>336664</v>
          </cell>
          <cell r="F1220" t="b">
            <v>0</v>
          </cell>
          <cell r="G1220">
            <v>2515.5709984987898</v>
          </cell>
          <cell r="H1220">
            <v>1158.7417210928099</v>
          </cell>
        </row>
        <row r="1221">
          <cell r="B1221" t="str">
            <v>GANSNER 1101372132</v>
          </cell>
          <cell r="C1221">
            <v>103021101</v>
          </cell>
          <cell r="D1221" t="str">
            <v>GANSNER 1101</v>
          </cell>
          <cell r="E1221">
            <v>372132</v>
          </cell>
          <cell r="F1221" t="b">
            <v>1</v>
          </cell>
          <cell r="G1221">
            <v>2259.7940038182301</v>
          </cell>
          <cell r="H1221">
            <v>673.222167429975</v>
          </cell>
        </row>
        <row r="1222">
          <cell r="B1222" t="str">
            <v>GANSNER 110137550</v>
          </cell>
          <cell r="C1222">
            <v>103021101</v>
          </cell>
          <cell r="D1222" t="str">
            <v>GANSNER 1101</v>
          </cell>
          <cell r="E1222">
            <v>37550</v>
          </cell>
          <cell r="F1222" t="b">
            <v>1</v>
          </cell>
          <cell r="G1222">
            <v>5259.0815819219797</v>
          </cell>
          <cell r="H1222">
            <v>590.534978186844</v>
          </cell>
        </row>
        <row r="1223">
          <cell r="B1223" t="str">
            <v>GANSNER 1101480328</v>
          </cell>
          <cell r="C1223">
            <v>103021101</v>
          </cell>
          <cell r="D1223" t="str">
            <v>GANSNER 1101</v>
          </cell>
          <cell r="E1223">
            <v>480328</v>
          </cell>
          <cell r="F1223" t="b">
            <v>1</v>
          </cell>
          <cell r="G1223">
            <v>859.32221100784398</v>
          </cell>
          <cell r="H1223">
            <v>472.37502146637098</v>
          </cell>
        </row>
        <row r="1224">
          <cell r="B1224" t="str">
            <v>GANSNER 1101489276</v>
          </cell>
          <cell r="C1224">
            <v>103021101</v>
          </cell>
          <cell r="D1224" t="str">
            <v>GANSNER 1101</v>
          </cell>
          <cell r="E1224">
            <v>489276</v>
          </cell>
          <cell r="F1224" t="b">
            <v>1</v>
          </cell>
          <cell r="G1224">
            <v>1058.1278171364499</v>
          </cell>
          <cell r="H1224">
            <v>723.70023355213095</v>
          </cell>
        </row>
        <row r="1225">
          <cell r="B1225" t="str">
            <v>GANSNER 110152664</v>
          </cell>
          <cell r="C1225">
            <v>103021101</v>
          </cell>
          <cell r="D1225" t="str">
            <v>GANSNER 1101</v>
          </cell>
          <cell r="E1225">
            <v>52664</v>
          </cell>
          <cell r="F1225" t="b">
            <v>1</v>
          </cell>
          <cell r="G1225">
            <v>5174.4008383522296</v>
          </cell>
          <cell r="H1225">
            <v>284.40332342816401</v>
          </cell>
        </row>
        <row r="1226">
          <cell r="B1226" t="str">
            <v>GANSNER 1101590690</v>
          </cell>
          <cell r="C1226">
            <v>103021101</v>
          </cell>
          <cell r="D1226" t="str">
            <v>GANSNER 1101</v>
          </cell>
          <cell r="E1226">
            <v>590690</v>
          </cell>
          <cell r="F1226" t="b">
            <v>1</v>
          </cell>
          <cell r="G1226">
            <v>383.26942121865198</v>
          </cell>
          <cell r="H1226">
            <v>102.030355387838</v>
          </cell>
        </row>
        <row r="1227">
          <cell r="B1227" t="str">
            <v>GARBERVILLE 11011514</v>
          </cell>
          <cell r="C1227">
            <v>192221101</v>
          </cell>
          <cell r="D1227" t="str">
            <v>GARBERVILLE 1101</v>
          </cell>
          <cell r="E1227">
            <v>1514</v>
          </cell>
          <cell r="F1227" t="b">
            <v>0</v>
          </cell>
          <cell r="G1227">
            <v>23767.6371966517</v>
          </cell>
          <cell r="H1227">
            <v>23767.6371966517</v>
          </cell>
        </row>
        <row r="1228">
          <cell r="B1228" t="str">
            <v>GARBERVILLE 11011604</v>
          </cell>
          <cell r="C1228">
            <v>192221101</v>
          </cell>
          <cell r="D1228" t="str">
            <v>GARBERVILLE 1101</v>
          </cell>
          <cell r="E1228">
            <v>1604</v>
          </cell>
          <cell r="F1228" t="b">
            <v>0</v>
          </cell>
          <cell r="G1228">
            <v>29168.7634332052</v>
          </cell>
          <cell r="H1228">
            <v>6733.9297202487196</v>
          </cell>
        </row>
        <row r="1229">
          <cell r="B1229" t="str">
            <v>GARBERVILLE 11011750</v>
          </cell>
          <cell r="C1229">
            <v>192221101</v>
          </cell>
          <cell r="D1229" t="str">
            <v>GARBERVILLE 1101</v>
          </cell>
          <cell r="E1229">
            <v>1750</v>
          </cell>
          <cell r="F1229" t="b">
            <v>0</v>
          </cell>
          <cell r="G1229">
            <v>13589.0424201025</v>
          </cell>
          <cell r="H1229">
            <v>13584.4703983503</v>
          </cell>
        </row>
        <row r="1230">
          <cell r="B1230" t="str">
            <v>GARBERVILLE 11011770</v>
          </cell>
          <cell r="C1230">
            <v>192221101</v>
          </cell>
          <cell r="D1230" t="str">
            <v>GARBERVILLE 1101</v>
          </cell>
          <cell r="E1230">
            <v>1770</v>
          </cell>
          <cell r="F1230" t="b">
            <v>0</v>
          </cell>
          <cell r="G1230">
            <v>13849.8333084515</v>
          </cell>
          <cell r="H1230">
            <v>13849.8333084515</v>
          </cell>
        </row>
        <row r="1231">
          <cell r="B1231" t="str">
            <v>GARBERVILLE 11012026</v>
          </cell>
          <cell r="C1231">
            <v>192221101</v>
          </cell>
          <cell r="D1231" t="str">
            <v>GARBERVILLE 1101</v>
          </cell>
          <cell r="E1231">
            <v>2026</v>
          </cell>
          <cell r="F1231" t="b">
            <v>0</v>
          </cell>
          <cell r="G1231">
            <v>10220.4249039885</v>
          </cell>
          <cell r="H1231">
            <v>10220.4249039885</v>
          </cell>
        </row>
        <row r="1232">
          <cell r="B1232" t="str">
            <v>GARBERVILLE 1101323694</v>
          </cell>
          <cell r="C1232">
            <v>192221101</v>
          </cell>
          <cell r="D1232" t="str">
            <v>GARBERVILLE 1101</v>
          </cell>
          <cell r="E1232">
            <v>323694</v>
          </cell>
          <cell r="F1232" t="b">
            <v>0</v>
          </cell>
          <cell r="G1232">
            <v>10298.186892686401</v>
          </cell>
          <cell r="H1232">
            <v>10298.186892686401</v>
          </cell>
        </row>
        <row r="1233">
          <cell r="B1233" t="str">
            <v>GARBERVILLE 110135706</v>
          </cell>
          <cell r="C1233">
            <v>192221101</v>
          </cell>
          <cell r="D1233" t="str">
            <v>GARBERVILLE 1101</v>
          </cell>
          <cell r="E1233">
            <v>35706</v>
          </cell>
          <cell r="F1233" t="b">
            <v>0</v>
          </cell>
          <cell r="G1233">
            <v>16269.0270110199</v>
          </cell>
          <cell r="H1233">
            <v>16269.0270110199</v>
          </cell>
        </row>
        <row r="1234">
          <cell r="B1234" t="str">
            <v>GARBERVILLE 110139524</v>
          </cell>
          <cell r="C1234">
            <v>192221101</v>
          </cell>
          <cell r="D1234" t="str">
            <v>GARBERVILLE 1101</v>
          </cell>
          <cell r="E1234">
            <v>39524</v>
          </cell>
          <cell r="F1234" t="b">
            <v>0</v>
          </cell>
          <cell r="G1234">
            <v>24862.4082905416</v>
          </cell>
          <cell r="H1234">
            <v>8232.0088908395792</v>
          </cell>
        </row>
        <row r="1235">
          <cell r="B1235" t="str">
            <v>GARBERVILLE 1101438596</v>
          </cell>
          <cell r="C1235">
            <v>192221101</v>
          </cell>
          <cell r="D1235" t="str">
            <v>GARBERVILLE 1101</v>
          </cell>
          <cell r="E1235">
            <v>438596</v>
          </cell>
          <cell r="F1235" t="b">
            <v>0</v>
          </cell>
          <cell r="G1235">
            <v>17736.271587683099</v>
          </cell>
          <cell r="H1235">
            <v>17736.271587683099</v>
          </cell>
        </row>
        <row r="1236">
          <cell r="B1236" t="str">
            <v>GARBERVILLE 110197300</v>
          </cell>
          <cell r="C1236">
            <v>192221101</v>
          </cell>
          <cell r="D1236" t="str">
            <v>GARBERVILLE 1101</v>
          </cell>
          <cell r="E1236">
            <v>97300</v>
          </cell>
          <cell r="F1236" t="b">
            <v>0</v>
          </cell>
          <cell r="G1236">
            <v>5161.3801702711098</v>
          </cell>
          <cell r="H1236">
            <v>5161.3801702711098</v>
          </cell>
        </row>
        <row r="1237">
          <cell r="B1237" t="str">
            <v>GARBERVILLE 1101CB</v>
          </cell>
          <cell r="C1237">
            <v>192221101</v>
          </cell>
          <cell r="D1237" t="str">
            <v>GARBERVILLE 1101</v>
          </cell>
          <cell r="E1237" t="str">
            <v>CB</v>
          </cell>
          <cell r="F1237" t="b">
            <v>0</v>
          </cell>
          <cell r="G1237">
            <v>14152.8775153928</v>
          </cell>
          <cell r="H1237">
            <v>11300.059642989299</v>
          </cell>
        </row>
        <row r="1238">
          <cell r="B1238" t="str">
            <v>GARBERVILLE 11021510</v>
          </cell>
          <cell r="C1238">
            <v>192221102</v>
          </cell>
          <cell r="D1238" t="str">
            <v>GARBERVILLE 1102</v>
          </cell>
          <cell r="E1238">
            <v>1510</v>
          </cell>
          <cell r="F1238" t="b">
            <v>0</v>
          </cell>
          <cell r="G1238">
            <v>21171.828541335999</v>
          </cell>
          <cell r="H1238">
            <v>21171.828541335999</v>
          </cell>
        </row>
        <row r="1239">
          <cell r="B1239" t="str">
            <v>GARBERVILLE 11022010</v>
          </cell>
          <cell r="C1239">
            <v>192221102</v>
          </cell>
          <cell r="D1239" t="str">
            <v>GARBERVILLE 1102</v>
          </cell>
          <cell r="E1239">
            <v>2010</v>
          </cell>
          <cell r="F1239" t="b">
            <v>0</v>
          </cell>
          <cell r="G1239">
            <v>10727.9171384487</v>
          </cell>
          <cell r="H1239">
            <v>10727.9171384487</v>
          </cell>
        </row>
        <row r="1240">
          <cell r="B1240" t="str">
            <v>GARBERVILLE 11022124</v>
          </cell>
          <cell r="C1240">
            <v>192221102</v>
          </cell>
          <cell r="D1240" t="str">
            <v>GARBERVILLE 1102</v>
          </cell>
          <cell r="E1240">
            <v>2124</v>
          </cell>
          <cell r="F1240" t="b">
            <v>0</v>
          </cell>
          <cell r="G1240">
            <v>5026.2321938859304</v>
          </cell>
          <cell r="H1240">
            <v>5026.2321938859304</v>
          </cell>
        </row>
        <row r="1241">
          <cell r="B1241" t="str">
            <v>GARBERVILLE 11022500</v>
          </cell>
          <cell r="C1241">
            <v>192221102</v>
          </cell>
          <cell r="D1241" t="str">
            <v>GARBERVILLE 1102</v>
          </cell>
          <cell r="E1241">
            <v>2500</v>
          </cell>
          <cell r="F1241" t="b">
            <v>0</v>
          </cell>
          <cell r="G1241">
            <v>25777.188445160798</v>
          </cell>
          <cell r="H1241">
            <v>25777.188445160798</v>
          </cell>
        </row>
        <row r="1242">
          <cell r="B1242" t="str">
            <v>GARBERVILLE 11022540</v>
          </cell>
          <cell r="C1242">
            <v>192221102</v>
          </cell>
          <cell r="D1242" t="str">
            <v>GARBERVILLE 1102</v>
          </cell>
          <cell r="E1242">
            <v>2540</v>
          </cell>
          <cell r="F1242" t="b">
            <v>0</v>
          </cell>
          <cell r="G1242">
            <v>28748.593411903799</v>
          </cell>
          <cell r="H1242">
            <v>26122.343122066901</v>
          </cell>
        </row>
        <row r="1243">
          <cell r="B1243" t="str">
            <v>GARBERVILLE 110237054</v>
          </cell>
          <cell r="C1243">
            <v>192221102</v>
          </cell>
          <cell r="D1243" t="str">
            <v>GARBERVILLE 1102</v>
          </cell>
          <cell r="E1243">
            <v>37054</v>
          </cell>
          <cell r="F1243" t="b">
            <v>0</v>
          </cell>
          <cell r="G1243">
            <v>14849.4037857884</v>
          </cell>
          <cell r="H1243">
            <v>14394.2329584975</v>
          </cell>
        </row>
        <row r="1244">
          <cell r="B1244" t="str">
            <v>GARBERVILLE 11024744</v>
          </cell>
          <cell r="C1244">
            <v>192221102</v>
          </cell>
          <cell r="D1244" t="str">
            <v>GARBERVILLE 1102</v>
          </cell>
          <cell r="E1244">
            <v>4744</v>
          </cell>
          <cell r="F1244" t="b">
            <v>0</v>
          </cell>
          <cell r="G1244">
            <v>32972.177128712698</v>
          </cell>
          <cell r="H1244">
            <v>27938.053599820701</v>
          </cell>
        </row>
        <row r="1245">
          <cell r="B1245" t="str">
            <v>GARBERVILLE 110256048</v>
          </cell>
          <cell r="C1245">
            <v>192221102</v>
          </cell>
          <cell r="D1245" t="str">
            <v>GARBERVILLE 1102</v>
          </cell>
          <cell r="E1245">
            <v>56048</v>
          </cell>
          <cell r="F1245" t="b">
            <v>0</v>
          </cell>
          <cell r="G1245">
            <v>8009.5026436896596</v>
          </cell>
          <cell r="H1245">
            <v>8009.5026436896596</v>
          </cell>
        </row>
        <row r="1246">
          <cell r="B1246" t="str">
            <v>GARBERVILLE 11026084</v>
          </cell>
          <cell r="C1246">
            <v>192221102</v>
          </cell>
          <cell r="D1246" t="str">
            <v>GARBERVILLE 1102</v>
          </cell>
          <cell r="E1246">
            <v>6084</v>
          </cell>
          <cell r="F1246" t="b">
            <v>0</v>
          </cell>
          <cell r="G1246">
            <v>24635.353523770598</v>
          </cell>
          <cell r="H1246">
            <v>24635.353523770598</v>
          </cell>
        </row>
        <row r="1247">
          <cell r="B1247" t="str">
            <v>GARBERVILLE 11028189</v>
          </cell>
          <cell r="C1247">
            <v>192221102</v>
          </cell>
          <cell r="D1247" t="str">
            <v>GARBERVILLE 1102</v>
          </cell>
          <cell r="E1247">
            <v>8189</v>
          </cell>
          <cell r="F1247" t="b">
            <v>0</v>
          </cell>
          <cell r="G1247">
            <v>1685.44011153374</v>
          </cell>
          <cell r="H1247">
            <v>1685.44011153374</v>
          </cell>
        </row>
        <row r="1248">
          <cell r="B1248" t="str">
            <v>GARBERVILLE 11028652</v>
          </cell>
          <cell r="C1248">
            <v>192221102</v>
          </cell>
          <cell r="D1248" t="str">
            <v>GARBERVILLE 1102</v>
          </cell>
          <cell r="E1248">
            <v>8652</v>
          </cell>
          <cell r="F1248" t="b">
            <v>0</v>
          </cell>
          <cell r="G1248">
            <v>21158.904563084299</v>
          </cell>
          <cell r="H1248">
            <v>21158.904563084299</v>
          </cell>
        </row>
        <row r="1249">
          <cell r="B1249" t="str">
            <v>GARBERVILLE 1102CB</v>
          </cell>
          <cell r="C1249">
            <v>192221102</v>
          </cell>
          <cell r="D1249" t="str">
            <v>GARBERVILLE 1102</v>
          </cell>
          <cell r="E1249" t="str">
            <v>CB</v>
          </cell>
          <cell r="F1249" t="b">
            <v>0</v>
          </cell>
          <cell r="G1249">
            <v>26803.133546779201</v>
          </cell>
          <cell r="H1249">
            <v>19300.4618228125</v>
          </cell>
        </row>
        <row r="1250">
          <cell r="B1250" t="str">
            <v>GARBERVILLE 1103CB</v>
          </cell>
          <cell r="C1250">
            <v>192221103</v>
          </cell>
          <cell r="D1250" t="str">
            <v>GARBERVILLE 1103</v>
          </cell>
          <cell r="E1250" t="str">
            <v>CB</v>
          </cell>
          <cell r="F1250" t="b">
            <v>1</v>
          </cell>
          <cell r="G1250">
            <v>3592.4976307934198</v>
          </cell>
          <cell r="H1250">
            <v>971.39061793895905</v>
          </cell>
        </row>
        <row r="1251">
          <cell r="B1251" t="str">
            <v>GARCIA 0401666</v>
          </cell>
          <cell r="C1251">
            <v>43040401</v>
          </cell>
          <cell r="D1251" t="str">
            <v>GARCIA 0401</v>
          </cell>
          <cell r="E1251">
            <v>666</v>
          </cell>
          <cell r="F1251" t="b">
            <v>0</v>
          </cell>
          <cell r="G1251">
            <v>3872.5577473593198</v>
          </cell>
          <cell r="H1251">
            <v>3872.5577473593198</v>
          </cell>
        </row>
        <row r="1252">
          <cell r="B1252" t="str">
            <v>GARCIA 0401CB</v>
          </cell>
          <cell r="C1252">
            <v>43040401</v>
          </cell>
          <cell r="D1252" t="str">
            <v>GARCIA 0401</v>
          </cell>
          <cell r="E1252" t="str">
            <v>CB</v>
          </cell>
          <cell r="F1252" t="b">
            <v>1</v>
          </cell>
          <cell r="G1252">
            <v>46.7109570347898</v>
          </cell>
          <cell r="H1252">
            <v>46.7109570347898</v>
          </cell>
        </row>
        <row r="1253">
          <cell r="B1253" t="str">
            <v>GEYSERVILLE 1101122</v>
          </cell>
          <cell r="C1253">
            <v>42891101</v>
          </cell>
          <cell r="D1253" t="str">
            <v>GEYSERVILLE 1101</v>
          </cell>
          <cell r="E1253">
            <v>122</v>
          </cell>
          <cell r="F1253" t="b">
            <v>0</v>
          </cell>
          <cell r="G1253">
            <v>11125.6879818038</v>
          </cell>
          <cell r="H1253">
            <v>2112.7276339826199</v>
          </cell>
        </row>
        <row r="1254">
          <cell r="B1254" t="str">
            <v>GEYSERVILLE 1101166</v>
          </cell>
          <cell r="C1254">
            <v>42891101</v>
          </cell>
          <cell r="D1254" t="str">
            <v>GEYSERVILLE 1101</v>
          </cell>
          <cell r="E1254">
            <v>166</v>
          </cell>
          <cell r="F1254" t="b">
            <v>0</v>
          </cell>
          <cell r="G1254">
            <v>15936.751710636299</v>
          </cell>
          <cell r="H1254">
            <v>9969.1209060369692</v>
          </cell>
        </row>
        <row r="1255">
          <cell r="B1255" t="str">
            <v>GEYSERVILLE 1101216442</v>
          </cell>
          <cell r="C1255">
            <v>42891101</v>
          </cell>
          <cell r="D1255" t="str">
            <v>GEYSERVILLE 1101</v>
          </cell>
          <cell r="E1255">
            <v>216442</v>
          </cell>
          <cell r="F1255" t="b">
            <v>1</v>
          </cell>
          <cell r="G1255">
            <v>327.43614739578601</v>
          </cell>
          <cell r="H1255">
            <v>327.43614739578601</v>
          </cell>
        </row>
        <row r="1256">
          <cell r="B1256" t="str">
            <v>GEYSERVILLE 1101354</v>
          </cell>
          <cell r="C1256">
            <v>42891101</v>
          </cell>
          <cell r="D1256" t="str">
            <v>GEYSERVILLE 1101</v>
          </cell>
          <cell r="E1256">
            <v>354</v>
          </cell>
          <cell r="F1256" t="b">
            <v>0</v>
          </cell>
          <cell r="G1256">
            <v>12035.376533267599</v>
          </cell>
          <cell r="H1256">
            <v>1010.20259369822</v>
          </cell>
        </row>
        <row r="1257">
          <cell r="B1257" t="str">
            <v>GEYSERVILLE 110135492</v>
          </cell>
          <cell r="C1257">
            <v>42891101</v>
          </cell>
          <cell r="D1257" t="str">
            <v>GEYSERVILLE 1101</v>
          </cell>
          <cell r="E1257">
            <v>35492</v>
          </cell>
          <cell r="F1257" t="b">
            <v>0</v>
          </cell>
          <cell r="G1257">
            <v>34847.167800372699</v>
          </cell>
          <cell r="H1257">
            <v>16074.9759895146</v>
          </cell>
        </row>
        <row r="1258">
          <cell r="B1258" t="str">
            <v>GEYSERVILLE 110137454</v>
          </cell>
          <cell r="C1258">
            <v>42891101</v>
          </cell>
          <cell r="D1258" t="str">
            <v>GEYSERVILLE 1101</v>
          </cell>
          <cell r="E1258">
            <v>37454</v>
          </cell>
          <cell r="F1258" t="b">
            <v>0</v>
          </cell>
          <cell r="G1258">
            <v>19681.607431651399</v>
          </cell>
          <cell r="H1258">
            <v>10482.9728611152</v>
          </cell>
        </row>
        <row r="1259">
          <cell r="B1259" t="str">
            <v>GEYSERVILLE 1101463260</v>
          </cell>
          <cell r="C1259">
            <v>42891101</v>
          </cell>
          <cell r="D1259" t="str">
            <v>GEYSERVILLE 1101</v>
          </cell>
          <cell r="E1259">
            <v>463260</v>
          </cell>
          <cell r="F1259" t="b">
            <v>1</v>
          </cell>
          <cell r="G1259">
            <v>886.16902461542895</v>
          </cell>
          <cell r="H1259">
            <v>873.71318660484098</v>
          </cell>
        </row>
        <row r="1260">
          <cell r="B1260" t="str">
            <v>GEYSERVILLE 1101480</v>
          </cell>
          <cell r="C1260">
            <v>42891101</v>
          </cell>
          <cell r="D1260" t="str">
            <v>GEYSERVILLE 1101</v>
          </cell>
          <cell r="E1260">
            <v>480</v>
          </cell>
          <cell r="F1260" t="b">
            <v>0</v>
          </cell>
          <cell r="G1260">
            <v>25809.660578221301</v>
          </cell>
          <cell r="H1260">
            <v>2502.4894099593298</v>
          </cell>
        </row>
        <row r="1261">
          <cell r="B1261" t="str">
            <v>GEYSERVILLE 1101482</v>
          </cell>
          <cell r="C1261">
            <v>42891101</v>
          </cell>
          <cell r="D1261" t="str">
            <v>GEYSERVILLE 1101</v>
          </cell>
          <cell r="E1261">
            <v>482</v>
          </cell>
          <cell r="F1261" t="b">
            <v>1</v>
          </cell>
          <cell r="G1261">
            <v>6000.10689957661</v>
          </cell>
          <cell r="H1261">
            <v>595.05550162313102</v>
          </cell>
        </row>
        <row r="1262">
          <cell r="B1262" t="str">
            <v>GEYSERVILLE 1101705777</v>
          </cell>
          <cell r="C1262">
            <v>42891101</v>
          </cell>
          <cell r="D1262" t="str">
            <v>GEYSERVILLE 1101</v>
          </cell>
          <cell r="E1262">
            <v>705777</v>
          </cell>
          <cell r="F1262" t="b">
            <v>0</v>
          </cell>
          <cell r="G1262">
            <v>9890.0743508248597</v>
          </cell>
          <cell r="H1262">
            <v>9890.0743508248597</v>
          </cell>
        </row>
        <row r="1263">
          <cell r="B1263" t="str">
            <v>GEYSERVILLE 1101711966</v>
          </cell>
          <cell r="C1263">
            <v>42891101</v>
          </cell>
          <cell r="D1263" t="str">
            <v>GEYSERVILLE 1101</v>
          </cell>
          <cell r="E1263">
            <v>711966</v>
          </cell>
          <cell r="F1263" t="b">
            <v>0</v>
          </cell>
          <cell r="G1263">
            <v>19227.292381982799</v>
          </cell>
          <cell r="H1263">
            <v>6326.0450462302297</v>
          </cell>
        </row>
        <row r="1264">
          <cell r="B1264" t="str">
            <v>GEYSERVILLE 110179788</v>
          </cell>
          <cell r="C1264">
            <v>42891101</v>
          </cell>
          <cell r="D1264" t="str">
            <v>GEYSERVILLE 1101</v>
          </cell>
          <cell r="E1264">
            <v>79788</v>
          </cell>
          <cell r="F1264" t="b">
            <v>0</v>
          </cell>
          <cell r="G1264">
            <v>67378.029867447098</v>
          </cell>
          <cell r="H1264">
            <v>63661.574599588799</v>
          </cell>
        </row>
        <row r="1265">
          <cell r="B1265" t="str">
            <v>GEYSERVILLE 1101975350</v>
          </cell>
          <cell r="C1265">
            <v>42891101</v>
          </cell>
          <cell r="D1265" t="str">
            <v>GEYSERVILLE 1101</v>
          </cell>
          <cell r="E1265">
            <v>975350</v>
          </cell>
          <cell r="F1265" t="b">
            <v>1</v>
          </cell>
          <cell r="G1265">
            <v>405.33943330090398</v>
          </cell>
          <cell r="H1265">
            <v>73.106516198612098</v>
          </cell>
        </row>
        <row r="1266">
          <cell r="B1266" t="str">
            <v>GEYSERVILLE 1102180193</v>
          </cell>
          <cell r="C1266">
            <v>42891102</v>
          </cell>
          <cell r="D1266" t="str">
            <v>GEYSERVILLE 1102</v>
          </cell>
          <cell r="E1266">
            <v>180193</v>
          </cell>
          <cell r="F1266" t="b">
            <v>0</v>
          </cell>
          <cell r="G1266">
            <v>3981.7249650857202</v>
          </cell>
          <cell r="H1266">
            <v>3477.0858042421901</v>
          </cell>
        </row>
        <row r="1267">
          <cell r="B1267" t="str">
            <v>GEYSERVILLE 1102220154</v>
          </cell>
          <cell r="C1267">
            <v>42891102</v>
          </cell>
          <cell r="D1267" t="str">
            <v>GEYSERVILLE 1102</v>
          </cell>
          <cell r="E1267">
            <v>220154</v>
          </cell>
          <cell r="F1267" t="b">
            <v>1</v>
          </cell>
          <cell r="G1267">
            <v>4466.0623667395903</v>
          </cell>
          <cell r="H1267">
            <v>427.79408311873499</v>
          </cell>
        </row>
        <row r="1268">
          <cell r="B1268" t="str">
            <v>GEYSERVILLE 1102274</v>
          </cell>
          <cell r="C1268">
            <v>42891102</v>
          </cell>
          <cell r="D1268" t="str">
            <v>GEYSERVILLE 1102</v>
          </cell>
          <cell r="E1268">
            <v>274</v>
          </cell>
          <cell r="F1268" t="b">
            <v>0</v>
          </cell>
          <cell r="G1268">
            <v>29743.7390413387</v>
          </cell>
          <cell r="H1268">
            <v>10398.212670839201</v>
          </cell>
        </row>
        <row r="1269">
          <cell r="B1269" t="str">
            <v>GEYSERVILLE 1102331444</v>
          </cell>
          <cell r="C1269">
            <v>42891102</v>
          </cell>
          <cell r="D1269" t="str">
            <v>GEYSERVILLE 1102</v>
          </cell>
          <cell r="E1269">
            <v>331444</v>
          </cell>
          <cell r="F1269" t="b">
            <v>0</v>
          </cell>
          <cell r="G1269">
            <v>7051.4008155337197</v>
          </cell>
          <cell r="H1269">
            <v>3579.9473912838898</v>
          </cell>
        </row>
        <row r="1270">
          <cell r="B1270" t="str">
            <v>GEYSERVILLE 1102350</v>
          </cell>
          <cell r="C1270">
            <v>42891102</v>
          </cell>
          <cell r="D1270" t="str">
            <v>GEYSERVILLE 1102</v>
          </cell>
          <cell r="E1270">
            <v>350</v>
          </cell>
          <cell r="F1270" t="b">
            <v>0</v>
          </cell>
          <cell r="G1270">
            <v>31334.245964508402</v>
          </cell>
          <cell r="H1270">
            <v>8365.2365488941305</v>
          </cell>
        </row>
        <row r="1271">
          <cell r="B1271" t="str">
            <v>GEYSERVILLE 1102484</v>
          </cell>
          <cell r="C1271">
            <v>42891102</v>
          </cell>
          <cell r="D1271" t="str">
            <v>GEYSERVILLE 1102</v>
          </cell>
          <cell r="E1271">
            <v>484</v>
          </cell>
          <cell r="F1271" t="b">
            <v>0</v>
          </cell>
          <cell r="G1271">
            <v>78528.193525714698</v>
          </cell>
          <cell r="H1271">
            <v>53688.808185872003</v>
          </cell>
        </row>
        <row r="1272">
          <cell r="B1272" t="str">
            <v>GEYSERVILLE 1102522</v>
          </cell>
          <cell r="C1272">
            <v>42891102</v>
          </cell>
          <cell r="D1272" t="str">
            <v>GEYSERVILLE 1102</v>
          </cell>
          <cell r="E1272">
            <v>522</v>
          </cell>
          <cell r="F1272" t="b">
            <v>0</v>
          </cell>
          <cell r="G1272">
            <v>17218.243502067398</v>
          </cell>
          <cell r="H1272">
            <v>12875.779166410999</v>
          </cell>
        </row>
        <row r="1273">
          <cell r="B1273" t="str">
            <v>GEYSERVILLE 1102537096</v>
          </cell>
          <cell r="C1273">
            <v>42891102</v>
          </cell>
          <cell r="D1273" t="str">
            <v>GEYSERVILLE 1102</v>
          </cell>
          <cell r="E1273">
            <v>537096</v>
          </cell>
          <cell r="F1273" t="b">
            <v>1</v>
          </cell>
          <cell r="G1273">
            <v>844.14627885659002</v>
          </cell>
          <cell r="H1273">
            <v>775.97652439103604</v>
          </cell>
        </row>
        <row r="1274">
          <cell r="B1274" t="str">
            <v>GEYSERVILLE 1102756</v>
          </cell>
          <cell r="C1274">
            <v>42891102</v>
          </cell>
          <cell r="D1274" t="str">
            <v>GEYSERVILLE 1102</v>
          </cell>
          <cell r="E1274">
            <v>756</v>
          </cell>
          <cell r="F1274" t="b">
            <v>1</v>
          </cell>
          <cell r="G1274">
            <v>948.40778643649196</v>
          </cell>
          <cell r="H1274">
            <v>948.40778643649196</v>
          </cell>
        </row>
        <row r="1275">
          <cell r="B1275" t="str">
            <v>GEYSERVILLE 110289714</v>
          </cell>
          <cell r="C1275">
            <v>42891102</v>
          </cell>
          <cell r="D1275" t="str">
            <v>GEYSERVILLE 1102</v>
          </cell>
          <cell r="E1275">
            <v>89714</v>
          </cell>
          <cell r="F1275" t="b">
            <v>1</v>
          </cell>
          <cell r="G1275">
            <v>11363.664962373699</v>
          </cell>
          <cell r="H1275">
            <v>178.22780140950201</v>
          </cell>
        </row>
        <row r="1276">
          <cell r="B1276" t="str">
            <v>GIRVAN 11011330</v>
          </cell>
          <cell r="C1276">
            <v>103401101</v>
          </cell>
          <cell r="D1276" t="str">
            <v>GIRVAN 1101</v>
          </cell>
          <cell r="E1276">
            <v>1330</v>
          </cell>
          <cell r="F1276" t="b">
            <v>0</v>
          </cell>
          <cell r="G1276">
            <v>50161.9848623293</v>
          </cell>
          <cell r="H1276">
            <v>49990.9130370696</v>
          </cell>
        </row>
        <row r="1277">
          <cell r="B1277" t="str">
            <v>GIRVAN 11011636</v>
          </cell>
          <cell r="C1277">
            <v>103401101</v>
          </cell>
          <cell r="D1277" t="str">
            <v>GIRVAN 1101</v>
          </cell>
          <cell r="E1277">
            <v>1636</v>
          </cell>
          <cell r="F1277" t="b">
            <v>0</v>
          </cell>
          <cell r="G1277">
            <v>29887.630268864701</v>
          </cell>
          <cell r="H1277">
            <v>29071.179977989199</v>
          </cell>
        </row>
        <row r="1278">
          <cell r="B1278" t="str">
            <v>GIRVAN 1101323094</v>
          </cell>
          <cell r="C1278">
            <v>103401101</v>
          </cell>
          <cell r="D1278" t="str">
            <v>GIRVAN 1101</v>
          </cell>
          <cell r="E1278">
            <v>323094</v>
          </cell>
          <cell r="F1278" t="b">
            <v>0</v>
          </cell>
          <cell r="G1278">
            <v>58176.481508230303</v>
          </cell>
          <cell r="H1278">
            <v>58176.481508230303</v>
          </cell>
        </row>
        <row r="1279">
          <cell r="B1279" t="str">
            <v>GIRVAN 11019732</v>
          </cell>
          <cell r="C1279">
            <v>103401101</v>
          </cell>
          <cell r="D1279" t="str">
            <v>GIRVAN 1101</v>
          </cell>
          <cell r="E1279">
            <v>9732</v>
          </cell>
          <cell r="F1279" t="b">
            <v>0</v>
          </cell>
          <cell r="G1279">
            <v>33758.890753389598</v>
          </cell>
          <cell r="H1279">
            <v>33758.890753389598</v>
          </cell>
        </row>
        <row r="1280">
          <cell r="B1280" t="str">
            <v>GIRVAN 1101CB</v>
          </cell>
          <cell r="C1280">
            <v>103401101</v>
          </cell>
          <cell r="D1280" t="str">
            <v>GIRVAN 1101</v>
          </cell>
          <cell r="E1280" t="str">
            <v>CB</v>
          </cell>
          <cell r="F1280" t="b">
            <v>0</v>
          </cell>
          <cell r="G1280">
            <v>5303.1930477934302</v>
          </cell>
          <cell r="H1280">
            <v>2471.5391872801001</v>
          </cell>
        </row>
        <row r="1281">
          <cell r="B1281" t="str">
            <v>GIRVAN 11021028</v>
          </cell>
          <cell r="C1281">
            <v>103401102</v>
          </cell>
          <cell r="D1281" t="str">
            <v>GIRVAN 1102</v>
          </cell>
          <cell r="E1281">
            <v>1028</v>
          </cell>
          <cell r="F1281" t="b">
            <v>0</v>
          </cell>
          <cell r="G1281">
            <v>28404.106336974699</v>
          </cell>
          <cell r="H1281">
            <v>28404.106336974699</v>
          </cell>
        </row>
        <row r="1282">
          <cell r="B1282" t="str">
            <v>GIRVAN 1102212096</v>
          </cell>
          <cell r="C1282">
            <v>103401102</v>
          </cell>
          <cell r="D1282" t="str">
            <v>GIRVAN 1102</v>
          </cell>
          <cell r="E1282">
            <v>212096</v>
          </cell>
          <cell r="F1282" t="b">
            <v>0</v>
          </cell>
          <cell r="G1282">
            <v>6500.9175170778899</v>
          </cell>
          <cell r="H1282">
            <v>4124.0158552742096</v>
          </cell>
        </row>
        <row r="1283">
          <cell r="B1283" t="str">
            <v>GIRVAN 1102296428</v>
          </cell>
          <cell r="C1283">
            <v>103401102</v>
          </cell>
          <cell r="D1283" t="str">
            <v>GIRVAN 1102</v>
          </cell>
          <cell r="E1283">
            <v>296428</v>
          </cell>
          <cell r="F1283" t="b">
            <v>0</v>
          </cell>
          <cell r="G1283">
            <v>5326.8427303470598</v>
          </cell>
          <cell r="H1283">
            <v>2768.6123590867201</v>
          </cell>
        </row>
        <row r="1284">
          <cell r="B1284" t="str">
            <v>GIRVAN 110280726</v>
          </cell>
          <cell r="C1284">
            <v>103401102</v>
          </cell>
          <cell r="D1284" t="str">
            <v>GIRVAN 1102</v>
          </cell>
          <cell r="E1284">
            <v>80726</v>
          </cell>
          <cell r="F1284" t="b">
            <v>0</v>
          </cell>
          <cell r="G1284">
            <v>29692.475976201698</v>
          </cell>
          <cell r="H1284">
            <v>12661.491767124</v>
          </cell>
        </row>
        <row r="1285">
          <cell r="B1285" t="str">
            <v>GIRVAN 11029012</v>
          </cell>
          <cell r="C1285">
            <v>103401102</v>
          </cell>
          <cell r="D1285" t="str">
            <v>GIRVAN 1102</v>
          </cell>
          <cell r="E1285">
            <v>9012</v>
          </cell>
          <cell r="F1285" t="b">
            <v>0</v>
          </cell>
          <cell r="G1285">
            <v>25166.214179096802</v>
          </cell>
          <cell r="H1285">
            <v>25166.214179096802</v>
          </cell>
        </row>
        <row r="1286">
          <cell r="B1286" t="str">
            <v>GIRVAN 1102CB</v>
          </cell>
          <cell r="C1286">
            <v>103401102</v>
          </cell>
          <cell r="D1286" t="str">
            <v>GIRVAN 1102</v>
          </cell>
          <cell r="E1286" t="str">
            <v>CB</v>
          </cell>
          <cell r="F1286" t="b">
            <v>0</v>
          </cell>
          <cell r="G1286">
            <v>22008.73102879</v>
          </cell>
          <cell r="H1286">
            <v>1759.28665644173</v>
          </cell>
        </row>
        <row r="1287">
          <cell r="B1287" t="str">
            <v>GLENN 11012012</v>
          </cell>
          <cell r="C1287">
            <v>102601101</v>
          </cell>
          <cell r="D1287" t="str">
            <v>GLENN 1101</v>
          </cell>
          <cell r="E1287">
            <v>2012</v>
          </cell>
          <cell r="F1287" t="b">
            <v>0</v>
          </cell>
          <cell r="G1287">
            <v>48303.695181347503</v>
          </cell>
          <cell r="H1287">
            <v>3708.2990738992899</v>
          </cell>
        </row>
        <row r="1288">
          <cell r="B1288" t="str">
            <v>GOLDTREE 1105551904</v>
          </cell>
          <cell r="C1288">
            <v>182581105</v>
          </cell>
          <cell r="D1288" t="str">
            <v>GOLDTREE 1105</v>
          </cell>
          <cell r="E1288">
            <v>551904</v>
          </cell>
          <cell r="F1288" t="b">
            <v>1</v>
          </cell>
          <cell r="G1288">
            <v>35.717778445594497</v>
          </cell>
          <cell r="H1288">
            <v>35.717778445594497</v>
          </cell>
        </row>
        <row r="1289">
          <cell r="B1289" t="str">
            <v>GOLDTREE 1105CB</v>
          </cell>
          <cell r="C1289">
            <v>182581105</v>
          </cell>
          <cell r="D1289" t="str">
            <v>GOLDTREE 1105</v>
          </cell>
          <cell r="E1289" t="str">
            <v>CB</v>
          </cell>
          <cell r="F1289" t="b">
            <v>0</v>
          </cell>
          <cell r="G1289">
            <v>15108.5070561762</v>
          </cell>
          <cell r="H1289">
            <v>11908.4790020377</v>
          </cell>
        </row>
        <row r="1290">
          <cell r="B1290" t="str">
            <v>GOLDTREE 1107CB</v>
          </cell>
          <cell r="C1290">
            <v>182581107</v>
          </cell>
          <cell r="D1290" t="str">
            <v>GOLDTREE 1107</v>
          </cell>
          <cell r="E1290" t="str">
            <v>CB</v>
          </cell>
          <cell r="F1290" t="b">
            <v>0</v>
          </cell>
          <cell r="G1290">
            <v>5578.7405296162597</v>
          </cell>
          <cell r="H1290">
            <v>1480.1268076070501</v>
          </cell>
        </row>
        <row r="1291">
          <cell r="B1291" t="str">
            <v>GOLDTREE 1108CB</v>
          </cell>
          <cell r="C1291">
            <v>182581108</v>
          </cell>
          <cell r="D1291" t="str">
            <v>GOLDTREE 1108</v>
          </cell>
          <cell r="E1291" t="str">
            <v>CB</v>
          </cell>
          <cell r="F1291" t="b">
            <v>0</v>
          </cell>
          <cell r="G1291">
            <v>7803.12322267128</v>
          </cell>
          <cell r="H1291">
            <v>3646.1026205334301</v>
          </cell>
        </row>
        <row r="1292">
          <cell r="B1292" t="str">
            <v>GONZALES 11013094</v>
          </cell>
          <cell r="C1292">
            <v>182131101</v>
          </cell>
          <cell r="D1292" t="str">
            <v>GONZALES 1101</v>
          </cell>
          <cell r="E1292">
            <v>3094</v>
          </cell>
          <cell r="F1292" t="b">
            <v>0</v>
          </cell>
          <cell r="G1292">
            <v>14546.7613429311</v>
          </cell>
          <cell r="H1292">
            <v>6578.8406352042002</v>
          </cell>
        </row>
        <row r="1293">
          <cell r="B1293" t="str">
            <v>GONZALES 1104415382</v>
          </cell>
          <cell r="C1293">
            <v>182131104</v>
          </cell>
          <cell r="D1293" t="str">
            <v>GONZALES 1104</v>
          </cell>
          <cell r="E1293">
            <v>415382</v>
          </cell>
          <cell r="F1293" t="b">
            <v>1</v>
          </cell>
          <cell r="G1293">
            <v>1920.35884704307</v>
          </cell>
          <cell r="H1293">
            <v>97.0432624674837</v>
          </cell>
        </row>
        <row r="1294">
          <cell r="B1294" t="str">
            <v>GONZALES 1104807000</v>
          </cell>
          <cell r="C1294">
            <v>182131104</v>
          </cell>
          <cell r="D1294" t="str">
            <v>GONZALES 1104</v>
          </cell>
          <cell r="E1294">
            <v>807000</v>
          </cell>
          <cell r="F1294" t="b">
            <v>0</v>
          </cell>
          <cell r="G1294">
            <v>1709.8583957199201</v>
          </cell>
          <cell r="H1294">
            <v>1354.2940863408101</v>
          </cell>
        </row>
        <row r="1295">
          <cell r="B1295" t="str">
            <v>GRASS VALLEY 11012208</v>
          </cell>
          <cell r="C1295">
            <v>152031101</v>
          </cell>
          <cell r="D1295" t="str">
            <v>GRASS VALLEY 1101</v>
          </cell>
          <cell r="E1295">
            <v>2208</v>
          </cell>
          <cell r="F1295" t="b">
            <v>0</v>
          </cell>
          <cell r="G1295">
            <v>20533.410865301299</v>
          </cell>
          <cell r="H1295">
            <v>18971.647003520899</v>
          </cell>
        </row>
        <row r="1296">
          <cell r="B1296" t="str">
            <v>GRASS VALLEY 11012766</v>
          </cell>
          <cell r="C1296">
            <v>152031101</v>
          </cell>
          <cell r="D1296" t="str">
            <v>GRASS VALLEY 1101</v>
          </cell>
          <cell r="E1296">
            <v>2766</v>
          </cell>
          <cell r="F1296" t="b">
            <v>0</v>
          </cell>
          <cell r="G1296">
            <v>5300.5619894729298</v>
          </cell>
          <cell r="H1296">
            <v>5300.5619894729298</v>
          </cell>
        </row>
        <row r="1297">
          <cell r="B1297" t="str">
            <v>GRASS VALLEY 1101528232</v>
          </cell>
          <cell r="C1297">
            <v>152031101</v>
          </cell>
          <cell r="D1297" t="str">
            <v>GRASS VALLEY 1101</v>
          </cell>
          <cell r="E1297">
            <v>528232</v>
          </cell>
          <cell r="F1297" t="b">
            <v>1</v>
          </cell>
          <cell r="G1297">
            <v>149.650165819291</v>
          </cell>
          <cell r="H1297">
            <v>149.650165819291</v>
          </cell>
        </row>
        <row r="1298">
          <cell r="B1298" t="str">
            <v>GRASS VALLEY 1101750804</v>
          </cell>
          <cell r="C1298">
            <v>152031101</v>
          </cell>
          <cell r="D1298" t="str">
            <v>GRASS VALLEY 1101</v>
          </cell>
          <cell r="E1298">
            <v>750804</v>
          </cell>
          <cell r="F1298" t="b">
            <v>1</v>
          </cell>
          <cell r="G1298">
            <v>449.41601802685602</v>
          </cell>
          <cell r="H1298">
            <v>390.06764939154999</v>
          </cell>
        </row>
        <row r="1299">
          <cell r="B1299" t="str">
            <v>GRASS VALLEY 1101CB</v>
          </cell>
          <cell r="C1299">
            <v>152031101</v>
          </cell>
          <cell r="D1299" t="str">
            <v>GRASS VALLEY 1101</v>
          </cell>
          <cell r="E1299" t="str">
            <v>CB</v>
          </cell>
          <cell r="F1299" t="b">
            <v>0</v>
          </cell>
          <cell r="G1299">
            <v>3780.8040970842999</v>
          </cell>
          <cell r="H1299">
            <v>1415.7705484820101</v>
          </cell>
        </row>
        <row r="1300">
          <cell r="B1300" t="str">
            <v>GRASS VALLEY 1102CB</v>
          </cell>
          <cell r="C1300">
            <v>152031102</v>
          </cell>
          <cell r="D1300" t="str">
            <v>GRASS VALLEY 1102</v>
          </cell>
          <cell r="E1300" t="str">
            <v>CB</v>
          </cell>
          <cell r="F1300" t="b">
            <v>1</v>
          </cell>
          <cell r="G1300">
            <v>9322.59398721242</v>
          </cell>
          <cell r="H1300">
            <v>131.76294745967999</v>
          </cell>
        </row>
        <row r="1301">
          <cell r="B1301" t="str">
            <v>GRASS VALLEY 11031700</v>
          </cell>
          <cell r="C1301">
            <v>152031103</v>
          </cell>
          <cell r="D1301" t="str">
            <v>GRASS VALLEY 1103</v>
          </cell>
          <cell r="E1301">
            <v>1700</v>
          </cell>
          <cell r="F1301" t="b">
            <v>0</v>
          </cell>
          <cell r="G1301">
            <v>35014.843355465302</v>
          </cell>
          <cell r="H1301">
            <v>34930.2373189391</v>
          </cell>
        </row>
        <row r="1302">
          <cell r="B1302" t="str">
            <v>GRASS VALLEY 11032110</v>
          </cell>
          <cell r="C1302">
            <v>152031103</v>
          </cell>
          <cell r="D1302" t="str">
            <v>GRASS VALLEY 1103</v>
          </cell>
          <cell r="E1302">
            <v>2110</v>
          </cell>
          <cell r="F1302" t="b">
            <v>0</v>
          </cell>
          <cell r="G1302">
            <v>32283.119139777398</v>
          </cell>
          <cell r="H1302">
            <v>31798.222121289698</v>
          </cell>
        </row>
        <row r="1303">
          <cell r="B1303" t="str">
            <v>GRASS VALLEY 11032180</v>
          </cell>
          <cell r="C1303">
            <v>152031103</v>
          </cell>
          <cell r="D1303" t="str">
            <v>GRASS VALLEY 1103</v>
          </cell>
          <cell r="E1303">
            <v>2180</v>
          </cell>
          <cell r="F1303" t="b">
            <v>0</v>
          </cell>
          <cell r="G1303">
            <v>71112.066418804505</v>
          </cell>
          <cell r="H1303">
            <v>71112.066418804505</v>
          </cell>
        </row>
        <row r="1304">
          <cell r="B1304" t="str">
            <v>GRASS VALLEY 110358498</v>
          </cell>
          <cell r="C1304">
            <v>152031103</v>
          </cell>
          <cell r="D1304" t="str">
            <v>GRASS VALLEY 1103</v>
          </cell>
          <cell r="E1304">
            <v>58498</v>
          </cell>
          <cell r="F1304" t="b">
            <v>0</v>
          </cell>
          <cell r="G1304">
            <v>3648.0776778553</v>
          </cell>
          <cell r="H1304">
            <v>1920.6561495634501</v>
          </cell>
        </row>
        <row r="1305">
          <cell r="B1305" t="str">
            <v>GRASS VALLEY 1103CB</v>
          </cell>
          <cell r="C1305">
            <v>152031103</v>
          </cell>
          <cell r="D1305" t="str">
            <v>GRASS VALLEY 1103</v>
          </cell>
          <cell r="E1305" t="str">
            <v>CB</v>
          </cell>
          <cell r="F1305" t="b">
            <v>1</v>
          </cell>
          <cell r="G1305">
            <v>191.180610031665</v>
          </cell>
          <cell r="H1305">
            <v>191.180610031665</v>
          </cell>
        </row>
        <row r="1306">
          <cell r="B1306" t="str">
            <v>GRAYS FLAT 0401CB</v>
          </cell>
          <cell r="C1306">
            <v>102530401</v>
          </cell>
          <cell r="D1306" t="str">
            <v>GRAYS FLAT 0401</v>
          </cell>
          <cell r="E1306" t="str">
            <v>CB</v>
          </cell>
          <cell r="F1306" t="b">
            <v>0</v>
          </cell>
          <cell r="G1306">
            <v>17261.1138051669</v>
          </cell>
          <cell r="H1306">
            <v>17261.1138051669</v>
          </cell>
        </row>
        <row r="1307">
          <cell r="B1307" t="str">
            <v>GREEN VALLEY 210111054</v>
          </cell>
          <cell r="C1307">
            <v>83192101</v>
          </cell>
          <cell r="D1307" t="str">
            <v>GREEN VALLEY 2101</v>
          </cell>
          <cell r="E1307">
            <v>11054</v>
          </cell>
          <cell r="F1307" t="b">
            <v>0</v>
          </cell>
          <cell r="G1307">
            <v>41601.4757269939</v>
          </cell>
          <cell r="H1307">
            <v>39167.002108635701</v>
          </cell>
        </row>
        <row r="1308">
          <cell r="B1308" t="str">
            <v>GREEN VALLEY 210112106</v>
          </cell>
          <cell r="C1308">
            <v>83192101</v>
          </cell>
          <cell r="D1308" t="str">
            <v>GREEN VALLEY 2101</v>
          </cell>
          <cell r="E1308">
            <v>12106</v>
          </cell>
          <cell r="F1308" t="b">
            <v>1</v>
          </cell>
          <cell r="G1308">
            <v>19539.3367487057</v>
          </cell>
          <cell r="H1308">
            <v>556.83482722391398</v>
          </cell>
        </row>
        <row r="1309">
          <cell r="B1309" t="str">
            <v>GREEN VALLEY 210112824</v>
          </cell>
          <cell r="C1309">
            <v>83192101</v>
          </cell>
          <cell r="D1309" t="str">
            <v>GREEN VALLEY 2101</v>
          </cell>
          <cell r="E1309">
            <v>12824</v>
          </cell>
          <cell r="F1309" t="b">
            <v>0</v>
          </cell>
          <cell r="G1309">
            <v>19725.446323410699</v>
          </cell>
          <cell r="H1309">
            <v>1410.0845703443399</v>
          </cell>
        </row>
        <row r="1310">
          <cell r="B1310" t="str">
            <v>GREEN VALLEY 2101135762</v>
          </cell>
          <cell r="C1310">
            <v>83192101</v>
          </cell>
          <cell r="D1310" t="str">
            <v>GREEN VALLEY 2101</v>
          </cell>
          <cell r="E1310">
            <v>135762</v>
          </cell>
          <cell r="F1310" t="b">
            <v>0</v>
          </cell>
          <cell r="G1310">
            <v>4515.3768243167597</v>
          </cell>
          <cell r="H1310">
            <v>1189.52855819404</v>
          </cell>
        </row>
        <row r="1311">
          <cell r="B1311" t="str">
            <v>GREEN VALLEY 2101380922</v>
          </cell>
          <cell r="C1311">
            <v>83192101</v>
          </cell>
          <cell r="D1311" t="str">
            <v>GREEN VALLEY 2101</v>
          </cell>
          <cell r="E1311">
            <v>380922</v>
          </cell>
          <cell r="F1311" t="b">
            <v>0</v>
          </cell>
          <cell r="G1311">
            <v>4341.39466211537</v>
          </cell>
          <cell r="H1311">
            <v>1588.6004675061499</v>
          </cell>
        </row>
        <row r="1312">
          <cell r="B1312" t="str">
            <v>GREEN VALLEY 2101509068</v>
          </cell>
          <cell r="C1312">
            <v>83192101</v>
          </cell>
          <cell r="D1312" t="str">
            <v>GREEN VALLEY 2101</v>
          </cell>
          <cell r="E1312">
            <v>509068</v>
          </cell>
          <cell r="F1312" t="b">
            <v>0</v>
          </cell>
          <cell r="G1312">
            <v>2868.1373746403401</v>
          </cell>
          <cell r="H1312">
            <v>1655.47120910026</v>
          </cell>
        </row>
        <row r="1313">
          <cell r="B1313" t="str">
            <v>GREEN VALLEY 2101535998</v>
          </cell>
          <cell r="C1313">
            <v>83192101</v>
          </cell>
          <cell r="D1313" t="str">
            <v>GREEN VALLEY 2101</v>
          </cell>
          <cell r="E1313">
            <v>535998</v>
          </cell>
          <cell r="F1313" t="b">
            <v>0</v>
          </cell>
          <cell r="G1313">
            <v>7941.4497611881197</v>
          </cell>
          <cell r="H1313">
            <v>7140.4635294587897</v>
          </cell>
        </row>
        <row r="1314">
          <cell r="B1314" t="str">
            <v>GREEN VALLEY 21016601</v>
          </cell>
          <cell r="C1314">
            <v>83192101</v>
          </cell>
          <cell r="D1314" t="str">
            <v>GREEN VALLEY 2101</v>
          </cell>
          <cell r="E1314">
            <v>6601</v>
          </cell>
          <cell r="F1314" t="b">
            <v>0</v>
          </cell>
          <cell r="G1314">
            <v>3063.6094078399501</v>
          </cell>
          <cell r="H1314">
            <v>3063.6094078399501</v>
          </cell>
        </row>
        <row r="1315">
          <cell r="B1315" t="str">
            <v>GREEN VALLEY 2101942143</v>
          </cell>
          <cell r="C1315">
            <v>83192101</v>
          </cell>
          <cell r="D1315" t="str">
            <v>GREEN VALLEY 2101</v>
          </cell>
          <cell r="E1315">
            <v>942143</v>
          </cell>
          <cell r="F1315" t="b">
            <v>0</v>
          </cell>
          <cell r="G1315">
            <v>13604.562519913001</v>
          </cell>
          <cell r="H1315">
            <v>8138.45914851624</v>
          </cell>
        </row>
        <row r="1316">
          <cell r="B1316" t="str">
            <v>GREEN VALLEY 210197574</v>
          </cell>
          <cell r="C1316">
            <v>83192101</v>
          </cell>
          <cell r="D1316" t="str">
            <v>GREEN VALLEY 2101</v>
          </cell>
          <cell r="E1316">
            <v>97574</v>
          </cell>
          <cell r="F1316" t="b">
            <v>0</v>
          </cell>
          <cell r="G1316">
            <v>8779.1351378846302</v>
          </cell>
          <cell r="H1316">
            <v>5743.5714283159195</v>
          </cell>
        </row>
        <row r="1317">
          <cell r="B1317" t="str">
            <v>GREENBRAE 11021254</v>
          </cell>
          <cell r="C1317">
            <v>43091102</v>
          </cell>
          <cell r="D1317" t="str">
            <v>GREENBRAE 1102</v>
          </cell>
          <cell r="E1317">
            <v>1254</v>
          </cell>
          <cell r="F1317" t="b">
            <v>0</v>
          </cell>
          <cell r="G1317">
            <v>15241.9933449699</v>
          </cell>
          <cell r="H1317">
            <v>9639.5737864655603</v>
          </cell>
        </row>
        <row r="1318">
          <cell r="B1318" t="str">
            <v>GREENBRAE 1102CB</v>
          </cell>
          <cell r="C1318">
            <v>43091102</v>
          </cell>
          <cell r="D1318" t="str">
            <v>GREENBRAE 1102</v>
          </cell>
          <cell r="E1318" t="str">
            <v>CB</v>
          </cell>
          <cell r="F1318" t="b">
            <v>1</v>
          </cell>
          <cell r="G1318">
            <v>3469.4671594236102</v>
          </cell>
          <cell r="H1318">
            <v>0</v>
          </cell>
        </row>
        <row r="1319">
          <cell r="B1319" t="str">
            <v>GREENBRAE 1103718674</v>
          </cell>
          <cell r="C1319">
            <v>43091103</v>
          </cell>
          <cell r="D1319" t="str">
            <v>GREENBRAE 1103</v>
          </cell>
          <cell r="E1319">
            <v>718674</v>
          </cell>
          <cell r="F1319" t="b">
            <v>0</v>
          </cell>
          <cell r="G1319">
            <v>1848.67711776892</v>
          </cell>
          <cell r="H1319">
            <v>1301.8094117114299</v>
          </cell>
        </row>
        <row r="1320">
          <cell r="B1320" t="str">
            <v>GREENBRAE 11037315</v>
          </cell>
          <cell r="C1320">
            <v>43091103</v>
          </cell>
          <cell r="D1320" t="str">
            <v>GREENBRAE 1103</v>
          </cell>
          <cell r="E1320">
            <v>7315</v>
          </cell>
          <cell r="F1320" t="b">
            <v>1</v>
          </cell>
          <cell r="G1320">
            <v>3607.6139812138299</v>
          </cell>
          <cell r="H1320">
            <v>0</v>
          </cell>
        </row>
        <row r="1321">
          <cell r="B1321" t="str">
            <v>GREENBRAE 1103CB</v>
          </cell>
          <cell r="C1321">
            <v>43091103</v>
          </cell>
          <cell r="D1321" t="str">
            <v>GREENBRAE 1103</v>
          </cell>
          <cell r="E1321" t="str">
            <v>CB</v>
          </cell>
          <cell r="F1321" t="b">
            <v>1</v>
          </cell>
          <cell r="G1321">
            <v>6661.6605105406297</v>
          </cell>
          <cell r="H1321">
            <v>0</v>
          </cell>
        </row>
        <row r="1322">
          <cell r="B1322" t="str">
            <v>GREENBRAE 1104107508</v>
          </cell>
          <cell r="C1322">
            <v>43091104</v>
          </cell>
          <cell r="D1322" t="str">
            <v>GREENBRAE 1104</v>
          </cell>
          <cell r="E1322">
            <v>107508</v>
          </cell>
          <cell r="F1322" t="b">
            <v>1</v>
          </cell>
          <cell r="G1322">
            <v>282.95740150811798</v>
          </cell>
          <cell r="H1322">
            <v>0</v>
          </cell>
        </row>
        <row r="1323">
          <cell r="B1323" t="str">
            <v>GREENBRAE 1104317890</v>
          </cell>
          <cell r="C1323">
            <v>43091104</v>
          </cell>
          <cell r="D1323" t="str">
            <v>GREENBRAE 1104</v>
          </cell>
          <cell r="E1323">
            <v>317890</v>
          </cell>
          <cell r="F1323" t="b">
            <v>1</v>
          </cell>
          <cell r="G1323">
            <v>125.831519618054</v>
          </cell>
          <cell r="H1323">
            <v>125.831519618054</v>
          </cell>
        </row>
        <row r="1324">
          <cell r="B1324" t="str">
            <v>GREENBRAE 1104751</v>
          </cell>
          <cell r="C1324">
            <v>43091104</v>
          </cell>
          <cell r="D1324" t="str">
            <v>GREENBRAE 1104</v>
          </cell>
          <cell r="E1324">
            <v>751</v>
          </cell>
          <cell r="F1324" t="b">
            <v>1</v>
          </cell>
          <cell r="G1324">
            <v>4384.8993830540003</v>
          </cell>
          <cell r="H1324">
            <v>264.61200662392099</v>
          </cell>
        </row>
        <row r="1325">
          <cell r="B1325" t="str">
            <v>GREENBRAE 1104972264</v>
          </cell>
          <cell r="C1325">
            <v>43091104</v>
          </cell>
          <cell r="D1325" t="str">
            <v>GREENBRAE 1104</v>
          </cell>
          <cell r="E1325">
            <v>972264</v>
          </cell>
          <cell r="F1325" t="b">
            <v>1</v>
          </cell>
          <cell r="G1325">
            <v>337.19829473593501</v>
          </cell>
          <cell r="H1325">
            <v>0</v>
          </cell>
        </row>
        <row r="1326">
          <cell r="B1326" t="str">
            <v>GUALALA 111135562</v>
          </cell>
          <cell r="C1326">
            <v>42841111</v>
          </cell>
          <cell r="D1326" t="str">
            <v>GUALALA 1111</v>
          </cell>
          <cell r="E1326">
            <v>35562</v>
          </cell>
          <cell r="F1326" t="b">
            <v>0</v>
          </cell>
          <cell r="G1326">
            <v>22914.0776416677</v>
          </cell>
          <cell r="H1326">
            <v>22914.0776416677</v>
          </cell>
        </row>
        <row r="1327">
          <cell r="B1327" t="str">
            <v>GUALALA 1111402866</v>
          </cell>
          <cell r="C1327">
            <v>42841111</v>
          </cell>
          <cell r="D1327" t="str">
            <v>GUALALA 1111</v>
          </cell>
          <cell r="E1327">
            <v>402866</v>
          </cell>
          <cell r="F1327" t="b">
            <v>0</v>
          </cell>
          <cell r="G1327">
            <v>2560.40321443006</v>
          </cell>
          <cell r="H1327">
            <v>2560.40321443006</v>
          </cell>
        </row>
        <row r="1328">
          <cell r="B1328" t="str">
            <v>GUALALA 1111445166</v>
          </cell>
          <cell r="C1328">
            <v>42841111</v>
          </cell>
          <cell r="D1328" t="str">
            <v>GUALALA 1111</v>
          </cell>
          <cell r="E1328">
            <v>445166</v>
          </cell>
          <cell r="F1328" t="b">
            <v>0</v>
          </cell>
          <cell r="G1328">
            <v>15269.795523942201</v>
          </cell>
          <cell r="H1328">
            <v>12164.263484031901</v>
          </cell>
        </row>
        <row r="1329">
          <cell r="B1329" t="str">
            <v>GUALALA 1111498</v>
          </cell>
          <cell r="C1329">
            <v>42841111</v>
          </cell>
          <cell r="D1329" t="str">
            <v>GUALALA 1111</v>
          </cell>
          <cell r="E1329">
            <v>498</v>
          </cell>
          <cell r="F1329" t="b">
            <v>0</v>
          </cell>
          <cell r="G1329">
            <v>4821.7264451580404</v>
          </cell>
          <cell r="H1329">
            <v>4596.7491497211404</v>
          </cell>
        </row>
        <row r="1330">
          <cell r="B1330" t="str">
            <v>GUALALA 1111887180</v>
          </cell>
          <cell r="C1330">
            <v>42841111</v>
          </cell>
          <cell r="D1330" t="str">
            <v>GUALALA 1111</v>
          </cell>
          <cell r="E1330">
            <v>887180</v>
          </cell>
          <cell r="F1330" t="b">
            <v>0</v>
          </cell>
          <cell r="G1330">
            <v>8692.4371493878407</v>
          </cell>
          <cell r="H1330">
            <v>8589.4891577751696</v>
          </cell>
        </row>
        <row r="1331">
          <cell r="B1331" t="str">
            <v>GUALALA 1111CB</v>
          </cell>
          <cell r="C1331">
            <v>42841111</v>
          </cell>
          <cell r="D1331" t="str">
            <v>GUALALA 1111</v>
          </cell>
          <cell r="E1331" t="str">
            <v>CB</v>
          </cell>
          <cell r="F1331" t="b">
            <v>0</v>
          </cell>
          <cell r="G1331">
            <v>6227.6638037944604</v>
          </cell>
          <cell r="H1331">
            <v>6227.6638037944604</v>
          </cell>
        </row>
        <row r="1332">
          <cell r="B1332" t="str">
            <v>GUALALA 11121294</v>
          </cell>
          <cell r="C1332">
            <v>42841112</v>
          </cell>
          <cell r="D1332" t="str">
            <v>GUALALA 1112</v>
          </cell>
          <cell r="E1332">
            <v>1294</v>
          </cell>
          <cell r="F1332" t="b">
            <v>0</v>
          </cell>
          <cell r="G1332">
            <v>32661.474389105701</v>
          </cell>
          <cell r="H1332">
            <v>31953.679812659298</v>
          </cell>
        </row>
        <row r="1333">
          <cell r="B1333" t="str">
            <v>GUALALA 111223444</v>
          </cell>
          <cell r="C1333">
            <v>42841112</v>
          </cell>
          <cell r="D1333" t="str">
            <v>GUALALA 1112</v>
          </cell>
          <cell r="E1333">
            <v>23444</v>
          </cell>
          <cell r="F1333" t="b">
            <v>0</v>
          </cell>
          <cell r="G1333">
            <v>23380.690657507501</v>
          </cell>
          <cell r="H1333">
            <v>23380.690657507501</v>
          </cell>
        </row>
        <row r="1334">
          <cell r="B1334" t="str">
            <v>GUALALA 11124431</v>
          </cell>
          <cell r="C1334">
            <v>42841112</v>
          </cell>
          <cell r="D1334" t="str">
            <v>GUALALA 1112</v>
          </cell>
          <cell r="E1334">
            <v>4431</v>
          </cell>
          <cell r="F1334" t="b">
            <v>0</v>
          </cell>
          <cell r="G1334">
            <v>2379.8246405974601</v>
          </cell>
          <cell r="H1334">
            <v>2267.6220333218698</v>
          </cell>
        </row>
        <row r="1335">
          <cell r="B1335" t="str">
            <v>GUALALA 1112662</v>
          </cell>
          <cell r="C1335">
            <v>42841112</v>
          </cell>
          <cell r="D1335" t="str">
            <v>GUALALA 1112</v>
          </cell>
          <cell r="E1335">
            <v>662</v>
          </cell>
          <cell r="F1335" t="b">
            <v>0</v>
          </cell>
          <cell r="G1335">
            <v>13657.964208388101</v>
          </cell>
          <cell r="H1335">
            <v>10019.765481685999</v>
          </cell>
        </row>
        <row r="1336">
          <cell r="B1336" t="str">
            <v>GUALALA 1112CB</v>
          </cell>
          <cell r="C1336">
            <v>42841112</v>
          </cell>
          <cell r="D1336" t="str">
            <v>GUALALA 1112</v>
          </cell>
          <cell r="E1336" t="str">
            <v>CB</v>
          </cell>
          <cell r="F1336" t="b">
            <v>0</v>
          </cell>
          <cell r="G1336">
            <v>3448.2579069114599</v>
          </cell>
          <cell r="H1336">
            <v>2568.9228253646502</v>
          </cell>
        </row>
        <row r="1337">
          <cell r="B1337" t="str">
            <v>HALF MOON BAY 11012500</v>
          </cell>
          <cell r="C1337">
            <v>24101101</v>
          </cell>
          <cell r="D1337" t="str">
            <v>HALF MOON BAY 1101</v>
          </cell>
          <cell r="E1337">
            <v>2500</v>
          </cell>
          <cell r="F1337" t="b">
            <v>0</v>
          </cell>
          <cell r="G1337">
            <v>11167.091115703201</v>
          </cell>
          <cell r="H1337">
            <v>10490.7768335361</v>
          </cell>
        </row>
        <row r="1338">
          <cell r="B1338" t="str">
            <v>HALF MOON BAY 110148868</v>
          </cell>
          <cell r="C1338">
            <v>24101101</v>
          </cell>
          <cell r="D1338" t="str">
            <v>HALF MOON BAY 1101</v>
          </cell>
          <cell r="E1338">
            <v>48868</v>
          </cell>
          <cell r="F1338" t="b">
            <v>1</v>
          </cell>
          <cell r="G1338">
            <v>3010.8680242718401</v>
          </cell>
          <cell r="H1338">
            <v>0</v>
          </cell>
        </row>
        <row r="1339">
          <cell r="B1339" t="str">
            <v>HALF MOON BAY 1101771258</v>
          </cell>
          <cell r="C1339">
            <v>24101101</v>
          </cell>
          <cell r="D1339" t="str">
            <v>HALF MOON BAY 1101</v>
          </cell>
          <cell r="E1339">
            <v>771258</v>
          </cell>
          <cell r="F1339" t="b">
            <v>1</v>
          </cell>
          <cell r="G1339">
            <v>308.35784023979897</v>
          </cell>
          <cell r="H1339">
            <v>308.35784023979897</v>
          </cell>
        </row>
        <row r="1340">
          <cell r="B1340" t="str">
            <v>HALF MOON BAY 1101818874</v>
          </cell>
          <cell r="C1340">
            <v>24101101</v>
          </cell>
          <cell r="D1340" t="str">
            <v>HALF MOON BAY 1101</v>
          </cell>
          <cell r="E1340">
            <v>818874</v>
          </cell>
          <cell r="F1340" t="b">
            <v>0</v>
          </cell>
          <cell r="G1340">
            <v>10865.8424054098</v>
          </cell>
          <cell r="H1340">
            <v>9148.5424977758994</v>
          </cell>
        </row>
        <row r="1341">
          <cell r="B1341" t="str">
            <v>HALF MOON BAY 1101821698</v>
          </cell>
          <cell r="C1341">
            <v>24101101</v>
          </cell>
          <cell r="D1341" t="str">
            <v>HALF MOON BAY 1101</v>
          </cell>
          <cell r="E1341">
            <v>821698</v>
          </cell>
          <cell r="F1341" t="b">
            <v>0</v>
          </cell>
          <cell r="G1341">
            <v>1364.92686678683</v>
          </cell>
          <cell r="H1341">
            <v>1364.92686678683</v>
          </cell>
        </row>
        <row r="1342">
          <cell r="B1342" t="str">
            <v>HALF MOON BAY 11018902</v>
          </cell>
          <cell r="C1342">
            <v>24101101</v>
          </cell>
          <cell r="D1342" t="str">
            <v>HALF MOON BAY 1101</v>
          </cell>
          <cell r="E1342">
            <v>8902</v>
          </cell>
          <cell r="F1342" t="b">
            <v>0</v>
          </cell>
          <cell r="G1342">
            <v>29281.888641645899</v>
          </cell>
          <cell r="H1342">
            <v>22787.129566574102</v>
          </cell>
        </row>
        <row r="1343">
          <cell r="B1343" t="str">
            <v>HALF MOON BAY 1101903182</v>
          </cell>
          <cell r="C1343">
            <v>24101101</v>
          </cell>
          <cell r="D1343" t="str">
            <v>HALF MOON BAY 1101</v>
          </cell>
          <cell r="E1343">
            <v>903182</v>
          </cell>
          <cell r="F1343" t="b">
            <v>0</v>
          </cell>
          <cell r="G1343">
            <v>1770.37549735121</v>
          </cell>
          <cell r="H1343">
            <v>1052.7078228942801</v>
          </cell>
        </row>
        <row r="1344">
          <cell r="B1344" t="str">
            <v>HALF MOON BAY 1101CB</v>
          </cell>
          <cell r="C1344">
            <v>24101101</v>
          </cell>
          <cell r="D1344" t="str">
            <v>HALF MOON BAY 1101</v>
          </cell>
          <cell r="E1344" t="str">
            <v>CB</v>
          </cell>
          <cell r="F1344" t="b">
            <v>0</v>
          </cell>
          <cell r="G1344">
            <v>10068.884605847201</v>
          </cell>
          <cell r="H1344">
            <v>2571.5147504177999</v>
          </cell>
        </row>
        <row r="1345">
          <cell r="B1345" t="str">
            <v>HALF MOON BAY 11022032</v>
          </cell>
          <cell r="C1345">
            <v>24101102</v>
          </cell>
          <cell r="D1345" t="str">
            <v>HALF MOON BAY 1102</v>
          </cell>
          <cell r="E1345">
            <v>2032</v>
          </cell>
          <cell r="F1345" t="b">
            <v>1</v>
          </cell>
          <cell r="G1345">
            <v>14427.8487151635</v>
          </cell>
          <cell r="H1345">
            <v>905.53450949452497</v>
          </cell>
        </row>
        <row r="1346">
          <cell r="B1346" t="str">
            <v>HALF MOON BAY 1102350336</v>
          </cell>
          <cell r="C1346">
            <v>24101102</v>
          </cell>
          <cell r="D1346" t="str">
            <v>HALF MOON BAY 1102</v>
          </cell>
          <cell r="E1346">
            <v>350336</v>
          </cell>
          <cell r="F1346" t="b">
            <v>0</v>
          </cell>
          <cell r="G1346">
            <v>2699.1632233220198</v>
          </cell>
          <cell r="H1346">
            <v>1936.9418433251899</v>
          </cell>
        </row>
        <row r="1347">
          <cell r="B1347" t="str">
            <v>HALF MOON BAY 110258448</v>
          </cell>
          <cell r="C1347">
            <v>24101102</v>
          </cell>
          <cell r="D1347" t="str">
            <v>HALF MOON BAY 1102</v>
          </cell>
          <cell r="E1347">
            <v>58448</v>
          </cell>
          <cell r="F1347" t="b">
            <v>0</v>
          </cell>
          <cell r="G1347">
            <v>7774.1255986209298</v>
          </cell>
          <cell r="H1347">
            <v>7141.1011897930703</v>
          </cell>
        </row>
        <row r="1348">
          <cell r="B1348" t="str">
            <v>HALF MOON BAY 1102650808</v>
          </cell>
          <cell r="C1348">
            <v>24101102</v>
          </cell>
          <cell r="D1348" t="str">
            <v>HALF MOON BAY 1102</v>
          </cell>
          <cell r="E1348">
            <v>650808</v>
          </cell>
          <cell r="F1348" t="b">
            <v>1</v>
          </cell>
          <cell r="G1348">
            <v>998.35723941225694</v>
          </cell>
          <cell r="H1348">
            <v>843.35917211127196</v>
          </cell>
        </row>
        <row r="1349">
          <cell r="B1349" t="str">
            <v>HALF MOON BAY 1102863822</v>
          </cell>
          <cell r="C1349">
            <v>24101102</v>
          </cell>
          <cell r="D1349" t="str">
            <v>HALF MOON BAY 1102</v>
          </cell>
          <cell r="E1349">
            <v>863822</v>
          </cell>
          <cell r="F1349" t="b">
            <v>1</v>
          </cell>
          <cell r="G1349">
            <v>1030.95002107597</v>
          </cell>
          <cell r="H1349">
            <v>168.75191909192301</v>
          </cell>
        </row>
        <row r="1350">
          <cell r="B1350" t="str">
            <v>HALF MOON BAY 11028848</v>
          </cell>
          <cell r="C1350">
            <v>24101102</v>
          </cell>
          <cell r="D1350" t="str">
            <v>HALF MOON BAY 1102</v>
          </cell>
          <cell r="E1350">
            <v>8848</v>
          </cell>
          <cell r="F1350" t="b">
            <v>0</v>
          </cell>
          <cell r="G1350">
            <v>16215.078510082099</v>
          </cell>
          <cell r="H1350">
            <v>6200.2521091071803</v>
          </cell>
        </row>
        <row r="1351">
          <cell r="B1351" t="str">
            <v>HALF MOON BAY 1102CB</v>
          </cell>
          <cell r="C1351">
            <v>24101102</v>
          </cell>
          <cell r="D1351" t="str">
            <v>HALF MOON BAY 1102</v>
          </cell>
          <cell r="E1351" t="str">
            <v>CB</v>
          </cell>
          <cell r="F1351" t="b">
            <v>1</v>
          </cell>
          <cell r="G1351">
            <v>5451.3153750992797</v>
          </cell>
          <cell r="H1351">
            <v>266.96947728519802</v>
          </cell>
        </row>
        <row r="1352">
          <cell r="B1352" t="str">
            <v>HALF MOON BAY 1103341542</v>
          </cell>
          <cell r="C1352">
            <v>24101103</v>
          </cell>
          <cell r="D1352" t="str">
            <v>HALF MOON BAY 1103</v>
          </cell>
          <cell r="E1352">
            <v>341542</v>
          </cell>
          <cell r="F1352" t="b">
            <v>0</v>
          </cell>
          <cell r="G1352">
            <v>10584.3319701199</v>
          </cell>
          <cell r="H1352">
            <v>9768.7601982895903</v>
          </cell>
        </row>
        <row r="1353">
          <cell r="B1353" t="str">
            <v>HALF MOON BAY 1103531594</v>
          </cell>
          <cell r="C1353">
            <v>24101103</v>
          </cell>
          <cell r="D1353" t="str">
            <v>HALF MOON BAY 1103</v>
          </cell>
          <cell r="E1353">
            <v>531594</v>
          </cell>
          <cell r="F1353" t="b">
            <v>0</v>
          </cell>
          <cell r="G1353">
            <v>4284.54991967156</v>
          </cell>
          <cell r="H1353">
            <v>3998.7287430163101</v>
          </cell>
        </row>
        <row r="1354">
          <cell r="B1354" t="str">
            <v>HALF MOON BAY 1103540991</v>
          </cell>
          <cell r="C1354">
            <v>24101103</v>
          </cell>
          <cell r="D1354" t="str">
            <v>HALF MOON BAY 1103</v>
          </cell>
          <cell r="E1354">
            <v>540991</v>
          </cell>
          <cell r="F1354" t="b">
            <v>0</v>
          </cell>
          <cell r="G1354">
            <v>2594.67406260395</v>
          </cell>
          <cell r="H1354">
            <v>2544.5262105287002</v>
          </cell>
        </row>
        <row r="1355">
          <cell r="B1355" t="str">
            <v>HALF MOON BAY 11036012</v>
          </cell>
          <cell r="C1355">
            <v>24101103</v>
          </cell>
          <cell r="D1355" t="str">
            <v>HALF MOON BAY 1103</v>
          </cell>
          <cell r="E1355">
            <v>6012</v>
          </cell>
          <cell r="F1355" t="b">
            <v>0</v>
          </cell>
          <cell r="G1355">
            <v>15479.7976949478</v>
          </cell>
          <cell r="H1355">
            <v>10729.276379586299</v>
          </cell>
        </row>
        <row r="1356">
          <cell r="B1356" t="str">
            <v>HALF MOON BAY 11036014</v>
          </cell>
          <cell r="C1356">
            <v>24101103</v>
          </cell>
          <cell r="D1356" t="str">
            <v>HALF MOON BAY 1103</v>
          </cell>
          <cell r="E1356">
            <v>6014</v>
          </cell>
          <cell r="F1356" t="b">
            <v>0</v>
          </cell>
          <cell r="G1356">
            <v>19985.203600147401</v>
          </cell>
          <cell r="H1356">
            <v>9962.9662500711092</v>
          </cell>
        </row>
        <row r="1357">
          <cell r="B1357" t="str">
            <v>HALF MOON BAY 11036018</v>
          </cell>
          <cell r="C1357">
            <v>24101103</v>
          </cell>
          <cell r="D1357" t="str">
            <v>HALF MOON BAY 1103</v>
          </cell>
          <cell r="E1357">
            <v>6018</v>
          </cell>
          <cell r="F1357" t="b">
            <v>0</v>
          </cell>
          <cell r="G1357">
            <v>30239.533881482999</v>
          </cell>
          <cell r="H1357">
            <v>25219.552473106101</v>
          </cell>
        </row>
        <row r="1358">
          <cell r="B1358" t="str">
            <v>HALF MOON BAY 110369412</v>
          </cell>
          <cell r="C1358">
            <v>24101103</v>
          </cell>
          <cell r="D1358" t="str">
            <v>HALF MOON BAY 1103</v>
          </cell>
          <cell r="E1358">
            <v>69412</v>
          </cell>
          <cell r="F1358" t="b">
            <v>0</v>
          </cell>
          <cell r="G1358">
            <v>34124.525297524902</v>
          </cell>
          <cell r="H1358">
            <v>25048.7626184537</v>
          </cell>
        </row>
        <row r="1359">
          <cell r="B1359" t="str">
            <v>HALF MOON BAY 1103695411</v>
          </cell>
          <cell r="C1359">
            <v>24101103</v>
          </cell>
          <cell r="D1359" t="str">
            <v>HALF MOON BAY 1103</v>
          </cell>
          <cell r="E1359">
            <v>695411</v>
          </cell>
          <cell r="F1359" t="b">
            <v>0</v>
          </cell>
          <cell r="G1359">
            <v>13352.9729873384</v>
          </cell>
          <cell r="H1359">
            <v>13352.9729873384</v>
          </cell>
        </row>
        <row r="1360">
          <cell r="B1360" t="str">
            <v>HALF MOON BAY 11038089</v>
          </cell>
          <cell r="C1360">
            <v>24101103</v>
          </cell>
          <cell r="D1360" t="str">
            <v>HALF MOON BAY 1103</v>
          </cell>
          <cell r="E1360">
            <v>8089</v>
          </cell>
          <cell r="F1360" t="b">
            <v>0</v>
          </cell>
          <cell r="G1360">
            <v>4528.4761022031198</v>
          </cell>
          <cell r="H1360">
            <v>4528.4761022031198</v>
          </cell>
        </row>
        <row r="1361">
          <cell r="B1361" t="str">
            <v>HALF MOON BAY 11038894</v>
          </cell>
          <cell r="C1361">
            <v>24101103</v>
          </cell>
          <cell r="D1361" t="str">
            <v>HALF MOON BAY 1103</v>
          </cell>
          <cell r="E1361">
            <v>8894</v>
          </cell>
          <cell r="F1361" t="b">
            <v>0</v>
          </cell>
          <cell r="G1361">
            <v>18146.6987584132</v>
          </cell>
          <cell r="H1361">
            <v>18102.284226915901</v>
          </cell>
        </row>
        <row r="1362">
          <cell r="B1362" t="str">
            <v>HALF MOON BAY 11038898</v>
          </cell>
          <cell r="C1362">
            <v>24101103</v>
          </cell>
          <cell r="D1362" t="str">
            <v>HALF MOON BAY 1103</v>
          </cell>
          <cell r="E1362">
            <v>8898</v>
          </cell>
          <cell r="F1362" t="b">
            <v>0</v>
          </cell>
          <cell r="G1362">
            <v>1034.8012919688199</v>
          </cell>
          <cell r="H1362">
            <v>1034.8012919688199</v>
          </cell>
        </row>
        <row r="1363">
          <cell r="B1363" t="str">
            <v>HALF MOON BAY 11038920</v>
          </cell>
          <cell r="C1363">
            <v>24101103</v>
          </cell>
          <cell r="D1363" t="str">
            <v>HALF MOON BAY 1103</v>
          </cell>
          <cell r="E1363">
            <v>8920</v>
          </cell>
          <cell r="F1363" t="b">
            <v>1</v>
          </cell>
          <cell r="G1363">
            <v>158.12419485431201</v>
          </cell>
          <cell r="H1363">
            <v>158.12419485431201</v>
          </cell>
        </row>
        <row r="1364">
          <cell r="B1364" t="str">
            <v>HALF MOON BAY 11039112</v>
          </cell>
          <cell r="C1364">
            <v>24101103</v>
          </cell>
          <cell r="D1364" t="str">
            <v>HALF MOON BAY 1103</v>
          </cell>
          <cell r="E1364">
            <v>9112</v>
          </cell>
          <cell r="F1364" t="b">
            <v>0</v>
          </cell>
          <cell r="G1364">
            <v>8500.5119038356806</v>
          </cell>
          <cell r="H1364">
            <v>1386.5142994319999</v>
          </cell>
        </row>
        <row r="1365">
          <cell r="B1365" t="str">
            <v>HALF MOON BAY 1103H80</v>
          </cell>
          <cell r="C1365">
            <v>24101103</v>
          </cell>
          <cell r="D1365" t="str">
            <v>HALF MOON BAY 1103</v>
          </cell>
          <cell r="E1365" t="str">
            <v>H80</v>
          </cell>
          <cell r="F1365" t="b">
            <v>0</v>
          </cell>
          <cell r="G1365">
            <v>31889.193957833799</v>
          </cell>
          <cell r="H1365">
            <v>31889.193957833799</v>
          </cell>
        </row>
        <row r="1366">
          <cell r="B1366" t="str">
            <v>HALF MOON BAY 1103H82</v>
          </cell>
          <cell r="C1366">
            <v>24101103</v>
          </cell>
          <cell r="D1366" t="str">
            <v>HALF MOON BAY 1103</v>
          </cell>
          <cell r="E1366" t="str">
            <v>H82</v>
          </cell>
          <cell r="F1366" t="b">
            <v>0</v>
          </cell>
          <cell r="G1366">
            <v>58651.475497125102</v>
          </cell>
          <cell r="H1366">
            <v>52489.340150189499</v>
          </cell>
        </row>
        <row r="1367">
          <cell r="B1367" t="str">
            <v>HALSEY 11011704</v>
          </cell>
          <cell r="C1367">
            <v>152241101</v>
          </cell>
          <cell r="D1367" t="str">
            <v>HALSEY 1101</v>
          </cell>
          <cell r="E1367">
            <v>1704</v>
          </cell>
          <cell r="F1367" t="b">
            <v>0</v>
          </cell>
          <cell r="G1367">
            <v>21239.391650775098</v>
          </cell>
          <cell r="H1367">
            <v>21231.818487019202</v>
          </cell>
        </row>
        <row r="1368">
          <cell r="B1368" t="str">
            <v>HALSEY 11012414</v>
          </cell>
          <cell r="C1368">
            <v>152241101</v>
          </cell>
          <cell r="D1368" t="str">
            <v>HALSEY 1101</v>
          </cell>
          <cell r="E1368">
            <v>2414</v>
          </cell>
          <cell r="F1368" t="b">
            <v>0</v>
          </cell>
          <cell r="G1368">
            <v>23793.414969799102</v>
          </cell>
          <cell r="H1368">
            <v>23793.414969799102</v>
          </cell>
        </row>
        <row r="1369">
          <cell r="B1369" t="str">
            <v>HALSEY 11015731</v>
          </cell>
          <cell r="C1369">
            <v>152241101</v>
          </cell>
          <cell r="D1369" t="str">
            <v>HALSEY 1101</v>
          </cell>
          <cell r="E1369">
            <v>5731</v>
          </cell>
          <cell r="F1369" t="b">
            <v>0</v>
          </cell>
          <cell r="G1369">
            <v>5029.61936638725</v>
          </cell>
          <cell r="H1369">
            <v>5029.61936638725</v>
          </cell>
        </row>
        <row r="1370">
          <cell r="B1370" t="str">
            <v>HALSEY 110176178</v>
          </cell>
          <cell r="C1370">
            <v>152241101</v>
          </cell>
          <cell r="D1370" t="str">
            <v>HALSEY 1101</v>
          </cell>
          <cell r="E1370">
            <v>76178</v>
          </cell>
          <cell r="F1370" t="b">
            <v>0</v>
          </cell>
          <cell r="G1370">
            <v>32532.304768140599</v>
          </cell>
          <cell r="H1370">
            <v>32532.304768140599</v>
          </cell>
        </row>
        <row r="1371">
          <cell r="B1371" t="str">
            <v>HALSEY 1101CB</v>
          </cell>
          <cell r="C1371">
            <v>152241101</v>
          </cell>
          <cell r="D1371" t="str">
            <v>HALSEY 1101</v>
          </cell>
          <cell r="E1371" t="str">
            <v>CB</v>
          </cell>
          <cell r="F1371" t="b">
            <v>0</v>
          </cell>
          <cell r="G1371">
            <v>27644.348651867698</v>
          </cell>
          <cell r="H1371">
            <v>27644.348651867698</v>
          </cell>
        </row>
        <row r="1372">
          <cell r="B1372" t="str">
            <v>HALSEY 11022514</v>
          </cell>
          <cell r="C1372">
            <v>152241102</v>
          </cell>
          <cell r="D1372" t="str">
            <v>HALSEY 1102</v>
          </cell>
          <cell r="E1372">
            <v>2514</v>
          </cell>
          <cell r="F1372" t="b">
            <v>0</v>
          </cell>
          <cell r="G1372">
            <v>31420.496525235099</v>
          </cell>
          <cell r="H1372">
            <v>17648.497858532501</v>
          </cell>
        </row>
        <row r="1373">
          <cell r="B1373" t="str">
            <v>HALSEY 110239104</v>
          </cell>
          <cell r="C1373">
            <v>152241102</v>
          </cell>
          <cell r="D1373" t="str">
            <v>HALSEY 1102</v>
          </cell>
          <cell r="E1373">
            <v>39104</v>
          </cell>
          <cell r="F1373" t="b">
            <v>0</v>
          </cell>
          <cell r="G1373">
            <v>49366.034952296199</v>
          </cell>
          <cell r="H1373">
            <v>49366.034952296199</v>
          </cell>
        </row>
        <row r="1374">
          <cell r="B1374" t="str">
            <v>HALSEY 11025739</v>
          </cell>
          <cell r="C1374">
            <v>152241102</v>
          </cell>
          <cell r="D1374" t="str">
            <v>HALSEY 1102</v>
          </cell>
          <cell r="E1374">
            <v>5739</v>
          </cell>
          <cell r="F1374" t="b">
            <v>0</v>
          </cell>
          <cell r="G1374">
            <v>10731.869615722</v>
          </cell>
          <cell r="H1374">
            <v>10731.869615722</v>
          </cell>
        </row>
        <row r="1375">
          <cell r="B1375" t="str">
            <v>HALSEY 11026129</v>
          </cell>
          <cell r="C1375">
            <v>152241102</v>
          </cell>
          <cell r="D1375" t="str">
            <v>HALSEY 1102</v>
          </cell>
          <cell r="E1375">
            <v>6129</v>
          </cell>
          <cell r="F1375" t="b">
            <v>0</v>
          </cell>
          <cell r="G1375">
            <v>5155.4944213009203</v>
          </cell>
          <cell r="H1375">
            <v>5155.4944213009203</v>
          </cell>
        </row>
        <row r="1376">
          <cell r="B1376" t="str">
            <v>HALSEY 1102CB</v>
          </cell>
          <cell r="C1376">
            <v>152241102</v>
          </cell>
          <cell r="D1376" t="str">
            <v>HALSEY 1102</v>
          </cell>
          <cell r="E1376" t="str">
            <v>CB</v>
          </cell>
          <cell r="F1376" t="b">
            <v>0</v>
          </cell>
          <cell r="G1376">
            <v>12882.1278240397</v>
          </cell>
          <cell r="H1376">
            <v>12682.5012973722</v>
          </cell>
        </row>
        <row r="1377">
          <cell r="B1377" t="str">
            <v>HAMILTON BRANCH 11012046</v>
          </cell>
          <cell r="C1377">
            <v>102361101</v>
          </cell>
          <cell r="D1377" t="str">
            <v>HAMILTON BRANCH 1101</v>
          </cell>
          <cell r="E1377">
            <v>2046</v>
          </cell>
          <cell r="F1377" t="b">
            <v>0</v>
          </cell>
          <cell r="G1377">
            <v>14788.054300224199</v>
          </cell>
          <cell r="H1377">
            <v>14724.190035939</v>
          </cell>
        </row>
        <row r="1378">
          <cell r="B1378" t="str">
            <v>HAMILTON BRANCH 11012082</v>
          </cell>
          <cell r="C1378">
            <v>102361101</v>
          </cell>
          <cell r="D1378" t="str">
            <v>HAMILTON BRANCH 1101</v>
          </cell>
          <cell r="E1378">
            <v>2082</v>
          </cell>
          <cell r="F1378" t="b">
            <v>0</v>
          </cell>
          <cell r="G1378">
            <v>4925.5932717463402</v>
          </cell>
          <cell r="H1378">
            <v>2445.1964660927101</v>
          </cell>
        </row>
        <row r="1379">
          <cell r="B1379" t="str">
            <v>HAMILTON BRANCH 11012436</v>
          </cell>
          <cell r="C1379">
            <v>102361101</v>
          </cell>
          <cell r="D1379" t="str">
            <v>HAMILTON BRANCH 1101</v>
          </cell>
          <cell r="E1379">
            <v>2436</v>
          </cell>
          <cell r="F1379" t="b">
            <v>0</v>
          </cell>
          <cell r="G1379">
            <v>8535.8961138935192</v>
          </cell>
          <cell r="H1379">
            <v>8535.8961138935192</v>
          </cell>
        </row>
        <row r="1380">
          <cell r="B1380" t="str">
            <v>HAMILTON BRANCH 11013049</v>
          </cell>
          <cell r="C1380">
            <v>102361101</v>
          </cell>
          <cell r="D1380" t="str">
            <v>HAMILTON BRANCH 1101</v>
          </cell>
          <cell r="E1380">
            <v>3049</v>
          </cell>
          <cell r="F1380" t="b">
            <v>0</v>
          </cell>
          <cell r="G1380">
            <v>2682.1997730830599</v>
          </cell>
          <cell r="H1380">
            <v>1650.99465721096</v>
          </cell>
        </row>
        <row r="1381">
          <cell r="B1381" t="str">
            <v>HAMILTON BRANCH 110137436</v>
          </cell>
          <cell r="C1381">
            <v>102361101</v>
          </cell>
          <cell r="D1381" t="str">
            <v>HAMILTON BRANCH 1101</v>
          </cell>
          <cell r="E1381">
            <v>37436</v>
          </cell>
          <cell r="F1381" t="b">
            <v>0</v>
          </cell>
          <cell r="G1381">
            <v>3311.0304593741098</v>
          </cell>
          <cell r="H1381">
            <v>1208.0742956223601</v>
          </cell>
        </row>
        <row r="1382">
          <cell r="B1382" t="str">
            <v>HAMILTON BRANCH 110153192</v>
          </cell>
          <cell r="C1382">
            <v>102361101</v>
          </cell>
          <cell r="D1382" t="str">
            <v>HAMILTON BRANCH 1101</v>
          </cell>
          <cell r="E1382">
            <v>53192</v>
          </cell>
          <cell r="F1382" t="b">
            <v>1</v>
          </cell>
          <cell r="G1382">
            <v>3316.9891719514799</v>
          </cell>
          <cell r="H1382">
            <v>889.75803170843096</v>
          </cell>
        </row>
        <row r="1383">
          <cell r="B1383" t="str">
            <v>HAMILTON BRANCH 110187784</v>
          </cell>
          <cell r="C1383">
            <v>102361101</v>
          </cell>
          <cell r="D1383" t="str">
            <v>HAMILTON BRANCH 1101</v>
          </cell>
          <cell r="E1383">
            <v>87784</v>
          </cell>
          <cell r="F1383" t="b">
            <v>0</v>
          </cell>
          <cell r="G1383">
            <v>2328.7215260747898</v>
          </cell>
          <cell r="H1383">
            <v>2328.7215260747898</v>
          </cell>
        </row>
        <row r="1384">
          <cell r="B1384" t="str">
            <v>HAMILTON BRANCH 110190334</v>
          </cell>
          <cell r="C1384">
            <v>102361101</v>
          </cell>
          <cell r="D1384" t="str">
            <v>HAMILTON BRANCH 1101</v>
          </cell>
          <cell r="E1384">
            <v>90334</v>
          </cell>
          <cell r="F1384" t="b">
            <v>0</v>
          </cell>
          <cell r="G1384">
            <v>5394.0455450245499</v>
          </cell>
          <cell r="H1384">
            <v>5394.0455450245499</v>
          </cell>
        </row>
        <row r="1385">
          <cell r="B1385" t="str">
            <v>HAMILTON BRANCH 1101CB</v>
          </cell>
          <cell r="C1385">
            <v>102361101</v>
          </cell>
          <cell r="D1385" t="str">
            <v>HAMILTON BRANCH 1101</v>
          </cell>
          <cell r="E1385" t="str">
            <v>CB</v>
          </cell>
          <cell r="F1385" t="b">
            <v>0</v>
          </cell>
          <cell r="G1385">
            <v>5887.1186054334003</v>
          </cell>
          <cell r="H1385">
            <v>3755.8808274851399</v>
          </cell>
        </row>
        <row r="1386">
          <cell r="B1386" t="str">
            <v>HARRIS 11082062</v>
          </cell>
          <cell r="C1386">
            <v>192431108</v>
          </cell>
          <cell r="D1386" t="str">
            <v>HARRIS 1108</v>
          </cell>
          <cell r="E1386">
            <v>2062</v>
          </cell>
          <cell r="F1386" t="b">
            <v>0</v>
          </cell>
          <cell r="G1386">
            <v>8420.6852393950794</v>
          </cell>
          <cell r="H1386">
            <v>2556.2544200275402</v>
          </cell>
        </row>
        <row r="1387">
          <cell r="B1387" t="str">
            <v>HARRIS 1108395498</v>
          </cell>
          <cell r="C1387">
            <v>192431108</v>
          </cell>
          <cell r="D1387" t="str">
            <v>HARRIS 1108</v>
          </cell>
          <cell r="E1387">
            <v>395498</v>
          </cell>
          <cell r="F1387" t="b">
            <v>1</v>
          </cell>
          <cell r="G1387">
            <v>792.38554071959504</v>
          </cell>
          <cell r="H1387">
            <v>171.02907961795299</v>
          </cell>
        </row>
        <row r="1388">
          <cell r="B1388" t="str">
            <v>HARRIS 11084674</v>
          </cell>
          <cell r="C1388">
            <v>192431108</v>
          </cell>
          <cell r="D1388" t="str">
            <v>HARRIS 1108</v>
          </cell>
          <cell r="E1388">
            <v>4674</v>
          </cell>
          <cell r="F1388" t="b">
            <v>1</v>
          </cell>
          <cell r="G1388">
            <v>11266.478344449601</v>
          </cell>
          <cell r="H1388">
            <v>72.799958225212507</v>
          </cell>
        </row>
        <row r="1389">
          <cell r="B1389" t="str">
            <v>HARRIS 1108705523</v>
          </cell>
          <cell r="C1389">
            <v>192431108</v>
          </cell>
          <cell r="D1389" t="str">
            <v>HARRIS 1108</v>
          </cell>
          <cell r="E1389">
            <v>705523</v>
          </cell>
          <cell r="F1389" t="b">
            <v>1</v>
          </cell>
          <cell r="G1389">
            <v>1068.2354841589299</v>
          </cell>
          <cell r="H1389">
            <v>321.92977748343498</v>
          </cell>
        </row>
        <row r="1390">
          <cell r="B1390" t="str">
            <v>HARRIS 1109183860</v>
          </cell>
          <cell r="C1390">
            <v>192431109</v>
          </cell>
          <cell r="D1390" t="str">
            <v>HARRIS 1109</v>
          </cell>
          <cell r="E1390">
            <v>183860</v>
          </cell>
          <cell r="F1390" t="b">
            <v>0</v>
          </cell>
          <cell r="G1390">
            <v>12288.139794385799</v>
          </cell>
          <cell r="H1390">
            <v>7942.1795880966902</v>
          </cell>
        </row>
        <row r="1391">
          <cell r="B1391" t="str">
            <v>HARRIS 1109237791</v>
          </cell>
          <cell r="C1391">
            <v>192431109</v>
          </cell>
          <cell r="D1391" t="str">
            <v>HARRIS 1109</v>
          </cell>
          <cell r="E1391">
            <v>237791</v>
          </cell>
          <cell r="F1391" t="b">
            <v>0</v>
          </cell>
          <cell r="G1391">
            <v>3420.2948822194899</v>
          </cell>
          <cell r="H1391">
            <v>2280.4466735907999</v>
          </cell>
        </row>
        <row r="1392">
          <cell r="B1392" t="str">
            <v>HARRIS 1109355914</v>
          </cell>
          <cell r="C1392">
            <v>192431109</v>
          </cell>
          <cell r="D1392" t="str">
            <v>HARRIS 1109</v>
          </cell>
          <cell r="E1392">
            <v>355914</v>
          </cell>
          <cell r="F1392" t="b">
            <v>0</v>
          </cell>
          <cell r="G1392">
            <v>14935.383216731099</v>
          </cell>
          <cell r="H1392">
            <v>13002.780696293201</v>
          </cell>
        </row>
        <row r="1393">
          <cell r="B1393" t="str">
            <v>HARRIS 1109661309</v>
          </cell>
          <cell r="C1393">
            <v>192431109</v>
          </cell>
          <cell r="D1393" t="str">
            <v>HARRIS 1109</v>
          </cell>
          <cell r="E1393">
            <v>661309</v>
          </cell>
          <cell r="F1393" t="b">
            <v>1</v>
          </cell>
          <cell r="G1393">
            <v>2205.0427923007701</v>
          </cell>
          <cell r="H1393">
            <v>453.796587217016</v>
          </cell>
        </row>
        <row r="1394">
          <cell r="B1394" t="str">
            <v>HARTLEY 11011306</v>
          </cell>
          <cell r="C1394">
            <v>43211101</v>
          </cell>
          <cell r="D1394" t="str">
            <v>HARTLEY 1101</v>
          </cell>
          <cell r="E1394">
            <v>1306</v>
          </cell>
          <cell r="F1394" t="b">
            <v>0</v>
          </cell>
          <cell r="G1394">
            <v>19638.941936489598</v>
          </cell>
          <cell r="H1394">
            <v>15260.277032727099</v>
          </cell>
        </row>
        <row r="1395">
          <cell r="B1395" t="str">
            <v>HARTLEY 1101471</v>
          </cell>
          <cell r="C1395">
            <v>43211101</v>
          </cell>
          <cell r="D1395" t="str">
            <v>HARTLEY 1101</v>
          </cell>
          <cell r="E1395">
            <v>471</v>
          </cell>
          <cell r="F1395" t="b">
            <v>1</v>
          </cell>
          <cell r="G1395">
            <v>2001.81295470186</v>
          </cell>
          <cell r="H1395">
            <v>0</v>
          </cell>
        </row>
        <row r="1396">
          <cell r="B1396" t="str">
            <v>HARTLEY 11014710</v>
          </cell>
          <cell r="C1396">
            <v>43211101</v>
          </cell>
          <cell r="D1396" t="str">
            <v>HARTLEY 1101</v>
          </cell>
          <cell r="E1396">
            <v>4710</v>
          </cell>
          <cell r="F1396" t="b">
            <v>0</v>
          </cell>
          <cell r="G1396">
            <v>2414.0516501151901</v>
          </cell>
          <cell r="H1396">
            <v>2414.0516501151901</v>
          </cell>
        </row>
        <row r="1397">
          <cell r="B1397" t="str">
            <v>HARTLEY 1101534548</v>
          </cell>
          <cell r="C1397">
            <v>43211101</v>
          </cell>
          <cell r="D1397" t="str">
            <v>HARTLEY 1101</v>
          </cell>
          <cell r="E1397">
            <v>534548</v>
          </cell>
          <cell r="F1397" t="b">
            <v>1</v>
          </cell>
          <cell r="G1397">
            <v>825.25128534832197</v>
          </cell>
          <cell r="H1397">
            <v>643.68301837193803</v>
          </cell>
        </row>
        <row r="1398">
          <cell r="B1398" t="str">
            <v>HARTLEY 110158095</v>
          </cell>
          <cell r="C1398">
            <v>43211101</v>
          </cell>
          <cell r="D1398" t="str">
            <v>HARTLEY 1101</v>
          </cell>
          <cell r="E1398">
            <v>58095</v>
          </cell>
          <cell r="F1398" t="b">
            <v>1</v>
          </cell>
          <cell r="G1398">
            <v>251.91576006104299</v>
          </cell>
          <cell r="H1398">
            <v>251.91576006104299</v>
          </cell>
        </row>
        <row r="1399">
          <cell r="B1399" t="str">
            <v>HARTLEY 1101658</v>
          </cell>
          <cell r="C1399">
            <v>43211101</v>
          </cell>
          <cell r="D1399" t="str">
            <v>HARTLEY 1101</v>
          </cell>
          <cell r="E1399">
            <v>658</v>
          </cell>
          <cell r="F1399" t="b">
            <v>0</v>
          </cell>
          <cell r="G1399">
            <v>21722.425982377099</v>
          </cell>
          <cell r="H1399">
            <v>4561.1196879154504</v>
          </cell>
        </row>
        <row r="1400">
          <cell r="B1400" t="str">
            <v>HARTLEY 1101698</v>
          </cell>
          <cell r="C1400">
            <v>43211101</v>
          </cell>
          <cell r="D1400" t="str">
            <v>HARTLEY 1101</v>
          </cell>
          <cell r="E1400">
            <v>698</v>
          </cell>
          <cell r="F1400" t="b">
            <v>0</v>
          </cell>
          <cell r="G1400">
            <v>16605.929016055801</v>
          </cell>
          <cell r="H1400">
            <v>11071.046624775599</v>
          </cell>
        </row>
        <row r="1401">
          <cell r="B1401" t="str">
            <v>HARTLEY 1101738</v>
          </cell>
          <cell r="C1401">
            <v>43211101</v>
          </cell>
          <cell r="D1401" t="str">
            <v>HARTLEY 1101</v>
          </cell>
          <cell r="E1401">
            <v>738</v>
          </cell>
          <cell r="F1401" t="b">
            <v>0</v>
          </cell>
          <cell r="G1401">
            <v>12990.118681378601</v>
          </cell>
          <cell r="H1401">
            <v>4208.5049011247202</v>
          </cell>
        </row>
        <row r="1402">
          <cell r="B1402" t="str">
            <v>HARTLEY 110186876</v>
          </cell>
          <cell r="C1402">
            <v>43211101</v>
          </cell>
          <cell r="D1402" t="str">
            <v>HARTLEY 1101</v>
          </cell>
          <cell r="E1402">
            <v>86876</v>
          </cell>
          <cell r="F1402" t="b">
            <v>0</v>
          </cell>
          <cell r="G1402">
            <v>13761.5335200794</v>
          </cell>
          <cell r="H1402">
            <v>3945.93512312143</v>
          </cell>
        </row>
        <row r="1403">
          <cell r="B1403" t="str">
            <v>HARTLEY 110194178</v>
          </cell>
          <cell r="C1403">
            <v>43211101</v>
          </cell>
          <cell r="D1403" t="str">
            <v>HARTLEY 1101</v>
          </cell>
          <cell r="E1403">
            <v>94178</v>
          </cell>
          <cell r="F1403" t="b">
            <v>0</v>
          </cell>
          <cell r="G1403">
            <v>6646.4631645093395</v>
          </cell>
          <cell r="H1403">
            <v>3457.4483522753299</v>
          </cell>
        </row>
        <row r="1404">
          <cell r="B1404" t="str">
            <v>HARTLEY 1101980662</v>
          </cell>
          <cell r="C1404">
            <v>43211101</v>
          </cell>
          <cell r="D1404" t="str">
            <v>HARTLEY 1101</v>
          </cell>
          <cell r="E1404">
            <v>980662</v>
          </cell>
          <cell r="F1404" t="b">
            <v>1</v>
          </cell>
          <cell r="G1404">
            <v>366.26348193185203</v>
          </cell>
          <cell r="H1404">
            <v>366.26348193185203</v>
          </cell>
        </row>
        <row r="1405">
          <cell r="B1405" t="str">
            <v>HARTLEY 1101CB</v>
          </cell>
          <cell r="C1405">
            <v>43211101</v>
          </cell>
          <cell r="D1405" t="str">
            <v>HARTLEY 1101</v>
          </cell>
          <cell r="E1405" t="str">
            <v>CB</v>
          </cell>
          <cell r="F1405" t="b">
            <v>0</v>
          </cell>
          <cell r="G1405">
            <v>4864.6418339259099</v>
          </cell>
          <cell r="H1405">
            <v>2361.7077997331298</v>
          </cell>
        </row>
        <row r="1406">
          <cell r="B1406" t="str">
            <v>HARTLEY 1102385838</v>
          </cell>
          <cell r="C1406">
            <v>43211102</v>
          </cell>
          <cell r="D1406" t="str">
            <v>HARTLEY 1102</v>
          </cell>
          <cell r="E1406">
            <v>385838</v>
          </cell>
          <cell r="F1406" t="b">
            <v>0</v>
          </cell>
          <cell r="G1406">
            <v>2645.3496571748301</v>
          </cell>
          <cell r="H1406">
            <v>2006.1587952300599</v>
          </cell>
        </row>
        <row r="1407">
          <cell r="B1407" t="str">
            <v>HARTLEY 1102524</v>
          </cell>
          <cell r="C1407">
            <v>43211102</v>
          </cell>
          <cell r="D1407" t="str">
            <v>HARTLEY 1102</v>
          </cell>
          <cell r="E1407">
            <v>524</v>
          </cell>
          <cell r="F1407" t="b">
            <v>1</v>
          </cell>
          <cell r="G1407">
            <v>4106.6103234421898</v>
          </cell>
          <cell r="H1407">
            <v>399.45522110124</v>
          </cell>
        </row>
        <row r="1408">
          <cell r="B1408" t="str">
            <v>HARTLEY 1102824</v>
          </cell>
          <cell r="C1408">
            <v>43211102</v>
          </cell>
          <cell r="D1408" t="str">
            <v>HARTLEY 1102</v>
          </cell>
          <cell r="E1408">
            <v>824</v>
          </cell>
          <cell r="F1408" t="b">
            <v>1</v>
          </cell>
          <cell r="G1408">
            <v>12575.4803080232</v>
          </cell>
          <cell r="H1408">
            <v>137.51070713388799</v>
          </cell>
        </row>
        <row r="1409">
          <cell r="B1409" t="str">
            <v>HARTLEY 1102CB</v>
          </cell>
          <cell r="C1409">
            <v>43211102</v>
          </cell>
          <cell r="D1409" t="str">
            <v>HARTLEY 1102</v>
          </cell>
          <cell r="E1409" t="str">
            <v>CB</v>
          </cell>
          <cell r="F1409" t="b">
            <v>0</v>
          </cell>
          <cell r="G1409">
            <v>18838.798217784199</v>
          </cell>
          <cell r="H1409">
            <v>5515.70184158559</v>
          </cell>
        </row>
        <row r="1410">
          <cell r="B1410" t="str">
            <v>HATTON 11012026</v>
          </cell>
          <cell r="C1410">
            <v>182291101</v>
          </cell>
          <cell r="D1410" t="str">
            <v>HATTON 1101</v>
          </cell>
          <cell r="E1410">
            <v>2026</v>
          </cell>
          <cell r="F1410" t="b">
            <v>0</v>
          </cell>
          <cell r="G1410">
            <v>16422.8166309308</v>
          </cell>
          <cell r="H1410">
            <v>8438.7955302057107</v>
          </cell>
        </row>
        <row r="1411">
          <cell r="B1411" t="str">
            <v>HATTON 110137088</v>
          </cell>
          <cell r="C1411">
            <v>182291101</v>
          </cell>
          <cell r="D1411" t="str">
            <v>HATTON 1101</v>
          </cell>
          <cell r="E1411">
            <v>37088</v>
          </cell>
          <cell r="F1411" t="b">
            <v>0</v>
          </cell>
          <cell r="G1411">
            <v>18269.998760923201</v>
          </cell>
          <cell r="H1411">
            <v>11434.487529784799</v>
          </cell>
        </row>
        <row r="1412">
          <cell r="B1412" t="str">
            <v>HATTON 1101CB</v>
          </cell>
          <cell r="C1412">
            <v>182291101</v>
          </cell>
          <cell r="D1412" t="str">
            <v>HATTON 1101</v>
          </cell>
          <cell r="E1412" t="str">
            <v>CB</v>
          </cell>
          <cell r="F1412" t="b">
            <v>0</v>
          </cell>
          <cell r="G1412">
            <v>2551.5910976904402</v>
          </cell>
          <cell r="H1412">
            <v>2551.5910976904402</v>
          </cell>
        </row>
        <row r="1413">
          <cell r="B1413" t="str">
            <v>HATTON 11022010</v>
          </cell>
          <cell r="C1413">
            <v>182291102</v>
          </cell>
          <cell r="D1413" t="str">
            <v>HATTON 1102</v>
          </cell>
          <cell r="E1413">
            <v>2010</v>
          </cell>
          <cell r="F1413" t="b">
            <v>0</v>
          </cell>
          <cell r="G1413">
            <v>6409.6213312937798</v>
          </cell>
          <cell r="H1413">
            <v>6409.6213312937798</v>
          </cell>
        </row>
        <row r="1414">
          <cell r="B1414" t="str">
            <v>HATTON 11022070</v>
          </cell>
          <cell r="C1414">
            <v>182291102</v>
          </cell>
          <cell r="D1414" t="str">
            <v>HATTON 1102</v>
          </cell>
          <cell r="E1414">
            <v>2070</v>
          </cell>
          <cell r="F1414" t="b">
            <v>1</v>
          </cell>
          <cell r="G1414">
            <v>3077.1707341866299</v>
          </cell>
          <cell r="H1414">
            <v>843.46279359336995</v>
          </cell>
        </row>
        <row r="1415">
          <cell r="B1415" t="str">
            <v>HATTON 1102648928</v>
          </cell>
          <cell r="C1415">
            <v>182291102</v>
          </cell>
          <cell r="D1415" t="str">
            <v>HATTON 1102</v>
          </cell>
          <cell r="E1415">
            <v>648928</v>
          </cell>
          <cell r="F1415" t="b">
            <v>0</v>
          </cell>
          <cell r="G1415">
            <v>7727.8742908115701</v>
          </cell>
          <cell r="H1415">
            <v>6359.2353280759999</v>
          </cell>
        </row>
        <row r="1416">
          <cell r="B1416" t="str">
            <v>HATTON 11029642</v>
          </cell>
          <cell r="C1416">
            <v>182291102</v>
          </cell>
          <cell r="D1416" t="str">
            <v>HATTON 1102</v>
          </cell>
          <cell r="E1416">
            <v>9642</v>
          </cell>
          <cell r="F1416" t="b">
            <v>0</v>
          </cell>
          <cell r="G1416">
            <v>1925.89343872468</v>
          </cell>
          <cell r="H1416">
            <v>1925.89343872468</v>
          </cell>
        </row>
        <row r="1417">
          <cell r="B1417" t="str">
            <v>HATTON 1102CB</v>
          </cell>
          <cell r="C1417">
            <v>182291102</v>
          </cell>
          <cell r="D1417" t="str">
            <v>HATTON 1102</v>
          </cell>
          <cell r="E1417" t="str">
            <v>CB</v>
          </cell>
          <cell r="F1417" t="b">
            <v>0</v>
          </cell>
          <cell r="G1417">
            <v>7725.5743238168998</v>
          </cell>
          <cell r="H1417">
            <v>3167.0883118112802</v>
          </cell>
        </row>
        <row r="1418">
          <cell r="B1418" t="str">
            <v>HICKS 111512494</v>
          </cell>
          <cell r="C1418">
            <v>83431115</v>
          </cell>
          <cell r="D1418" t="str">
            <v>HICKS 1115</v>
          </cell>
          <cell r="E1418">
            <v>12494</v>
          </cell>
          <cell r="F1418" t="b">
            <v>1</v>
          </cell>
          <cell r="G1418">
            <v>4190.5486194180503</v>
          </cell>
          <cell r="H1418">
            <v>220.11672607041299</v>
          </cell>
        </row>
        <row r="1419">
          <cell r="B1419" t="str">
            <v>HICKS 1116203897</v>
          </cell>
          <cell r="C1419">
            <v>83431116</v>
          </cell>
          <cell r="D1419" t="str">
            <v>HICKS 1116</v>
          </cell>
          <cell r="E1419">
            <v>203897</v>
          </cell>
          <cell r="F1419" t="b">
            <v>1</v>
          </cell>
          <cell r="G1419">
            <v>1017.37128827949</v>
          </cell>
          <cell r="H1419">
            <v>367.907326942856</v>
          </cell>
        </row>
        <row r="1420">
          <cell r="B1420" t="str">
            <v>HICKS 1116583284</v>
          </cell>
          <cell r="C1420">
            <v>83431116</v>
          </cell>
          <cell r="D1420" t="str">
            <v>HICKS 1116</v>
          </cell>
          <cell r="E1420">
            <v>583284</v>
          </cell>
          <cell r="F1420" t="b">
            <v>1</v>
          </cell>
          <cell r="G1420">
            <v>404.41330974564102</v>
          </cell>
          <cell r="H1420">
            <v>236.576559077497</v>
          </cell>
        </row>
        <row r="1421">
          <cell r="B1421" t="str">
            <v>HICKS 111660050</v>
          </cell>
          <cell r="C1421">
            <v>83431116</v>
          </cell>
          <cell r="D1421" t="str">
            <v>HICKS 1116</v>
          </cell>
          <cell r="E1421">
            <v>60050</v>
          </cell>
          <cell r="F1421" t="b">
            <v>0</v>
          </cell>
          <cell r="G1421">
            <v>13116.246045398701</v>
          </cell>
          <cell r="H1421">
            <v>13116.246045398701</v>
          </cell>
        </row>
        <row r="1422">
          <cell r="B1422" t="str">
            <v>HICKS 1116733078</v>
          </cell>
          <cell r="C1422">
            <v>83431116</v>
          </cell>
          <cell r="D1422" t="str">
            <v>HICKS 1116</v>
          </cell>
          <cell r="E1422">
            <v>733078</v>
          </cell>
          <cell r="F1422" t="b">
            <v>1</v>
          </cell>
          <cell r="G1422">
            <v>567.87304079708099</v>
          </cell>
          <cell r="H1422">
            <v>551.87096969274603</v>
          </cell>
        </row>
        <row r="1423">
          <cell r="B1423" t="str">
            <v>HICKS 1116983580</v>
          </cell>
          <cell r="C1423">
            <v>83431116</v>
          </cell>
          <cell r="D1423" t="str">
            <v>HICKS 1116</v>
          </cell>
          <cell r="E1423">
            <v>983580</v>
          </cell>
          <cell r="F1423" t="b">
            <v>0</v>
          </cell>
          <cell r="G1423">
            <v>4036.4762642646701</v>
          </cell>
          <cell r="H1423">
            <v>3958.5011098178202</v>
          </cell>
        </row>
        <row r="1424">
          <cell r="B1424" t="str">
            <v>HICKS 1116CB</v>
          </cell>
          <cell r="C1424">
            <v>83431116</v>
          </cell>
          <cell r="D1424" t="str">
            <v>HICKS 1116</v>
          </cell>
          <cell r="E1424" t="str">
            <v>CB</v>
          </cell>
          <cell r="F1424" t="b">
            <v>1</v>
          </cell>
          <cell r="G1424">
            <v>22837.599065999799</v>
          </cell>
          <cell r="H1424">
            <v>336.16475525966803</v>
          </cell>
        </row>
        <row r="1425">
          <cell r="B1425" t="str">
            <v>HICKS 1116LB16</v>
          </cell>
          <cell r="C1425">
            <v>83431116</v>
          </cell>
          <cell r="D1425" t="str">
            <v>HICKS 1116</v>
          </cell>
          <cell r="E1425" t="str">
            <v>LB16</v>
          </cell>
          <cell r="F1425" t="b">
            <v>0</v>
          </cell>
          <cell r="G1425">
            <v>13211.9514616085</v>
          </cell>
          <cell r="H1425">
            <v>4399.06523296668</v>
          </cell>
        </row>
        <row r="1426">
          <cell r="B1426" t="str">
            <v>HICKS 2101574315</v>
          </cell>
          <cell r="C1426">
            <v>83432101</v>
          </cell>
          <cell r="D1426" t="str">
            <v>HICKS 2101</v>
          </cell>
          <cell r="E1426">
            <v>574315</v>
          </cell>
          <cell r="F1426" t="b">
            <v>0</v>
          </cell>
          <cell r="G1426">
            <v>12024.0849205549</v>
          </cell>
          <cell r="H1426">
            <v>11904.985243946199</v>
          </cell>
        </row>
        <row r="1427">
          <cell r="B1427" t="str">
            <v>HICKS 2101949522</v>
          </cell>
          <cell r="C1427">
            <v>83432101</v>
          </cell>
          <cell r="D1427" t="str">
            <v>HICKS 2101</v>
          </cell>
          <cell r="E1427">
            <v>949522</v>
          </cell>
          <cell r="F1427" t="b">
            <v>1</v>
          </cell>
          <cell r="G1427">
            <v>726.83279886257003</v>
          </cell>
          <cell r="H1427">
            <v>708.21713310160897</v>
          </cell>
        </row>
        <row r="1428">
          <cell r="B1428" t="str">
            <v>HICKS 2101984788</v>
          </cell>
          <cell r="C1428">
            <v>83432101</v>
          </cell>
          <cell r="D1428" t="str">
            <v>HICKS 2101</v>
          </cell>
          <cell r="E1428">
            <v>984788</v>
          </cell>
          <cell r="F1428" t="b">
            <v>1</v>
          </cell>
          <cell r="G1428">
            <v>5.0643705740422398</v>
          </cell>
          <cell r="H1428">
            <v>5.0643705740422398</v>
          </cell>
        </row>
        <row r="1429">
          <cell r="B1429" t="str">
            <v>HICKS 2101CB</v>
          </cell>
          <cell r="C1429">
            <v>83432101</v>
          </cell>
          <cell r="D1429" t="str">
            <v>HICKS 2101</v>
          </cell>
          <cell r="E1429" t="str">
            <v>CB</v>
          </cell>
          <cell r="F1429" t="b">
            <v>0</v>
          </cell>
          <cell r="G1429">
            <v>17493.694873956301</v>
          </cell>
          <cell r="H1429">
            <v>8660.4867047795997</v>
          </cell>
        </row>
        <row r="1430">
          <cell r="B1430" t="str">
            <v>HICKS 2101XR162</v>
          </cell>
          <cell r="C1430">
            <v>83432101</v>
          </cell>
          <cell r="D1430" t="str">
            <v>HICKS 2101</v>
          </cell>
          <cell r="E1430" t="str">
            <v>XR162</v>
          </cell>
          <cell r="F1430" t="b">
            <v>1</v>
          </cell>
          <cell r="G1430">
            <v>14645.8547844146</v>
          </cell>
          <cell r="H1430">
            <v>989.17650867635803</v>
          </cell>
        </row>
        <row r="1431">
          <cell r="B1431" t="str">
            <v>HICKS 2101XR250</v>
          </cell>
          <cell r="C1431">
            <v>83432101</v>
          </cell>
          <cell r="D1431" t="str">
            <v>HICKS 2101</v>
          </cell>
          <cell r="E1431" t="str">
            <v>XR250</v>
          </cell>
          <cell r="F1431" t="b">
            <v>1</v>
          </cell>
          <cell r="G1431">
            <v>9406.4623760586692</v>
          </cell>
          <cell r="H1431">
            <v>0</v>
          </cell>
        </row>
        <row r="1432">
          <cell r="B1432" t="str">
            <v>HICKS 2101XR548</v>
          </cell>
          <cell r="C1432">
            <v>83432101</v>
          </cell>
          <cell r="D1432" t="str">
            <v>HICKS 2101</v>
          </cell>
          <cell r="E1432" t="str">
            <v>XR548</v>
          </cell>
          <cell r="F1432" t="b">
            <v>0</v>
          </cell>
          <cell r="G1432">
            <v>14288.883881473799</v>
          </cell>
          <cell r="H1432">
            <v>2708.1629102576298</v>
          </cell>
        </row>
        <row r="1433">
          <cell r="B1433" t="str">
            <v>HICKS 2103LB50</v>
          </cell>
          <cell r="C1433">
            <v>83432103</v>
          </cell>
          <cell r="D1433" t="str">
            <v>HICKS 2103</v>
          </cell>
          <cell r="E1433" t="str">
            <v>LB50</v>
          </cell>
          <cell r="F1433" t="b">
            <v>0</v>
          </cell>
          <cell r="G1433">
            <v>18304.0567836724</v>
          </cell>
          <cell r="H1433">
            <v>18130.258143359199</v>
          </cell>
        </row>
        <row r="1434">
          <cell r="B1434" t="str">
            <v>HICKS 2103XR248</v>
          </cell>
          <cell r="C1434">
            <v>83432103</v>
          </cell>
          <cell r="D1434" t="str">
            <v>HICKS 2103</v>
          </cell>
          <cell r="E1434" t="str">
            <v>XR248</v>
          </cell>
          <cell r="F1434" t="b">
            <v>1</v>
          </cell>
          <cell r="G1434">
            <v>2436.81914362611</v>
          </cell>
          <cell r="H1434">
            <v>0</v>
          </cell>
        </row>
        <row r="1435">
          <cell r="B1435" t="str">
            <v>HIGGINS 11032194</v>
          </cell>
          <cell r="C1435">
            <v>152691103</v>
          </cell>
          <cell r="D1435" t="str">
            <v>HIGGINS 1103</v>
          </cell>
          <cell r="E1435">
            <v>2194</v>
          </cell>
          <cell r="F1435" t="b">
            <v>0</v>
          </cell>
          <cell r="G1435">
            <v>4329.2095929759998</v>
          </cell>
          <cell r="H1435">
            <v>2142.6429308778702</v>
          </cell>
        </row>
        <row r="1436">
          <cell r="B1436" t="str">
            <v>HIGGINS 110332120</v>
          </cell>
          <cell r="C1436">
            <v>152691103</v>
          </cell>
          <cell r="D1436" t="str">
            <v>HIGGINS 1103</v>
          </cell>
          <cell r="E1436">
            <v>32120</v>
          </cell>
          <cell r="F1436" t="b">
            <v>0</v>
          </cell>
          <cell r="G1436">
            <v>65924.487158275399</v>
          </cell>
          <cell r="H1436">
            <v>65394.326932946402</v>
          </cell>
        </row>
        <row r="1437">
          <cell r="B1437" t="str">
            <v>HIGGINS 11039753</v>
          </cell>
          <cell r="C1437">
            <v>152691103</v>
          </cell>
          <cell r="D1437" t="str">
            <v>HIGGINS 1103</v>
          </cell>
          <cell r="E1437">
            <v>9753</v>
          </cell>
          <cell r="F1437" t="b">
            <v>0</v>
          </cell>
          <cell r="G1437">
            <v>3306.11658931595</v>
          </cell>
          <cell r="H1437">
            <v>3306.11658931595</v>
          </cell>
        </row>
        <row r="1438">
          <cell r="B1438" t="str">
            <v>HIGGINS 1103995672</v>
          </cell>
          <cell r="C1438">
            <v>152691103</v>
          </cell>
          <cell r="D1438" t="str">
            <v>HIGGINS 1103</v>
          </cell>
          <cell r="E1438">
            <v>995672</v>
          </cell>
          <cell r="F1438" t="b">
            <v>0</v>
          </cell>
          <cell r="G1438">
            <v>9263.8952506060195</v>
          </cell>
          <cell r="H1438">
            <v>5928.6386538030802</v>
          </cell>
        </row>
        <row r="1439">
          <cell r="B1439" t="str">
            <v>HIGGINS 1103CB</v>
          </cell>
          <cell r="C1439">
            <v>152691103</v>
          </cell>
          <cell r="D1439" t="str">
            <v>HIGGINS 1103</v>
          </cell>
          <cell r="E1439" t="str">
            <v>CB</v>
          </cell>
          <cell r="F1439" t="b">
            <v>0</v>
          </cell>
          <cell r="G1439">
            <v>45692.9259642748</v>
          </cell>
          <cell r="H1439">
            <v>45174.683852346003</v>
          </cell>
        </row>
        <row r="1440">
          <cell r="B1440" t="str">
            <v>HIGGINS 11041006</v>
          </cell>
          <cell r="C1440">
            <v>152691104</v>
          </cell>
          <cell r="D1440" t="str">
            <v>HIGGINS 1104</v>
          </cell>
          <cell r="E1440">
            <v>1006</v>
          </cell>
          <cell r="F1440" t="b">
            <v>0</v>
          </cell>
          <cell r="G1440">
            <v>32324.699246511002</v>
          </cell>
          <cell r="H1440">
            <v>17529.482635058299</v>
          </cell>
        </row>
        <row r="1441">
          <cell r="B1441" t="str">
            <v>HIGGINS 11041374</v>
          </cell>
          <cell r="C1441">
            <v>152691104</v>
          </cell>
          <cell r="D1441" t="str">
            <v>HIGGINS 1104</v>
          </cell>
          <cell r="E1441">
            <v>1374</v>
          </cell>
          <cell r="F1441" t="b">
            <v>0</v>
          </cell>
          <cell r="G1441">
            <v>13460.5941122893</v>
          </cell>
          <cell r="H1441">
            <v>12470.1526788919</v>
          </cell>
        </row>
        <row r="1442">
          <cell r="B1442" t="str">
            <v>HIGGINS 1104324510</v>
          </cell>
          <cell r="C1442">
            <v>152691104</v>
          </cell>
          <cell r="D1442" t="str">
            <v>HIGGINS 1104</v>
          </cell>
          <cell r="E1442">
            <v>324510</v>
          </cell>
          <cell r="F1442" t="b">
            <v>0</v>
          </cell>
          <cell r="G1442">
            <v>20073.601562271098</v>
          </cell>
          <cell r="H1442">
            <v>20073.601562271098</v>
          </cell>
        </row>
        <row r="1443">
          <cell r="B1443" t="str">
            <v>HIGGINS 110432747</v>
          </cell>
          <cell r="C1443">
            <v>152691104</v>
          </cell>
          <cell r="D1443" t="str">
            <v>HIGGINS 1104</v>
          </cell>
          <cell r="E1443">
            <v>32747</v>
          </cell>
          <cell r="F1443" t="b">
            <v>0</v>
          </cell>
          <cell r="G1443">
            <v>2820.8108466640801</v>
          </cell>
          <cell r="H1443">
            <v>1047.4929480296501</v>
          </cell>
        </row>
        <row r="1444">
          <cell r="B1444" t="str">
            <v>HIGGINS 11044281</v>
          </cell>
          <cell r="C1444">
            <v>152691104</v>
          </cell>
          <cell r="D1444" t="str">
            <v>HIGGINS 1104</v>
          </cell>
          <cell r="E1444">
            <v>4281</v>
          </cell>
          <cell r="F1444" t="b">
            <v>0</v>
          </cell>
          <cell r="G1444">
            <v>21439.832029327201</v>
          </cell>
          <cell r="H1444">
            <v>21439.832029327201</v>
          </cell>
        </row>
        <row r="1445">
          <cell r="B1445" t="str">
            <v>HIGGINS 1104498932</v>
          </cell>
          <cell r="C1445">
            <v>152691104</v>
          </cell>
          <cell r="D1445" t="str">
            <v>HIGGINS 1104</v>
          </cell>
          <cell r="E1445">
            <v>498932</v>
          </cell>
          <cell r="F1445" t="b">
            <v>0</v>
          </cell>
          <cell r="G1445">
            <v>6861.4640550055001</v>
          </cell>
          <cell r="H1445">
            <v>6024.2456307666298</v>
          </cell>
        </row>
        <row r="1446">
          <cell r="B1446" t="str">
            <v>HIGGINS 1104533648</v>
          </cell>
          <cell r="C1446">
            <v>152691104</v>
          </cell>
          <cell r="D1446" t="str">
            <v>HIGGINS 1104</v>
          </cell>
          <cell r="E1446">
            <v>533648</v>
          </cell>
          <cell r="F1446" t="b">
            <v>0</v>
          </cell>
          <cell r="G1446">
            <v>10867.8258445751</v>
          </cell>
          <cell r="H1446">
            <v>10867.8258445751</v>
          </cell>
        </row>
        <row r="1447">
          <cell r="B1447" t="str">
            <v>HIGGINS 1104842642</v>
          </cell>
          <cell r="C1447">
            <v>152691104</v>
          </cell>
          <cell r="D1447" t="str">
            <v>HIGGINS 1104</v>
          </cell>
          <cell r="E1447">
            <v>842642</v>
          </cell>
          <cell r="F1447" t="b">
            <v>0</v>
          </cell>
          <cell r="G1447">
            <v>9353.8420351348504</v>
          </cell>
          <cell r="H1447">
            <v>9353.8420351348504</v>
          </cell>
        </row>
        <row r="1448">
          <cell r="B1448" t="str">
            <v>HIGGINS 1104CB</v>
          </cell>
          <cell r="C1448">
            <v>152691104</v>
          </cell>
          <cell r="D1448" t="str">
            <v>HIGGINS 1104</v>
          </cell>
          <cell r="E1448" t="str">
            <v>CB</v>
          </cell>
          <cell r="F1448" t="b">
            <v>0</v>
          </cell>
          <cell r="G1448">
            <v>18716.511046832598</v>
          </cell>
          <cell r="H1448">
            <v>18050.107202015599</v>
          </cell>
        </row>
        <row r="1449">
          <cell r="B1449" t="str">
            <v>HIGGINS 11071070</v>
          </cell>
          <cell r="C1449">
            <v>152691107</v>
          </cell>
          <cell r="D1449" t="str">
            <v>HIGGINS 1107</v>
          </cell>
          <cell r="E1449">
            <v>1070</v>
          </cell>
          <cell r="F1449" t="b">
            <v>0</v>
          </cell>
          <cell r="G1449">
            <v>13188.313533311701</v>
          </cell>
          <cell r="H1449">
            <v>12735.664596652001</v>
          </cell>
        </row>
        <row r="1450">
          <cell r="B1450" t="str">
            <v>HIGGINS 1107746082</v>
          </cell>
          <cell r="C1450">
            <v>152691107</v>
          </cell>
          <cell r="D1450" t="str">
            <v>HIGGINS 1107</v>
          </cell>
          <cell r="E1450">
            <v>746082</v>
          </cell>
          <cell r="F1450" t="b">
            <v>0</v>
          </cell>
          <cell r="G1450">
            <v>1306.1318016462899</v>
          </cell>
          <cell r="H1450">
            <v>1306.1318016462899</v>
          </cell>
        </row>
        <row r="1451">
          <cell r="B1451" t="str">
            <v>HIGGINS 11077559</v>
          </cell>
          <cell r="C1451">
            <v>152691107</v>
          </cell>
          <cell r="D1451" t="str">
            <v>HIGGINS 1107</v>
          </cell>
          <cell r="E1451">
            <v>7559</v>
          </cell>
          <cell r="F1451" t="b">
            <v>0</v>
          </cell>
          <cell r="G1451">
            <v>7193.5228796885303</v>
          </cell>
          <cell r="H1451">
            <v>7193.5228796885303</v>
          </cell>
        </row>
        <row r="1452">
          <cell r="B1452" t="str">
            <v>HIGGINS 1107CB</v>
          </cell>
          <cell r="C1452">
            <v>152691107</v>
          </cell>
          <cell r="D1452" t="str">
            <v>HIGGINS 1107</v>
          </cell>
          <cell r="E1452" t="str">
            <v>CB</v>
          </cell>
          <cell r="F1452" t="b">
            <v>0</v>
          </cell>
          <cell r="G1452">
            <v>30614.892207973298</v>
          </cell>
          <cell r="H1452">
            <v>9216.7854029296905</v>
          </cell>
        </row>
        <row r="1453">
          <cell r="B1453" t="str">
            <v>HIGGINS 110950072</v>
          </cell>
          <cell r="C1453">
            <v>152691109</v>
          </cell>
          <cell r="D1453" t="str">
            <v>HIGGINS 1109</v>
          </cell>
          <cell r="E1453">
            <v>50072</v>
          </cell>
          <cell r="F1453" t="b">
            <v>0</v>
          </cell>
          <cell r="G1453">
            <v>68212.365649637504</v>
          </cell>
          <cell r="H1453">
            <v>68212.365649637504</v>
          </cell>
        </row>
        <row r="1454">
          <cell r="B1454" t="str">
            <v>HIGGINS 110950078</v>
          </cell>
          <cell r="C1454">
            <v>152691109</v>
          </cell>
          <cell r="D1454" t="str">
            <v>HIGGINS 1109</v>
          </cell>
          <cell r="E1454">
            <v>50078</v>
          </cell>
          <cell r="F1454" t="b">
            <v>0</v>
          </cell>
          <cell r="G1454">
            <v>77925.0015467872</v>
          </cell>
          <cell r="H1454">
            <v>77925.0015467872</v>
          </cell>
        </row>
        <row r="1455">
          <cell r="B1455" t="str">
            <v>HIGGINS 1109594</v>
          </cell>
          <cell r="C1455">
            <v>152691109</v>
          </cell>
          <cell r="D1455" t="str">
            <v>HIGGINS 1109</v>
          </cell>
          <cell r="E1455">
            <v>594</v>
          </cell>
          <cell r="F1455" t="b">
            <v>0</v>
          </cell>
          <cell r="G1455">
            <v>23079.044722105598</v>
          </cell>
          <cell r="H1455">
            <v>23079.044722105598</v>
          </cell>
        </row>
        <row r="1456">
          <cell r="B1456" t="str">
            <v>HIGGINS 11097831</v>
          </cell>
          <cell r="C1456">
            <v>152691109</v>
          </cell>
          <cell r="D1456" t="str">
            <v>HIGGINS 1109</v>
          </cell>
          <cell r="E1456">
            <v>7831</v>
          </cell>
          <cell r="F1456" t="b">
            <v>0</v>
          </cell>
          <cell r="G1456">
            <v>14300.9674002306</v>
          </cell>
          <cell r="H1456">
            <v>14300.9674002306</v>
          </cell>
        </row>
        <row r="1457">
          <cell r="B1457" t="str">
            <v>HIGGINS 11097863</v>
          </cell>
          <cell r="C1457">
            <v>152691109</v>
          </cell>
          <cell r="D1457" t="str">
            <v>HIGGINS 1109</v>
          </cell>
          <cell r="E1457">
            <v>7863</v>
          </cell>
          <cell r="F1457" t="b">
            <v>0</v>
          </cell>
          <cell r="G1457">
            <v>6797.0988263785503</v>
          </cell>
          <cell r="H1457">
            <v>6797.0988263785503</v>
          </cell>
        </row>
        <row r="1458">
          <cell r="B1458" t="str">
            <v>HIGGINS 1109CB</v>
          </cell>
          <cell r="C1458">
            <v>152691109</v>
          </cell>
          <cell r="D1458" t="str">
            <v>HIGGINS 1109</v>
          </cell>
          <cell r="E1458" t="str">
            <v>CB</v>
          </cell>
          <cell r="F1458" t="b">
            <v>0</v>
          </cell>
          <cell r="G1458">
            <v>37179.854717438</v>
          </cell>
          <cell r="H1458">
            <v>36440.098877938697</v>
          </cell>
        </row>
        <row r="1459">
          <cell r="B1459" t="str">
            <v>HIGGINS 1110166282</v>
          </cell>
          <cell r="C1459">
            <v>152691110</v>
          </cell>
          <cell r="D1459" t="str">
            <v>HIGGINS 1110</v>
          </cell>
          <cell r="E1459">
            <v>166282</v>
          </cell>
          <cell r="F1459" t="b">
            <v>0</v>
          </cell>
          <cell r="G1459">
            <v>38601.3639551792</v>
          </cell>
          <cell r="H1459">
            <v>38601.3639551792</v>
          </cell>
        </row>
        <row r="1460">
          <cell r="B1460" t="str">
            <v>HIGGINS 11102408</v>
          </cell>
          <cell r="C1460">
            <v>152691110</v>
          </cell>
          <cell r="D1460" t="str">
            <v>HIGGINS 1110</v>
          </cell>
          <cell r="E1460">
            <v>2408</v>
          </cell>
          <cell r="F1460" t="b">
            <v>0</v>
          </cell>
          <cell r="G1460">
            <v>18614.566083025002</v>
          </cell>
          <cell r="H1460">
            <v>18614.566083025002</v>
          </cell>
        </row>
        <row r="1461">
          <cell r="B1461" t="str">
            <v>HIGGINS 111051794</v>
          </cell>
          <cell r="C1461">
            <v>152691110</v>
          </cell>
          <cell r="D1461" t="str">
            <v>HIGGINS 1110</v>
          </cell>
          <cell r="E1461">
            <v>51794</v>
          </cell>
          <cell r="F1461" t="b">
            <v>0</v>
          </cell>
          <cell r="G1461">
            <v>6308.4166507268201</v>
          </cell>
          <cell r="H1461">
            <v>6303.8445592251501</v>
          </cell>
        </row>
        <row r="1462">
          <cell r="B1462" t="str">
            <v>HIGGINS 1110861610</v>
          </cell>
          <cell r="C1462">
            <v>152691110</v>
          </cell>
          <cell r="D1462" t="str">
            <v>HIGGINS 1110</v>
          </cell>
          <cell r="E1462">
            <v>861610</v>
          </cell>
          <cell r="F1462" t="b">
            <v>0</v>
          </cell>
          <cell r="G1462">
            <v>11222.360298448501</v>
          </cell>
          <cell r="H1462">
            <v>1689.7743420485799</v>
          </cell>
        </row>
        <row r="1463">
          <cell r="B1463" t="str">
            <v>HIGGINS 1110869408</v>
          </cell>
          <cell r="C1463">
            <v>152691110</v>
          </cell>
          <cell r="D1463" t="str">
            <v>HIGGINS 1110</v>
          </cell>
          <cell r="E1463">
            <v>869408</v>
          </cell>
          <cell r="F1463" t="b">
            <v>1</v>
          </cell>
          <cell r="G1463">
            <v>710.71028545776403</v>
          </cell>
          <cell r="H1463">
            <v>710.71028545776403</v>
          </cell>
        </row>
        <row r="1464">
          <cell r="B1464" t="str">
            <v>HIGGINS 1110CB</v>
          </cell>
          <cell r="C1464">
            <v>152691110</v>
          </cell>
          <cell r="D1464" t="str">
            <v>HIGGINS 1110</v>
          </cell>
          <cell r="E1464" t="str">
            <v>CB</v>
          </cell>
          <cell r="F1464" t="b">
            <v>0</v>
          </cell>
          <cell r="G1464">
            <v>17394.4701573026</v>
          </cell>
          <cell r="H1464">
            <v>14019.0952471533</v>
          </cell>
        </row>
        <row r="1465">
          <cell r="B1465" t="str">
            <v>HIGHLANDS 1101CB</v>
          </cell>
          <cell r="C1465">
            <v>43361101</v>
          </cell>
          <cell r="D1465" t="str">
            <v>HIGHLANDS 1101</v>
          </cell>
          <cell r="E1465" t="str">
            <v>CB</v>
          </cell>
          <cell r="F1465" t="b">
            <v>1</v>
          </cell>
          <cell r="G1465">
            <v>42.501941755413696</v>
          </cell>
          <cell r="H1465">
            <v>42.501941755413696</v>
          </cell>
        </row>
        <row r="1466">
          <cell r="B1466" t="str">
            <v>HIGHLANDS 1102556</v>
          </cell>
          <cell r="C1466">
            <v>43361102</v>
          </cell>
          <cell r="D1466" t="str">
            <v>HIGHLANDS 1102</v>
          </cell>
          <cell r="E1466">
            <v>556</v>
          </cell>
          <cell r="F1466" t="b">
            <v>1</v>
          </cell>
          <cell r="G1466">
            <v>12171.5187416013</v>
          </cell>
          <cell r="H1466">
            <v>285.91310554896199</v>
          </cell>
        </row>
        <row r="1467">
          <cell r="B1467" t="str">
            <v>HIGHLANDS 1102623120</v>
          </cell>
          <cell r="C1467">
            <v>43361102</v>
          </cell>
          <cell r="D1467" t="str">
            <v>HIGHLANDS 1102</v>
          </cell>
          <cell r="E1467">
            <v>623120</v>
          </cell>
          <cell r="F1467" t="b">
            <v>0</v>
          </cell>
          <cell r="G1467">
            <v>12233.579004352599</v>
          </cell>
          <cell r="H1467">
            <v>10535.1094454586</v>
          </cell>
        </row>
        <row r="1468">
          <cell r="B1468" t="str">
            <v>HIGHLANDS 1102628</v>
          </cell>
          <cell r="C1468">
            <v>43361102</v>
          </cell>
          <cell r="D1468" t="str">
            <v>HIGHLANDS 1102</v>
          </cell>
          <cell r="E1468">
            <v>628</v>
          </cell>
          <cell r="F1468" t="b">
            <v>0</v>
          </cell>
          <cell r="G1468">
            <v>22883.904994214499</v>
          </cell>
          <cell r="H1468">
            <v>22883.904994214499</v>
          </cell>
        </row>
        <row r="1469">
          <cell r="B1469" t="str">
            <v>HIGHLANDS 110275140</v>
          </cell>
          <cell r="C1469">
            <v>43361102</v>
          </cell>
          <cell r="D1469" t="str">
            <v>HIGHLANDS 1102</v>
          </cell>
          <cell r="E1469">
            <v>75140</v>
          </cell>
          <cell r="F1469" t="b">
            <v>0</v>
          </cell>
          <cell r="G1469">
            <v>32224.010464756298</v>
          </cell>
          <cell r="H1469">
            <v>13968.9875426574</v>
          </cell>
        </row>
        <row r="1470">
          <cell r="B1470" t="str">
            <v>HIGHLANDS 1102CB</v>
          </cell>
          <cell r="C1470">
            <v>43361102</v>
          </cell>
          <cell r="D1470" t="str">
            <v>HIGHLANDS 1102</v>
          </cell>
          <cell r="E1470" t="str">
            <v>CB</v>
          </cell>
          <cell r="F1470" t="b">
            <v>0</v>
          </cell>
          <cell r="G1470">
            <v>11922.4207020824</v>
          </cell>
          <cell r="H1470">
            <v>11922.4207020824</v>
          </cell>
        </row>
        <row r="1471">
          <cell r="B1471" t="str">
            <v>HIGHLANDS 11031282</v>
          </cell>
          <cell r="C1471">
            <v>43361103</v>
          </cell>
          <cell r="D1471" t="str">
            <v>HIGHLANDS 1103</v>
          </cell>
          <cell r="E1471">
            <v>1282</v>
          </cell>
          <cell r="F1471" t="b">
            <v>0</v>
          </cell>
          <cell r="G1471">
            <v>26604.671289630001</v>
          </cell>
          <cell r="H1471">
            <v>22934.927690096902</v>
          </cell>
        </row>
        <row r="1472">
          <cell r="B1472" t="str">
            <v>HIGHLANDS 11034630</v>
          </cell>
          <cell r="C1472">
            <v>43361103</v>
          </cell>
          <cell r="D1472" t="str">
            <v>HIGHLANDS 1103</v>
          </cell>
          <cell r="E1472">
            <v>4630</v>
          </cell>
          <cell r="F1472" t="b">
            <v>0</v>
          </cell>
          <cell r="G1472">
            <v>5558.0772792913904</v>
          </cell>
          <cell r="H1472">
            <v>1729.1766994256</v>
          </cell>
        </row>
        <row r="1473">
          <cell r="B1473" t="str">
            <v>HIGHLANDS 1103482</v>
          </cell>
          <cell r="C1473">
            <v>43361103</v>
          </cell>
          <cell r="D1473" t="str">
            <v>HIGHLANDS 1103</v>
          </cell>
          <cell r="E1473">
            <v>482</v>
          </cell>
          <cell r="F1473" t="b">
            <v>0</v>
          </cell>
          <cell r="G1473">
            <v>41604.967879563897</v>
          </cell>
          <cell r="H1473">
            <v>39433.473619385397</v>
          </cell>
        </row>
        <row r="1474">
          <cell r="B1474" t="str">
            <v>HIGHLANDS 1103520</v>
          </cell>
          <cell r="C1474">
            <v>43361103</v>
          </cell>
          <cell r="D1474" t="str">
            <v>HIGHLANDS 1103</v>
          </cell>
          <cell r="E1474">
            <v>520</v>
          </cell>
          <cell r="F1474" t="b">
            <v>0</v>
          </cell>
          <cell r="G1474">
            <v>75123.245971149605</v>
          </cell>
          <cell r="H1474">
            <v>75123.245971149605</v>
          </cell>
        </row>
        <row r="1475">
          <cell r="B1475" t="str">
            <v>HIGHLANDS 1103568</v>
          </cell>
          <cell r="C1475">
            <v>43361103</v>
          </cell>
          <cell r="D1475" t="str">
            <v>HIGHLANDS 1103</v>
          </cell>
          <cell r="E1475">
            <v>568</v>
          </cell>
          <cell r="F1475" t="b">
            <v>0</v>
          </cell>
          <cell r="G1475">
            <v>14789.9902558706</v>
          </cell>
          <cell r="H1475">
            <v>12940.618395454199</v>
          </cell>
        </row>
        <row r="1476">
          <cell r="B1476" t="str">
            <v>HIGHLANDS 1103828</v>
          </cell>
          <cell r="C1476">
            <v>43361103</v>
          </cell>
          <cell r="D1476" t="str">
            <v>HIGHLANDS 1103</v>
          </cell>
          <cell r="E1476">
            <v>828</v>
          </cell>
          <cell r="F1476" t="b">
            <v>0</v>
          </cell>
          <cell r="G1476">
            <v>17153.3337879235</v>
          </cell>
          <cell r="H1476">
            <v>13828.970607049299</v>
          </cell>
        </row>
        <row r="1477">
          <cell r="B1477" t="str">
            <v>HIGHLANDS 1103CB</v>
          </cell>
          <cell r="C1477">
            <v>43361103</v>
          </cell>
          <cell r="D1477" t="str">
            <v>HIGHLANDS 1103</v>
          </cell>
          <cell r="E1477" t="str">
            <v>CB</v>
          </cell>
          <cell r="F1477" t="b">
            <v>0</v>
          </cell>
          <cell r="G1477">
            <v>19725.7627940989</v>
          </cell>
          <cell r="H1477">
            <v>17048.206957239199</v>
          </cell>
        </row>
        <row r="1478">
          <cell r="B1478" t="str">
            <v>HIGHLANDS 110439458</v>
          </cell>
          <cell r="C1478">
            <v>43361104</v>
          </cell>
          <cell r="D1478" t="str">
            <v>HIGHLANDS 1104</v>
          </cell>
          <cell r="E1478">
            <v>39458</v>
          </cell>
          <cell r="F1478" t="b">
            <v>0</v>
          </cell>
          <cell r="G1478">
            <v>8594.1592227701294</v>
          </cell>
          <cell r="H1478">
            <v>1902.65305764866</v>
          </cell>
        </row>
        <row r="1479">
          <cell r="B1479" t="str">
            <v>HIGHLANDS 110448262</v>
          </cell>
          <cell r="C1479">
            <v>43361104</v>
          </cell>
          <cell r="D1479" t="str">
            <v>HIGHLANDS 1104</v>
          </cell>
          <cell r="E1479">
            <v>48262</v>
          </cell>
          <cell r="F1479" t="b">
            <v>0</v>
          </cell>
          <cell r="G1479">
            <v>9974.9979509738696</v>
          </cell>
          <cell r="H1479">
            <v>9974.9979509738696</v>
          </cell>
        </row>
        <row r="1480">
          <cell r="B1480" t="str">
            <v>HIGHLANDS 110484640</v>
          </cell>
          <cell r="C1480">
            <v>43361104</v>
          </cell>
          <cell r="D1480" t="str">
            <v>HIGHLANDS 1104</v>
          </cell>
          <cell r="E1480">
            <v>84640</v>
          </cell>
          <cell r="F1480" t="b">
            <v>1</v>
          </cell>
          <cell r="G1480">
            <v>1219.4212504493901</v>
          </cell>
          <cell r="H1480">
            <v>660.54758509850001</v>
          </cell>
        </row>
        <row r="1481">
          <cell r="B1481" t="str">
            <v>HIGHLANDS 1104CB</v>
          </cell>
          <cell r="C1481">
            <v>43361104</v>
          </cell>
          <cell r="D1481" t="str">
            <v>HIGHLANDS 1104</v>
          </cell>
          <cell r="E1481" t="str">
            <v>CB</v>
          </cell>
          <cell r="F1481" t="b">
            <v>0</v>
          </cell>
          <cell r="G1481">
            <v>13332.3504487215</v>
          </cell>
          <cell r="H1481">
            <v>7661.9306287496302</v>
          </cell>
        </row>
        <row r="1482">
          <cell r="B1482" t="str">
            <v>HOLLISTER 2102113634</v>
          </cell>
          <cell r="C1482">
            <v>182492102</v>
          </cell>
          <cell r="D1482" t="str">
            <v>HOLLISTER 2102</v>
          </cell>
          <cell r="E1482">
            <v>113634</v>
          </cell>
          <cell r="F1482" t="b">
            <v>0</v>
          </cell>
          <cell r="G1482">
            <v>13932.9880045789</v>
          </cell>
          <cell r="H1482">
            <v>2941.0752148031702</v>
          </cell>
        </row>
        <row r="1483">
          <cell r="B1483" t="str">
            <v>HOLLISTER 2102676164</v>
          </cell>
          <cell r="C1483">
            <v>182492102</v>
          </cell>
          <cell r="D1483" t="str">
            <v>HOLLISTER 2102</v>
          </cell>
          <cell r="E1483">
            <v>676164</v>
          </cell>
          <cell r="F1483" t="b">
            <v>1</v>
          </cell>
          <cell r="G1483">
            <v>4417.8948197739901</v>
          </cell>
          <cell r="H1483">
            <v>487.500778254637</v>
          </cell>
        </row>
        <row r="1484">
          <cell r="B1484" t="str">
            <v>HOLLISTER 2102855412</v>
          </cell>
          <cell r="C1484">
            <v>182492102</v>
          </cell>
          <cell r="D1484" t="str">
            <v>HOLLISTER 2102</v>
          </cell>
          <cell r="E1484">
            <v>855412</v>
          </cell>
          <cell r="F1484" t="b">
            <v>0</v>
          </cell>
          <cell r="G1484">
            <v>50683.351613060702</v>
          </cell>
          <cell r="H1484">
            <v>45702.3864701848</v>
          </cell>
        </row>
        <row r="1485">
          <cell r="B1485" t="str">
            <v>HOLLISTER 2104117328</v>
          </cell>
          <cell r="C1485">
            <v>182492104</v>
          </cell>
          <cell r="D1485" t="str">
            <v>HOLLISTER 2104</v>
          </cell>
          <cell r="E1485">
            <v>117328</v>
          </cell>
          <cell r="F1485" t="b">
            <v>0</v>
          </cell>
          <cell r="G1485">
            <v>23158.473189384698</v>
          </cell>
          <cell r="H1485">
            <v>9894.6539219304304</v>
          </cell>
        </row>
        <row r="1486">
          <cell r="B1486" t="str">
            <v>HOLLISTER 210491424</v>
          </cell>
          <cell r="C1486">
            <v>182492104</v>
          </cell>
          <cell r="D1486" t="str">
            <v>HOLLISTER 2104</v>
          </cell>
          <cell r="E1486">
            <v>91424</v>
          </cell>
          <cell r="F1486" t="b">
            <v>1</v>
          </cell>
          <cell r="G1486">
            <v>14089.3649408078</v>
          </cell>
          <cell r="H1486">
            <v>303.16583518812701</v>
          </cell>
        </row>
        <row r="1487">
          <cell r="B1487" t="str">
            <v>HOLLISTER 21054018</v>
          </cell>
          <cell r="C1487">
            <v>182492105</v>
          </cell>
          <cell r="D1487" t="str">
            <v>HOLLISTER 2105</v>
          </cell>
          <cell r="E1487">
            <v>4018</v>
          </cell>
          <cell r="F1487" t="b">
            <v>0</v>
          </cell>
          <cell r="G1487">
            <v>85010.366765432307</v>
          </cell>
          <cell r="H1487">
            <v>71470.996412431807</v>
          </cell>
        </row>
        <row r="1488">
          <cell r="B1488" t="str">
            <v>HOLLISTER 21054048</v>
          </cell>
          <cell r="C1488">
            <v>182492105</v>
          </cell>
          <cell r="D1488" t="str">
            <v>HOLLISTER 2105</v>
          </cell>
          <cell r="E1488">
            <v>4048</v>
          </cell>
          <cell r="F1488" t="b">
            <v>0</v>
          </cell>
          <cell r="G1488">
            <v>45554.479413275898</v>
          </cell>
          <cell r="H1488">
            <v>29209.899721362301</v>
          </cell>
        </row>
        <row r="1489">
          <cell r="B1489" t="str">
            <v>HOLLISTER 2105480430</v>
          </cell>
          <cell r="C1489">
            <v>182492105</v>
          </cell>
          <cell r="D1489" t="str">
            <v>HOLLISTER 2105</v>
          </cell>
          <cell r="E1489">
            <v>480430</v>
          </cell>
          <cell r="F1489" t="b">
            <v>0</v>
          </cell>
          <cell r="G1489">
            <v>8153.3700147445797</v>
          </cell>
          <cell r="H1489">
            <v>1450.1347942274699</v>
          </cell>
        </row>
        <row r="1490">
          <cell r="B1490" t="str">
            <v>HOLLISTER 2105903238</v>
          </cell>
          <cell r="C1490">
            <v>182492105</v>
          </cell>
          <cell r="D1490" t="str">
            <v>HOLLISTER 2105</v>
          </cell>
          <cell r="E1490">
            <v>903238</v>
          </cell>
          <cell r="F1490" t="b">
            <v>0</v>
          </cell>
          <cell r="G1490">
            <v>9893.8006508589006</v>
          </cell>
          <cell r="H1490">
            <v>6450.8713163377297</v>
          </cell>
        </row>
        <row r="1491">
          <cell r="B1491" t="str">
            <v>HOLLISTER 21064004</v>
          </cell>
          <cell r="C1491">
            <v>182492106</v>
          </cell>
          <cell r="D1491" t="str">
            <v>HOLLISTER 2106</v>
          </cell>
          <cell r="E1491">
            <v>4004</v>
          </cell>
          <cell r="F1491" t="b">
            <v>0</v>
          </cell>
          <cell r="G1491">
            <v>32627.9425322229</v>
          </cell>
          <cell r="H1491">
            <v>14083.796591501199</v>
          </cell>
        </row>
        <row r="1492">
          <cell r="B1492" t="str">
            <v>HOLLYWOOD 0401CB</v>
          </cell>
          <cell r="C1492">
            <v>13170401</v>
          </cell>
          <cell r="D1492" t="str">
            <v>HOLLYWOOD 0401</v>
          </cell>
          <cell r="E1492" t="str">
            <v>CB</v>
          </cell>
          <cell r="F1492" t="b">
            <v>0</v>
          </cell>
          <cell r="G1492">
            <v>8520.93802779213</v>
          </cell>
          <cell r="H1492">
            <v>4604.9324539353802</v>
          </cell>
        </row>
        <row r="1493">
          <cell r="B1493" t="str">
            <v>HOOPA 11013174</v>
          </cell>
          <cell r="C1493">
            <v>192401101</v>
          </cell>
          <cell r="D1493" t="str">
            <v>HOOPA 1101</v>
          </cell>
          <cell r="E1493">
            <v>3174</v>
          </cell>
          <cell r="F1493" t="b">
            <v>0</v>
          </cell>
          <cell r="G1493">
            <v>35498.749422319503</v>
          </cell>
          <cell r="H1493">
            <v>29750.1977758385</v>
          </cell>
        </row>
        <row r="1494">
          <cell r="B1494" t="str">
            <v>HOOPA 11013290</v>
          </cell>
          <cell r="C1494">
            <v>192401101</v>
          </cell>
          <cell r="D1494" t="str">
            <v>HOOPA 1101</v>
          </cell>
          <cell r="E1494">
            <v>3290</v>
          </cell>
          <cell r="F1494" t="b">
            <v>0</v>
          </cell>
          <cell r="G1494">
            <v>21820.893694679398</v>
          </cell>
          <cell r="H1494">
            <v>21820.893694679398</v>
          </cell>
        </row>
        <row r="1495">
          <cell r="B1495" t="str">
            <v>HOOPA 11013304</v>
          </cell>
          <cell r="C1495">
            <v>192401101</v>
          </cell>
          <cell r="D1495" t="str">
            <v>HOOPA 1101</v>
          </cell>
          <cell r="E1495">
            <v>3304</v>
          </cell>
          <cell r="F1495" t="b">
            <v>0</v>
          </cell>
          <cell r="G1495">
            <v>27901.641595304998</v>
          </cell>
          <cell r="H1495">
            <v>27901.641595304998</v>
          </cell>
        </row>
        <row r="1496">
          <cell r="B1496" t="str">
            <v>HOOPA 110137202</v>
          </cell>
          <cell r="C1496">
            <v>192401101</v>
          </cell>
          <cell r="D1496" t="str">
            <v>HOOPA 1101</v>
          </cell>
          <cell r="E1496">
            <v>37202</v>
          </cell>
          <cell r="F1496" t="b">
            <v>0</v>
          </cell>
          <cell r="G1496">
            <v>46485.970552113402</v>
          </cell>
          <cell r="H1496">
            <v>40065.437453897001</v>
          </cell>
        </row>
        <row r="1497">
          <cell r="B1497" t="str">
            <v>HOOPA 110182542</v>
          </cell>
          <cell r="C1497">
            <v>192401101</v>
          </cell>
          <cell r="D1497" t="str">
            <v>HOOPA 1101</v>
          </cell>
          <cell r="E1497">
            <v>82542</v>
          </cell>
          <cell r="F1497" t="b">
            <v>0</v>
          </cell>
          <cell r="G1497">
            <v>24330.957941661101</v>
          </cell>
          <cell r="H1497">
            <v>19513.0606149181</v>
          </cell>
        </row>
        <row r="1498">
          <cell r="B1498" t="str">
            <v>HOOPA 110193038</v>
          </cell>
          <cell r="C1498">
            <v>192401101</v>
          </cell>
          <cell r="D1498" t="str">
            <v>HOOPA 1101</v>
          </cell>
          <cell r="E1498">
            <v>93038</v>
          </cell>
          <cell r="F1498" t="b">
            <v>0</v>
          </cell>
          <cell r="G1498">
            <v>4552.6155191669204</v>
          </cell>
          <cell r="H1498">
            <v>2107.4342652220698</v>
          </cell>
        </row>
        <row r="1499">
          <cell r="B1499" t="str">
            <v>HOOPA 1101CB</v>
          </cell>
          <cell r="C1499">
            <v>192401101</v>
          </cell>
          <cell r="D1499" t="str">
            <v>HOOPA 1101</v>
          </cell>
          <cell r="E1499" t="str">
            <v>CB</v>
          </cell>
          <cell r="F1499" t="b">
            <v>0</v>
          </cell>
          <cell r="G1499">
            <v>63333.9357753718</v>
          </cell>
          <cell r="H1499">
            <v>37375.428660580197</v>
          </cell>
        </row>
        <row r="1500">
          <cell r="B1500" t="str">
            <v>HOPLAND 11011100</v>
          </cell>
          <cell r="C1500">
            <v>42251101</v>
          </cell>
          <cell r="D1500" t="str">
            <v>HOPLAND 1101</v>
          </cell>
          <cell r="E1500">
            <v>1100</v>
          </cell>
          <cell r="F1500" t="b">
            <v>0</v>
          </cell>
          <cell r="G1500">
            <v>10937.728762553201</v>
          </cell>
          <cell r="H1500">
            <v>5979.9349972835298</v>
          </cell>
        </row>
        <row r="1501">
          <cell r="B1501" t="str">
            <v>HOPLAND 11014626</v>
          </cell>
          <cell r="C1501">
            <v>42251101</v>
          </cell>
          <cell r="D1501" t="str">
            <v>HOPLAND 1101</v>
          </cell>
          <cell r="E1501">
            <v>4626</v>
          </cell>
          <cell r="F1501" t="b">
            <v>0</v>
          </cell>
          <cell r="G1501">
            <v>50138.073776145102</v>
          </cell>
          <cell r="H1501">
            <v>43527.425592813299</v>
          </cell>
        </row>
        <row r="1502">
          <cell r="B1502" t="str">
            <v>HOPLAND 1101558</v>
          </cell>
          <cell r="C1502">
            <v>42251101</v>
          </cell>
          <cell r="D1502" t="str">
            <v>HOPLAND 1101</v>
          </cell>
          <cell r="E1502">
            <v>558</v>
          </cell>
          <cell r="F1502" t="b">
            <v>0</v>
          </cell>
          <cell r="G1502">
            <v>15006.3638145981</v>
          </cell>
          <cell r="H1502">
            <v>4818.36027980582</v>
          </cell>
        </row>
        <row r="1503">
          <cell r="B1503" t="str">
            <v>HOPLAND 1101768</v>
          </cell>
          <cell r="C1503">
            <v>42251101</v>
          </cell>
          <cell r="D1503" t="str">
            <v>HOPLAND 1101</v>
          </cell>
          <cell r="E1503">
            <v>768</v>
          </cell>
          <cell r="F1503" t="b">
            <v>0</v>
          </cell>
          <cell r="G1503">
            <v>31882.011547856298</v>
          </cell>
          <cell r="H1503">
            <v>27234.074662758499</v>
          </cell>
        </row>
        <row r="1504">
          <cell r="B1504" t="str">
            <v>HOPLAND 1101770</v>
          </cell>
          <cell r="C1504">
            <v>42251101</v>
          </cell>
          <cell r="D1504" t="str">
            <v>HOPLAND 1101</v>
          </cell>
          <cell r="E1504">
            <v>770</v>
          </cell>
          <cell r="F1504" t="b">
            <v>0</v>
          </cell>
          <cell r="G1504">
            <v>24751.828642217599</v>
          </cell>
          <cell r="H1504">
            <v>13838.1959081696</v>
          </cell>
        </row>
        <row r="1505">
          <cell r="B1505" t="str">
            <v>HOPLAND 110180620</v>
          </cell>
          <cell r="C1505">
            <v>42251101</v>
          </cell>
          <cell r="D1505" t="str">
            <v>HOPLAND 1101</v>
          </cell>
          <cell r="E1505">
            <v>80620</v>
          </cell>
          <cell r="F1505" t="b">
            <v>0</v>
          </cell>
          <cell r="G1505">
            <v>8949.8700456874503</v>
          </cell>
          <cell r="H1505">
            <v>1997.9251783336699</v>
          </cell>
        </row>
        <row r="1506">
          <cell r="B1506" t="str">
            <v>HOPLAND 110194006</v>
          </cell>
          <cell r="C1506">
            <v>42251101</v>
          </cell>
          <cell r="D1506" t="str">
            <v>HOPLAND 1101</v>
          </cell>
          <cell r="E1506">
            <v>94006</v>
          </cell>
          <cell r="F1506" t="b">
            <v>0</v>
          </cell>
          <cell r="G1506">
            <v>24566.560928456998</v>
          </cell>
          <cell r="H1506">
            <v>22341.689678732</v>
          </cell>
        </row>
        <row r="1507">
          <cell r="B1507" t="str">
            <v>HOPLAND 1101960</v>
          </cell>
          <cell r="C1507">
            <v>42251101</v>
          </cell>
          <cell r="D1507" t="str">
            <v>HOPLAND 1101</v>
          </cell>
          <cell r="E1507">
            <v>960</v>
          </cell>
          <cell r="F1507" t="b">
            <v>0</v>
          </cell>
          <cell r="G1507">
            <v>8826.9021463687204</v>
          </cell>
          <cell r="H1507">
            <v>6237.2834851931502</v>
          </cell>
        </row>
        <row r="1508">
          <cell r="B1508" t="str">
            <v>HOPLAND 1101CB</v>
          </cell>
          <cell r="C1508">
            <v>42251101</v>
          </cell>
          <cell r="D1508" t="str">
            <v>HOPLAND 1101</v>
          </cell>
          <cell r="E1508" t="str">
            <v>CB</v>
          </cell>
          <cell r="F1508" t="b">
            <v>0</v>
          </cell>
          <cell r="G1508">
            <v>36057.869250985903</v>
          </cell>
          <cell r="H1508">
            <v>23579.7023944461</v>
          </cell>
        </row>
        <row r="1509">
          <cell r="B1509" t="str">
            <v>HORSESHOE 11011682</v>
          </cell>
          <cell r="C1509">
            <v>152571101</v>
          </cell>
          <cell r="D1509" t="str">
            <v>HORSESHOE 1101</v>
          </cell>
          <cell r="E1509">
            <v>1682</v>
          </cell>
          <cell r="F1509" t="b">
            <v>1</v>
          </cell>
          <cell r="G1509">
            <v>14763.826639394099</v>
          </cell>
          <cell r="H1509">
            <v>326.61316417793</v>
          </cell>
        </row>
        <row r="1510">
          <cell r="B1510" t="str">
            <v>HORSESHOE 1101416226</v>
          </cell>
          <cell r="C1510">
            <v>152571101</v>
          </cell>
          <cell r="D1510" t="str">
            <v>HORSESHOE 1101</v>
          </cell>
          <cell r="E1510">
            <v>416226</v>
          </cell>
          <cell r="F1510" t="b">
            <v>1</v>
          </cell>
          <cell r="G1510">
            <v>397.92376180473502</v>
          </cell>
          <cell r="H1510">
            <v>186.66159093082399</v>
          </cell>
        </row>
        <row r="1511">
          <cell r="B1511" t="str">
            <v>HORSESHOE 110150140</v>
          </cell>
          <cell r="C1511">
            <v>152571101</v>
          </cell>
          <cell r="D1511" t="str">
            <v>HORSESHOE 1101</v>
          </cell>
          <cell r="E1511">
            <v>50140</v>
          </cell>
          <cell r="F1511" t="b">
            <v>0</v>
          </cell>
          <cell r="G1511">
            <v>10038.780170566</v>
          </cell>
          <cell r="H1511">
            <v>6357.3385821021602</v>
          </cell>
        </row>
        <row r="1512">
          <cell r="B1512" t="str">
            <v>HORSESHOE 1101603250</v>
          </cell>
          <cell r="C1512">
            <v>152571101</v>
          </cell>
          <cell r="D1512" t="str">
            <v>HORSESHOE 1101</v>
          </cell>
          <cell r="E1512">
            <v>603250</v>
          </cell>
          <cell r="F1512" t="b">
            <v>1</v>
          </cell>
          <cell r="G1512">
            <v>2274.9057454362901</v>
          </cell>
          <cell r="H1512">
            <v>927.36941775204605</v>
          </cell>
        </row>
        <row r="1513">
          <cell r="B1513" t="str">
            <v>HORSESHOE 1101663244</v>
          </cell>
          <cell r="C1513">
            <v>152571101</v>
          </cell>
          <cell r="D1513" t="str">
            <v>HORSESHOE 1101</v>
          </cell>
          <cell r="E1513">
            <v>663244</v>
          </cell>
          <cell r="F1513" t="b">
            <v>1</v>
          </cell>
          <cell r="G1513">
            <v>704.84568817287698</v>
          </cell>
          <cell r="H1513">
            <v>464.39343766101803</v>
          </cell>
        </row>
        <row r="1514">
          <cell r="B1514" t="str">
            <v>HORSESHOE 1101CB</v>
          </cell>
          <cell r="C1514">
            <v>152571101</v>
          </cell>
          <cell r="D1514" t="str">
            <v>HORSESHOE 1101</v>
          </cell>
          <cell r="E1514" t="str">
            <v>CB</v>
          </cell>
          <cell r="F1514" t="b">
            <v>1</v>
          </cell>
          <cell r="G1514">
            <v>6455.7985414861896</v>
          </cell>
          <cell r="H1514">
            <v>567.30267669648902</v>
          </cell>
        </row>
        <row r="1515">
          <cell r="B1515" t="str">
            <v>HORSESHOE 110450142</v>
          </cell>
          <cell r="C1515">
            <v>152571104</v>
          </cell>
          <cell r="D1515" t="str">
            <v>HORSESHOE 1104</v>
          </cell>
          <cell r="E1515">
            <v>50142</v>
          </cell>
          <cell r="F1515" t="b">
            <v>0</v>
          </cell>
          <cell r="G1515">
            <v>6580.4447397988397</v>
          </cell>
          <cell r="H1515">
            <v>3596.2024562425499</v>
          </cell>
        </row>
        <row r="1516">
          <cell r="B1516" t="str">
            <v>HUMBOLDT BAY 1102104220</v>
          </cell>
          <cell r="C1516">
            <v>192341102</v>
          </cell>
          <cell r="D1516" t="str">
            <v>HUMBOLDT BAY 1102</v>
          </cell>
          <cell r="E1516">
            <v>104220</v>
          </cell>
          <cell r="F1516" t="b">
            <v>0</v>
          </cell>
          <cell r="G1516">
            <v>5237.7248916176404</v>
          </cell>
          <cell r="H1516">
            <v>1476.87485812876</v>
          </cell>
        </row>
        <row r="1517">
          <cell r="B1517" t="str">
            <v>HUMBOLDT BAY 1102741980</v>
          </cell>
          <cell r="C1517">
            <v>192341102</v>
          </cell>
          <cell r="D1517" t="str">
            <v>HUMBOLDT BAY 1102</v>
          </cell>
          <cell r="E1517">
            <v>741980</v>
          </cell>
          <cell r="F1517" t="b">
            <v>0</v>
          </cell>
          <cell r="G1517">
            <v>15211.033687421301</v>
          </cell>
          <cell r="H1517">
            <v>9241.1428758993497</v>
          </cell>
        </row>
        <row r="1518">
          <cell r="B1518" t="str">
            <v>IGNACIO 11011264</v>
          </cell>
          <cell r="C1518">
            <v>42481101</v>
          </cell>
          <cell r="D1518" t="str">
            <v>IGNACIO 1101</v>
          </cell>
          <cell r="E1518">
            <v>1264</v>
          </cell>
          <cell r="F1518" t="b">
            <v>0</v>
          </cell>
          <cell r="G1518">
            <v>5420.1775942815202</v>
          </cell>
          <cell r="H1518">
            <v>3078.9361516598001</v>
          </cell>
        </row>
        <row r="1519">
          <cell r="B1519" t="str">
            <v>IGNACIO 11011300</v>
          </cell>
          <cell r="C1519">
            <v>42481101</v>
          </cell>
          <cell r="D1519" t="str">
            <v>IGNACIO 1101</v>
          </cell>
          <cell r="E1519">
            <v>1300</v>
          </cell>
          <cell r="F1519" t="b">
            <v>0</v>
          </cell>
          <cell r="G1519">
            <v>9816.2612103081192</v>
          </cell>
          <cell r="H1519">
            <v>5145.0879729510498</v>
          </cell>
        </row>
        <row r="1520">
          <cell r="B1520" t="str">
            <v>IGNACIO 11011779</v>
          </cell>
          <cell r="C1520">
            <v>42481101</v>
          </cell>
          <cell r="D1520" t="str">
            <v>IGNACIO 1101</v>
          </cell>
          <cell r="E1520">
            <v>1779</v>
          </cell>
          <cell r="F1520" t="b">
            <v>1</v>
          </cell>
          <cell r="G1520">
            <v>677.029272520463</v>
          </cell>
          <cell r="H1520">
            <v>540.90993043964795</v>
          </cell>
        </row>
        <row r="1521">
          <cell r="B1521" t="str">
            <v>IGNACIO 1101CB</v>
          </cell>
          <cell r="C1521">
            <v>42481101</v>
          </cell>
          <cell r="D1521" t="str">
            <v>IGNACIO 1101</v>
          </cell>
          <cell r="E1521" t="str">
            <v>CB</v>
          </cell>
          <cell r="F1521" t="b">
            <v>0</v>
          </cell>
          <cell r="G1521">
            <v>2942.81101221262</v>
          </cell>
          <cell r="H1521">
            <v>2690.5619154311398</v>
          </cell>
        </row>
        <row r="1522">
          <cell r="B1522" t="str">
            <v>IGNACIO 1103151462</v>
          </cell>
          <cell r="C1522">
            <v>42481103</v>
          </cell>
          <cell r="D1522" t="str">
            <v>IGNACIO 1103</v>
          </cell>
          <cell r="E1522">
            <v>151462</v>
          </cell>
          <cell r="F1522" t="b">
            <v>1</v>
          </cell>
          <cell r="G1522">
            <v>247.774817099888</v>
          </cell>
          <cell r="H1522">
            <v>247.774817099888</v>
          </cell>
        </row>
        <row r="1523">
          <cell r="B1523" t="str">
            <v>IGNACIO 1103504941</v>
          </cell>
          <cell r="C1523">
            <v>42481103</v>
          </cell>
          <cell r="D1523" t="str">
            <v>IGNACIO 1103</v>
          </cell>
          <cell r="E1523">
            <v>504941</v>
          </cell>
          <cell r="F1523" t="b">
            <v>1</v>
          </cell>
          <cell r="G1523">
            <v>1025.6159629886999</v>
          </cell>
          <cell r="H1523">
            <v>663.23997159864996</v>
          </cell>
        </row>
        <row r="1524">
          <cell r="B1524" t="str">
            <v>IGNACIO 1103CB</v>
          </cell>
          <cell r="C1524">
            <v>42481103</v>
          </cell>
          <cell r="D1524" t="str">
            <v>IGNACIO 1103</v>
          </cell>
          <cell r="E1524" t="str">
            <v>CB</v>
          </cell>
          <cell r="F1524" t="b">
            <v>1</v>
          </cell>
          <cell r="G1524">
            <v>3068.5522734636802</v>
          </cell>
          <cell r="H1524">
            <v>350.32956112772098</v>
          </cell>
        </row>
        <row r="1525">
          <cell r="B1525" t="str">
            <v>IGNACIO 11041290</v>
          </cell>
          <cell r="C1525">
            <v>42481104</v>
          </cell>
          <cell r="D1525" t="str">
            <v>IGNACIO 1104</v>
          </cell>
          <cell r="E1525">
            <v>1290</v>
          </cell>
          <cell r="F1525" t="b">
            <v>0</v>
          </cell>
          <cell r="G1525">
            <v>20913.8819115222</v>
          </cell>
          <cell r="H1525">
            <v>6586.7467701674504</v>
          </cell>
        </row>
        <row r="1526">
          <cell r="B1526" t="str">
            <v>IGNACIO 1104450582</v>
          </cell>
          <cell r="C1526">
            <v>42481104</v>
          </cell>
          <cell r="D1526" t="str">
            <v>IGNACIO 1104</v>
          </cell>
          <cell r="E1526">
            <v>450582</v>
          </cell>
          <cell r="F1526" t="b">
            <v>0</v>
          </cell>
          <cell r="G1526">
            <v>6805.9935667516902</v>
          </cell>
          <cell r="H1526">
            <v>4807.84599798208</v>
          </cell>
        </row>
        <row r="1527">
          <cell r="B1527" t="str">
            <v>IGNACIO 11051943</v>
          </cell>
          <cell r="C1527">
            <v>42481105</v>
          </cell>
          <cell r="D1527" t="str">
            <v>IGNACIO 1105</v>
          </cell>
          <cell r="E1527">
            <v>1943</v>
          </cell>
          <cell r="F1527" t="b">
            <v>0</v>
          </cell>
          <cell r="G1527">
            <v>1959.9629952760999</v>
          </cell>
          <cell r="H1527">
            <v>1959.9629952760999</v>
          </cell>
        </row>
        <row r="1528">
          <cell r="B1528" t="str">
            <v>IGNACIO 1105318</v>
          </cell>
          <cell r="C1528">
            <v>42481105</v>
          </cell>
          <cell r="D1528" t="str">
            <v>IGNACIO 1105</v>
          </cell>
          <cell r="E1528">
            <v>318</v>
          </cell>
          <cell r="F1528" t="b">
            <v>0</v>
          </cell>
          <cell r="G1528">
            <v>18622.633548811202</v>
          </cell>
          <cell r="H1528">
            <v>2887.2824746526799</v>
          </cell>
        </row>
        <row r="1529">
          <cell r="B1529" t="str">
            <v>IGNACIO 1105490728</v>
          </cell>
          <cell r="C1529">
            <v>42481105</v>
          </cell>
          <cell r="D1529" t="str">
            <v>IGNACIO 1105</v>
          </cell>
          <cell r="E1529">
            <v>490728</v>
          </cell>
          <cell r="F1529" t="b">
            <v>0</v>
          </cell>
          <cell r="G1529">
            <v>1414.5017933034001</v>
          </cell>
          <cell r="H1529">
            <v>1044.2482297368399</v>
          </cell>
        </row>
        <row r="1530">
          <cell r="B1530" t="str">
            <v>IGNACIO 1105683542</v>
          </cell>
          <cell r="C1530">
            <v>42481105</v>
          </cell>
          <cell r="D1530" t="str">
            <v>IGNACIO 1105</v>
          </cell>
          <cell r="E1530">
            <v>683542</v>
          </cell>
          <cell r="F1530" t="b">
            <v>1</v>
          </cell>
          <cell r="G1530">
            <v>222.91146325958201</v>
          </cell>
          <cell r="H1530">
            <v>222.91146325958201</v>
          </cell>
        </row>
        <row r="1531">
          <cell r="B1531" t="str">
            <v>IGNACIO 1105784032</v>
          </cell>
          <cell r="C1531">
            <v>42481105</v>
          </cell>
          <cell r="D1531" t="str">
            <v>IGNACIO 1105</v>
          </cell>
          <cell r="E1531">
            <v>784032</v>
          </cell>
          <cell r="F1531" t="b">
            <v>1</v>
          </cell>
          <cell r="G1531">
            <v>974.48257198116801</v>
          </cell>
          <cell r="H1531">
            <v>863.75096948573798</v>
          </cell>
        </row>
        <row r="1532">
          <cell r="B1532" t="str">
            <v>IGNACIO 110584764</v>
          </cell>
          <cell r="C1532">
            <v>42481105</v>
          </cell>
          <cell r="D1532" t="str">
            <v>IGNACIO 1105</v>
          </cell>
          <cell r="E1532">
            <v>84764</v>
          </cell>
          <cell r="F1532" t="b">
            <v>1</v>
          </cell>
          <cell r="G1532">
            <v>4092.9318038153201</v>
          </cell>
          <cell r="H1532">
            <v>339.91364658404598</v>
          </cell>
        </row>
        <row r="1533">
          <cell r="B1533" t="str">
            <v>IGNACIO 1105908</v>
          </cell>
          <cell r="C1533">
            <v>42481105</v>
          </cell>
          <cell r="D1533" t="str">
            <v>IGNACIO 1105</v>
          </cell>
          <cell r="E1533">
            <v>908</v>
          </cell>
          <cell r="F1533" t="b">
            <v>0</v>
          </cell>
          <cell r="G1533">
            <v>3616.7994358912301</v>
          </cell>
          <cell r="H1533">
            <v>1126.3756037569001</v>
          </cell>
        </row>
        <row r="1534">
          <cell r="B1534" t="str">
            <v>IGNACIO 1105967039</v>
          </cell>
          <cell r="C1534">
            <v>42481105</v>
          </cell>
          <cell r="D1534" t="str">
            <v>IGNACIO 1105</v>
          </cell>
          <cell r="E1534">
            <v>967039</v>
          </cell>
          <cell r="F1534" t="b">
            <v>1</v>
          </cell>
          <cell r="G1534">
            <v>469.60416503101499</v>
          </cell>
          <cell r="H1534">
            <v>292.91237743953099</v>
          </cell>
        </row>
        <row r="1535">
          <cell r="B1535" t="str">
            <v>INDIAN FLAT 110410270</v>
          </cell>
          <cell r="C1535">
            <v>252691104</v>
          </cell>
          <cell r="D1535" t="str">
            <v>INDIAN FLAT 1104</v>
          </cell>
          <cell r="E1535">
            <v>10270</v>
          </cell>
          <cell r="F1535" t="b">
            <v>0</v>
          </cell>
          <cell r="G1535">
            <v>6119.89618148723</v>
          </cell>
          <cell r="H1535">
            <v>6119.89618148723</v>
          </cell>
        </row>
        <row r="1536">
          <cell r="B1536" t="str">
            <v>INDIAN FLAT 11044440</v>
          </cell>
          <cell r="C1536">
            <v>252691104</v>
          </cell>
          <cell r="D1536" t="str">
            <v>INDIAN FLAT 1104</v>
          </cell>
          <cell r="E1536">
            <v>4440</v>
          </cell>
          <cell r="F1536" t="b">
            <v>1</v>
          </cell>
          <cell r="G1536">
            <v>376.284900470141</v>
          </cell>
          <cell r="H1536">
            <v>376.284900470141</v>
          </cell>
        </row>
        <row r="1537">
          <cell r="B1537" t="str">
            <v>INDIAN FLAT 1104CB</v>
          </cell>
          <cell r="C1537">
            <v>252691104</v>
          </cell>
          <cell r="D1537" t="str">
            <v>INDIAN FLAT 1104</v>
          </cell>
          <cell r="E1537" t="str">
            <v>CB</v>
          </cell>
          <cell r="F1537" t="b">
            <v>0</v>
          </cell>
          <cell r="G1537">
            <v>20557.44129911</v>
          </cell>
          <cell r="H1537">
            <v>20557.44129911</v>
          </cell>
        </row>
        <row r="1538">
          <cell r="B1538" t="str">
            <v>IONE 1101CB</v>
          </cell>
          <cell r="C1538">
            <v>163881101</v>
          </cell>
          <cell r="D1538" t="str">
            <v>IONE 1101</v>
          </cell>
          <cell r="E1538" t="str">
            <v>CB</v>
          </cell>
          <cell r="F1538" t="b">
            <v>0</v>
          </cell>
          <cell r="G1538">
            <v>22613.991459067402</v>
          </cell>
          <cell r="H1538">
            <v>2970.8687432987399</v>
          </cell>
        </row>
        <row r="1539">
          <cell r="B1539" t="str">
            <v>IONE 1101L3141</v>
          </cell>
          <cell r="C1539">
            <v>163881101</v>
          </cell>
          <cell r="D1539" t="str">
            <v>IONE 1101</v>
          </cell>
          <cell r="E1539" t="str">
            <v>L3141</v>
          </cell>
          <cell r="F1539" t="b">
            <v>0</v>
          </cell>
          <cell r="G1539">
            <v>22528.548552791999</v>
          </cell>
          <cell r="H1539">
            <v>22255.825643317799</v>
          </cell>
        </row>
        <row r="1540">
          <cell r="B1540" t="str">
            <v>JAMESON 110265516</v>
          </cell>
          <cell r="C1540">
            <v>63801102</v>
          </cell>
          <cell r="D1540" t="str">
            <v>JAMESON 1102</v>
          </cell>
          <cell r="E1540">
            <v>65516</v>
          </cell>
          <cell r="F1540" t="b">
            <v>0</v>
          </cell>
          <cell r="G1540">
            <v>18264.461277578201</v>
          </cell>
          <cell r="H1540">
            <v>12394.583608106799</v>
          </cell>
        </row>
        <row r="1541">
          <cell r="B1541" t="str">
            <v>JAMESON 1102865502</v>
          </cell>
          <cell r="C1541">
            <v>63801102</v>
          </cell>
          <cell r="D1541" t="str">
            <v>JAMESON 1102</v>
          </cell>
          <cell r="E1541">
            <v>865502</v>
          </cell>
          <cell r="F1541" t="b">
            <v>1</v>
          </cell>
          <cell r="G1541">
            <v>4467.1171538334602</v>
          </cell>
          <cell r="H1541">
            <v>644.95319879475096</v>
          </cell>
        </row>
        <row r="1542">
          <cell r="B1542" t="str">
            <v>JAMESON 11028842</v>
          </cell>
          <cell r="C1542">
            <v>63801102</v>
          </cell>
          <cell r="D1542" t="str">
            <v>JAMESON 1102</v>
          </cell>
          <cell r="E1542">
            <v>8842</v>
          </cell>
          <cell r="F1542" t="b">
            <v>1</v>
          </cell>
          <cell r="G1542">
            <v>4786.8365262069501</v>
          </cell>
          <cell r="H1542">
            <v>241.11147555941301</v>
          </cell>
        </row>
        <row r="1543">
          <cell r="B1543" t="str">
            <v>JAMESON 1103118944</v>
          </cell>
          <cell r="C1543">
            <v>63801103</v>
          </cell>
          <cell r="D1543" t="str">
            <v>JAMESON 1103</v>
          </cell>
          <cell r="E1543">
            <v>118944</v>
          </cell>
          <cell r="F1543" t="b">
            <v>0</v>
          </cell>
          <cell r="G1543">
            <v>8499.8459616765304</v>
          </cell>
          <cell r="H1543">
            <v>3772.9974243011402</v>
          </cell>
        </row>
        <row r="1544">
          <cell r="B1544" t="str">
            <v>JAMESON 1105371694</v>
          </cell>
          <cell r="C1544">
            <v>63801105</v>
          </cell>
          <cell r="D1544" t="str">
            <v>JAMESON 1105</v>
          </cell>
          <cell r="E1544">
            <v>371694</v>
          </cell>
          <cell r="F1544" t="b">
            <v>1</v>
          </cell>
          <cell r="G1544">
            <v>6199.8124522729504</v>
          </cell>
          <cell r="H1544">
            <v>365.73105673070199</v>
          </cell>
        </row>
        <row r="1545">
          <cell r="B1545" t="str">
            <v>JAMESON 1105466348</v>
          </cell>
          <cell r="C1545">
            <v>63801105</v>
          </cell>
          <cell r="D1545" t="str">
            <v>JAMESON 1105</v>
          </cell>
          <cell r="E1545">
            <v>466348</v>
          </cell>
          <cell r="F1545" t="b">
            <v>0</v>
          </cell>
          <cell r="G1545">
            <v>48812.396410895402</v>
          </cell>
          <cell r="H1545">
            <v>26039.272333735498</v>
          </cell>
        </row>
        <row r="1546">
          <cell r="B1546" t="str">
            <v>JAMESON 1105913400</v>
          </cell>
          <cell r="C1546">
            <v>63801105</v>
          </cell>
          <cell r="D1546" t="str">
            <v>JAMESON 1105</v>
          </cell>
          <cell r="E1546">
            <v>913400</v>
          </cell>
          <cell r="F1546" t="b">
            <v>1</v>
          </cell>
          <cell r="G1546">
            <v>1667.8339955776701</v>
          </cell>
          <cell r="H1546">
            <v>172.35288293634</v>
          </cell>
        </row>
        <row r="1547">
          <cell r="B1547" t="str">
            <v>JAMESON 11059472</v>
          </cell>
          <cell r="C1547">
            <v>63801105</v>
          </cell>
          <cell r="D1547" t="str">
            <v>JAMESON 1105</v>
          </cell>
          <cell r="E1547">
            <v>9472</v>
          </cell>
          <cell r="F1547" t="b">
            <v>0</v>
          </cell>
          <cell r="G1547">
            <v>11800.3383991275</v>
          </cell>
          <cell r="H1547">
            <v>4934.5741126384301</v>
          </cell>
        </row>
        <row r="1548">
          <cell r="B1548" t="str">
            <v>JARVIS 1101MR210</v>
          </cell>
          <cell r="C1548">
            <v>13501101</v>
          </cell>
          <cell r="D1548" t="str">
            <v>JARVIS 1101</v>
          </cell>
          <cell r="E1548" t="str">
            <v>MR210</v>
          </cell>
          <cell r="F1548" t="b">
            <v>0</v>
          </cell>
          <cell r="G1548">
            <v>12199.0798385874</v>
          </cell>
          <cell r="H1548">
            <v>1314.2645786523401</v>
          </cell>
        </row>
        <row r="1549">
          <cell r="B1549" t="str">
            <v>JARVIS 1108289662</v>
          </cell>
          <cell r="C1549">
            <v>13501108</v>
          </cell>
          <cell r="D1549" t="str">
            <v>JARVIS 1108</v>
          </cell>
          <cell r="E1549">
            <v>289662</v>
          </cell>
          <cell r="F1549" t="b">
            <v>1</v>
          </cell>
          <cell r="G1549">
            <v>1302.8840230882299</v>
          </cell>
          <cell r="H1549">
            <v>533.35525654848902</v>
          </cell>
        </row>
        <row r="1550">
          <cell r="B1550" t="str">
            <v>JARVIS 1108767280</v>
          </cell>
          <cell r="C1550">
            <v>13501108</v>
          </cell>
          <cell r="D1550" t="str">
            <v>JARVIS 1108</v>
          </cell>
          <cell r="E1550">
            <v>767280</v>
          </cell>
          <cell r="F1550" t="b">
            <v>1</v>
          </cell>
          <cell r="G1550">
            <v>1164.5580402293599</v>
          </cell>
          <cell r="H1550">
            <v>816.40388671044605</v>
          </cell>
        </row>
        <row r="1551">
          <cell r="B1551" t="str">
            <v>JARVIS 1108MR366</v>
          </cell>
          <cell r="C1551">
            <v>13501108</v>
          </cell>
          <cell r="D1551" t="str">
            <v>JARVIS 1108</v>
          </cell>
          <cell r="E1551" t="str">
            <v>MR366</v>
          </cell>
          <cell r="F1551" t="b">
            <v>1</v>
          </cell>
          <cell r="G1551">
            <v>15876.8969350798</v>
          </cell>
          <cell r="H1551">
            <v>0</v>
          </cell>
        </row>
        <row r="1552">
          <cell r="B1552" t="str">
            <v>JARVIS 1111907698</v>
          </cell>
          <cell r="C1552">
            <v>13501111</v>
          </cell>
          <cell r="D1552" t="str">
            <v>JARVIS 1111</v>
          </cell>
          <cell r="E1552">
            <v>907698</v>
          </cell>
          <cell r="F1552" t="b">
            <v>0</v>
          </cell>
          <cell r="G1552">
            <v>3034.3116551047801</v>
          </cell>
          <cell r="H1552">
            <v>2466.4182498045998</v>
          </cell>
        </row>
        <row r="1553">
          <cell r="B1553" t="str">
            <v>JESSUP 11011496</v>
          </cell>
          <cell r="C1553">
            <v>103441101</v>
          </cell>
          <cell r="D1553" t="str">
            <v>JESSUP 1101</v>
          </cell>
          <cell r="E1553">
            <v>1496</v>
          </cell>
          <cell r="F1553" t="b">
            <v>0</v>
          </cell>
          <cell r="G1553">
            <v>26084.969003433602</v>
          </cell>
          <cell r="H1553">
            <v>23526.972845111901</v>
          </cell>
        </row>
        <row r="1554">
          <cell r="B1554" t="str">
            <v>JESSUP 11011993</v>
          </cell>
          <cell r="C1554">
            <v>103441101</v>
          </cell>
          <cell r="D1554" t="str">
            <v>JESSUP 1101</v>
          </cell>
          <cell r="E1554">
            <v>1993</v>
          </cell>
          <cell r="F1554" t="b">
            <v>0</v>
          </cell>
          <cell r="G1554">
            <v>4771.9686279428297</v>
          </cell>
          <cell r="H1554">
            <v>4470.3512033515299</v>
          </cell>
        </row>
        <row r="1555">
          <cell r="B1555" t="str">
            <v>JESSUP 11012839</v>
          </cell>
          <cell r="C1555">
            <v>103441101</v>
          </cell>
          <cell r="D1555" t="str">
            <v>JESSUP 1101</v>
          </cell>
          <cell r="E1555">
            <v>2839</v>
          </cell>
          <cell r="F1555" t="b">
            <v>0</v>
          </cell>
          <cell r="G1555">
            <v>2358.3859254579302</v>
          </cell>
          <cell r="H1555">
            <v>2358.3859254579302</v>
          </cell>
        </row>
        <row r="1556">
          <cell r="B1556" t="str">
            <v>JESSUP 11013383</v>
          </cell>
          <cell r="C1556">
            <v>103441101</v>
          </cell>
          <cell r="D1556" t="str">
            <v>JESSUP 1101</v>
          </cell>
          <cell r="E1556">
            <v>3383</v>
          </cell>
          <cell r="F1556" t="b">
            <v>0</v>
          </cell>
          <cell r="G1556">
            <v>3031.9375901066901</v>
          </cell>
          <cell r="H1556">
            <v>2267.9132809326302</v>
          </cell>
        </row>
        <row r="1557">
          <cell r="B1557" t="str">
            <v>JESSUP 110141356</v>
          </cell>
          <cell r="C1557">
            <v>103441101</v>
          </cell>
          <cell r="D1557" t="str">
            <v>JESSUP 1101</v>
          </cell>
          <cell r="E1557">
            <v>41356</v>
          </cell>
          <cell r="F1557" t="b">
            <v>0</v>
          </cell>
          <cell r="G1557">
            <v>52238.156928393902</v>
          </cell>
          <cell r="H1557">
            <v>52238.156928393902</v>
          </cell>
        </row>
        <row r="1558">
          <cell r="B1558" t="str">
            <v>JESSUP 110168362</v>
          </cell>
          <cell r="C1558">
            <v>103441101</v>
          </cell>
          <cell r="D1558" t="str">
            <v>JESSUP 1101</v>
          </cell>
          <cell r="E1558">
            <v>68362</v>
          </cell>
          <cell r="F1558" t="b">
            <v>0</v>
          </cell>
          <cell r="G1558">
            <v>11797.209513071</v>
          </cell>
          <cell r="H1558">
            <v>8312.3826577585405</v>
          </cell>
        </row>
        <row r="1559">
          <cell r="B1559" t="str">
            <v>JESSUP 11019002</v>
          </cell>
          <cell r="C1559">
            <v>103441101</v>
          </cell>
          <cell r="D1559" t="str">
            <v>JESSUP 1101</v>
          </cell>
          <cell r="E1559">
            <v>9002</v>
          </cell>
          <cell r="F1559" t="b">
            <v>0</v>
          </cell>
          <cell r="G1559">
            <v>9863.4451492375902</v>
          </cell>
          <cell r="H1559">
            <v>1568.49193248043</v>
          </cell>
        </row>
        <row r="1560">
          <cell r="B1560" t="str">
            <v>JESSUP 110194468</v>
          </cell>
          <cell r="C1560">
            <v>103441101</v>
          </cell>
          <cell r="D1560" t="str">
            <v>JESSUP 1101</v>
          </cell>
          <cell r="E1560">
            <v>94468</v>
          </cell>
          <cell r="F1560" t="b">
            <v>0</v>
          </cell>
          <cell r="G1560">
            <v>2757.0603688033598</v>
          </cell>
          <cell r="H1560">
            <v>2757.0603688033598</v>
          </cell>
        </row>
        <row r="1561">
          <cell r="B1561" t="str">
            <v>JESSUP 11019752</v>
          </cell>
          <cell r="C1561">
            <v>103441101</v>
          </cell>
          <cell r="D1561" t="str">
            <v>JESSUP 1101</v>
          </cell>
          <cell r="E1561">
            <v>9752</v>
          </cell>
          <cell r="F1561" t="b">
            <v>0</v>
          </cell>
          <cell r="G1561">
            <v>6185.1827743763197</v>
          </cell>
          <cell r="H1561">
            <v>6137.4535543343</v>
          </cell>
        </row>
        <row r="1562">
          <cell r="B1562" t="str">
            <v>JESSUP 1101CB</v>
          </cell>
          <cell r="C1562">
            <v>103441101</v>
          </cell>
          <cell r="D1562" t="str">
            <v>JESSUP 1101</v>
          </cell>
          <cell r="E1562" t="str">
            <v>CB</v>
          </cell>
          <cell r="F1562" t="b">
            <v>0</v>
          </cell>
          <cell r="G1562">
            <v>9345.3493769439792</v>
          </cell>
          <cell r="H1562">
            <v>2462.2686109276101</v>
          </cell>
        </row>
        <row r="1563">
          <cell r="B1563" t="str">
            <v>JESSUP 11021314</v>
          </cell>
          <cell r="C1563">
            <v>103441102</v>
          </cell>
          <cell r="D1563" t="str">
            <v>JESSUP 1102</v>
          </cell>
          <cell r="E1563">
            <v>1314</v>
          </cell>
          <cell r="F1563" t="b">
            <v>0</v>
          </cell>
          <cell r="G1563">
            <v>23311.137635769301</v>
          </cell>
          <cell r="H1563">
            <v>9677.7607319039398</v>
          </cell>
        </row>
        <row r="1564">
          <cell r="B1564" t="str">
            <v>JESSUP 11021550</v>
          </cell>
          <cell r="C1564">
            <v>103441102</v>
          </cell>
          <cell r="D1564" t="str">
            <v>JESSUP 1102</v>
          </cell>
          <cell r="E1564">
            <v>1550</v>
          </cell>
          <cell r="F1564" t="b">
            <v>0</v>
          </cell>
          <cell r="G1564">
            <v>35703.438632967896</v>
          </cell>
          <cell r="H1564">
            <v>31009.4739960646</v>
          </cell>
        </row>
        <row r="1565">
          <cell r="B1565" t="str">
            <v>JESSUP 1102158468</v>
          </cell>
          <cell r="C1565">
            <v>103441102</v>
          </cell>
          <cell r="D1565" t="str">
            <v>JESSUP 1102</v>
          </cell>
          <cell r="E1565">
            <v>158468</v>
          </cell>
          <cell r="F1565" t="b">
            <v>0</v>
          </cell>
          <cell r="G1565">
            <v>1388.9105770686299</v>
          </cell>
          <cell r="H1565">
            <v>1120.07916477547</v>
          </cell>
        </row>
        <row r="1566">
          <cell r="B1566" t="str">
            <v>JESSUP 11023105</v>
          </cell>
          <cell r="C1566">
            <v>103441102</v>
          </cell>
          <cell r="D1566" t="str">
            <v>JESSUP 1102</v>
          </cell>
          <cell r="E1566">
            <v>3105</v>
          </cell>
          <cell r="F1566" t="b">
            <v>0</v>
          </cell>
          <cell r="G1566">
            <v>9965.2703408575107</v>
          </cell>
          <cell r="H1566">
            <v>9659.0441481672806</v>
          </cell>
        </row>
        <row r="1567">
          <cell r="B1567" t="str">
            <v>JESSUP 110276068</v>
          </cell>
          <cell r="C1567">
            <v>103441102</v>
          </cell>
          <cell r="D1567" t="str">
            <v>JESSUP 1102</v>
          </cell>
          <cell r="E1567">
            <v>76068</v>
          </cell>
          <cell r="F1567" t="b">
            <v>0</v>
          </cell>
          <cell r="G1567">
            <v>31093.7700879242</v>
          </cell>
          <cell r="H1567">
            <v>27642.926884060798</v>
          </cell>
        </row>
        <row r="1568">
          <cell r="B1568" t="str">
            <v>JESSUP 1102936897</v>
          </cell>
          <cell r="C1568">
            <v>103441102</v>
          </cell>
          <cell r="D1568" t="str">
            <v>JESSUP 1102</v>
          </cell>
          <cell r="E1568">
            <v>936897</v>
          </cell>
          <cell r="F1568" t="b">
            <v>1</v>
          </cell>
          <cell r="G1568">
            <v>1562.7499443609299</v>
          </cell>
          <cell r="H1568">
            <v>665.551863394002</v>
          </cell>
        </row>
        <row r="1569">
          <cell r="B1569" t="str">
            <v>JESSUP 110296554</v>
          </cell>
          <cell r="C1569">
            <v>103441102</v>
          </cell>
          <cell r="D1569" t="str">
            <v>JESSUP 1102</v>
          </cell>
          <cell r="E1569">
            <v>96554</v>
          </cell>
          <cell r="F1569" t="b">
            <v>0</v>
          </cell>
          <cell r="G1569">
            <v>23931.0857680318</v>
          </cell>
          <cell r="H1569">
            <v>12987.3897213007</v>
          </cell>
        </row>
        <row r="1570">
          <cell r="B1570" t="str">
            <v>JESSUP 1102CB</v>
          </cell>
          <cell r="C1570">
            <v>103441102</v>
          </cell>
          <cell r="D1570" t="str">
            <v>JESSUP 1102</v>
          </cell>
          <cell r="E1570" t="str">
            <v>CB</v>
          </cell>
          <cell r="F1570" t="b">
            <v>1</v>
          </cell>
          <cell r="G1570">
            <v>5810.1426201335598</v>
          </cell>
          <cell r="H1570">
            <v>159.68228726717899</v>
          </cell>
        </row>
        <row r="1571">
          <cell r="B1571" t="str">
            <v>JESSUP 11031540</v>
          </cell>
          <cell r="C1571">
            <v>103441103</v>
          </cell>
          <cell r="D1571" t="str">
            <v>JESSUP 1103</v>
          </cell>
          <cell r="E1571">
            <v>1540</v>
          </cell>
          <cell r="F1571" t="b">
            <v>1</v>
          </cell>
          <cell r="G1571">
            <v>20738.587932681599</v>
          </cell>
          <cell r="H1571">
            <v>256.38735730888601</v>
          </cell>
        </row>
        <row r="1572">
          <cell r="B1572" t="str">
            <v>JESSUP 1103348657</v>
          </cell>
          <cell r="C1572">
            <v>103441103</v>
          </cell>
          <cell r="D1572" t="str">
            <v>JESSUP 1103</v>
          </cell>
          <cell r="E1572">
            <v>348657</v>
          </cell>
          <cell r="F1572" t="b">
            <v>0</v>
          </cell>
          <cell r="G1572">
            <v>3761.8936740170202</v>
          </cell>
          <cell r="H1572">
            <v>3253.83594306444</v>
          </cell>
        </row>
        <row r="1573">
          <cell r="B1573" t="str">
            <v>JESSUP 110338864</v>
          </cell>
          <cell r="C1573">
            <v>103441103</v>
          </cell>
          <cell r="D1573" t="str">
            <v>JESSUP 1103</v>
          </cell>
          <cell r="E1573">
            <v>38864</v>
          </cell>
          <cell r="F1573" t="b">
            <v>0</v>
          </cell>
          <cell r="G1573">
            <v>12167.5887143617</v>
          </cell>
          <cell r="H1573">
            <v>2907.1070020380798</v>
          </cell>
        </row>
        <row r="1574">
          <cell r="B1574" t="str">
            <v>JESSUP 1103728460</v>
          </cell>
          <cell r="C1574">
            <v>103441103</v>
          </cell>
          <cell r="D1574" t="str">
            <v>JESSUP 1103</v>
          </cell>
          <cell r="E1574">
            <v>728460</v>
          </cell>
          <cell r="F1574" t="b">
            <v>0</v>
          </cell>
          <cell r="G1574">
            <v>2312.71175036774</v>
          </cell>
          <cell r="H1574">
            <v>1173.0161152787</v>
          </cell>
        </row>
        <row r="1575">
          <cell r="B1575" t="str">
            <v>JOLON 11027002</v>
          </cell>
          <cell r="C1575">
            <v>182981102</v>
          </cell>
          <cell r="D1575" t="str">
            <v>JOLON 1102</v>
          </cell>
          <cell r="E1575">
            <v>7002</v>
          </cell>
          <cell r="F1575" t="b">
            <v>0</v>
          </cell>
          <cell r="G1575">
            <v>29669.713280148801</v>
          </cell>
          <cell r="H1575">
            <v>13447.6997231356</v>
          </cell>
        </row>
        <row r="1576">
          <cell r="B1576" t="str">
            <v>JOLON 11027004</v>
          </cell>
          <cell r="C1576">
            <v>182981102</v>
          </cell>
          <cell r="D1576" t="str">
            <v>JOLON 1102</v>
          </cell>
          <cell r="E1576">
            <v>7004</v>
          </cell>
          <cell r="F1576" t="b">
            <v>0</v>
          </cell>
          <cell r="G1576">
            <v>31981.947472165601</v>
          </cell>
          <cell r="H1576">
            <v>12745.324566061099</v>
          </cell>
        </row>
        <row r="1577">
          <cell r="B1577" t="str">
            <v>JOLON 11027040</v>
          </cell>
          <cell r="C1577">
            <v>182981102</v>
          </cell>
          <cell r="D1577" t="str">
            <v>JOLON 1102</v>
          </cell>
          <cell r="E1577">
            <v>7040</v>
          </cell>
          <cell r="F1577" t="b">
            <v>0</v>
          </cell>
          <cell r="G1577">
            <v>36891.879456241499</v>
          </cell>
          <cell r="H1577">
            <v>33515.890711687098</v>
          </cell>
        </row>
        <row r="1578">
          <cell r="B1578" t="str">
            <v>JOLON 11027068</v>
          </cell>
          <cell r="C1578">
            <v>182981102</v>
          </cell>
          <cell r="D1578" t="str">
            <v>JOLON 1102</v>
          </cell>
          <cell r="E1578">
            <v>7068</v>
          </cell>
          <cell r="F1578" t="b">
            <v>0</v>
          </cell>
          <cell r="G1578">
            <v>6155.1451192659297</v>
          </cell>
          <cell r="H1578">
            <v>6139.1206664170504</v>
          </cell>
        </row>
        <row r="1579">
          <cell r="B1579" t="str">
            <v>JOLON 11027070</v>
          </cell>
          <cell r="C1579">
            <v>182981102</v>
          </cell>
          <cell r="D1579" t="str">
            <v>JOLON 1102</v>
          </cell>
          <cell r="E1579">
            <v>7070</v>
          </cell>
          <cell r="F1579" t="b">
            <v>0</v>
          </cell>
          <cell r="G1579">
            <v>26486.163179361101</v>
          </cell>
          <cell r="H1579">
            <v>10307.0829033106</v>
          </cell>
        </row>
        <row r="1580">
          <cell r="B1580" t="str">
            <v>JOLON 1102CB</v>
          </cell>
          <cell r="C1580">
            <v>182981102</v>
          </cell>
          <cell r="D1580" t="str">
            <v>JOLON 1102</v>
          </cell>
          <cell r="E1580" t="str">
            <v>CB</v>
          </cell>
          <cell r="F1580" t="b">
            <v>0</v>
          </cell>
          <cell r="G1580">
            <v>38608.500315485799</v>
          </cell>
          <cell r="H1580">
            <v>37939.848609906701</v>
          </cell>
        </row>
        <row r="1581">
          <cell r="B1581" t="str">
            <v>JOLON 1103CB</v>
          </cell>
          <cell r="C1581">
            <v>182981103</v>
          </cell>
          <cell r="D1581" t="str">
            <v>JOLON 1103</v>
          </cell>
          <cell r="E1581" t="str">
            <v>CB</v>
          </cell>
          <cell r="F1581" t="b">
            <v>0</v>
          </cell>
          <cell r="G1581">
            <v>29664.452057979899</v>
          </cell>
          <cell r="H1581">
            <v>21174.148783999401</v>
          </cell>
        </row>
        <row r="1582">
          <cell r="B1582" t="str">
            <v>KANAKA 11011034</v>
          </cell>
          <cell r="C1582">
            <v>103221101</v>
          </cell>
          <cell r="D1582" t="str">
            <v>KANAKA 1101</v>
          </cell>
          <cell r="E1582">
            <v>1034</v>
          </cell>
          <cell r="F1582" t="b">
            <v>0</v>
          </cell>
          <cell r="G1582">
            <v>17942.046337071999</v>
          </cell>
          <cell r="H1582">
            <v>17942.046337071999</v>
          </cell>
        </row>
        <row r="1583">
          <cell r="B1583" t="str">
            <v>KANAKA 11011036</v>
          </cell>
          <cell r="C1583">
            <v>103221101</v>
          </cell>
          <cell r="D1583" t="str">
            <v>KANAKA 1101</v>
          </cell>
          <cell r="E1583">
            <v>1036</v>
          </cell>
          <cell r="F1583" t="b">
            <v>1</v>
          </cell>
          <cell r="G1583">
            <v>989.45976922460102</v>
          </cell>
          <cell r="H1583">
            <v>989.45976922460102</v>
          </cell>
        </row>
        <row r="1584">
          <cell r="B1584" t="str">
            <v>KANAKA 11011044</v>
          </cell>
          <cell r="C1584">
            <v>103221101</v>
          </cell>
          <cell r="D1584" t="str">
            <v>KANAKA 1101</v>
          </cell>
          <cell r="E1584">
            <v>1044</v>
          </cell>
          <cell r="F1584" t="b">
            <v>0</v>
          </cell>
          <cell r="G1584">
            <v>9889.8429620446896</v>
          </cell>
          <cell r="H1584">
            <v>9889.8429620446896</v>
          </cell>
        </row>
        <row r="1585">
          <cell r="B1585" t="str">
            <v>KANAKA 11011406</v>
          </cell>
          <cell r="C1585">
            <v>103221101</v>
          </cell>
          <cell r="D1585" t="str">
            <v>KANAKA 1101</v>
          </cell>
          <cell r="E1585">
            <v>1406</v>
          </cell>
          <cell r="F1585" t="b">
            <v>0</v>
          </cell>
          <cell r="G1585">
            <v>43882.361900661803</v>
          </cell>
          <cell r="H1585">
            <v>43882.361900661803</v>
          </cell>
        </row>
        <row r="1586">
          <cell r="B1586" t="str">
            <v>KANAKA 110165606</v>
          </cell>
          <cell r="C1586">
            <v>103221101</v>
          </cell>
          <cell r="D1586" t="str">
            <v>KANAKA 1101</v>
          </cell>
          <cell r="E1586">
            <v>65606</v>
          </cell>
          <cell r="F1586" t="b">
            <v>0</v>
          </cell>
          <cell r="G1586">
            <v>20505.678951280999</v>
          </cell>
          <cell r="H1586">
            <v>20505.678951280999</v>
          </cell>
        </row>
        <row r="1587">
          <cell r="B1587" t="str">
            <v>KANAKA 110183288</v>
          </cell>
          <cell r="C1587">
            <v>103221101</v>
          </cell>
          <cell r="D1587" t="str">
            <v>KANAKA 1101</v>
          </cell>
          <cell r="E1587">
            <v>83288</v>
          </cell>
          <cell r="F1587" t="b">
            <v>0</v>
          </cell>
          <cell r="G1587">
            <v>27936.750677870699</v>
          </cell>
          <cell r="H1587">
            <v>27936.750677870699</v>
          </cell>
        </row>
        <row r="1588">
          <cell r="B1588" t="str">
            <v>KANAKA 1101CB</v>
          </cell>
          <cell r="C1588">
            <v>103221101</v>
          </cell>
          <cell r="D1588" t="str">
            <v>KANAKA 1101</v>
          </cell>
          <cell r="E1588" t="str">
            <v>CB</v>
          </cell>
          <cell r="F1588" t="b">
            <v>0</v>
          </cell>
          <cell r="G1588">
            <v>7605.9802983441396</v>
          </cell>
          <cell r="H1588">
            <v>7605.9802983441396</v>
          </cell>
        </row>
        <row r="1589">
          <cell r="B1589" t="str">
            <v>KERCKHOFF 1101CB</v>
          </cell>
          <cell r="C1589">
            <v>252561101</v>
          </cell>
          <cell r="D1589" t="str">
            <v>KERCKHOFF 1101</v>
          </cell>
          <cell r="E1589" t="str">
            <v>CB</v>
          </cell>
          <cell r="F1589" t="b">
            <v>0</v>
          </cell>
          <cell r="G1589">
            <v>27398.752944659602</v>
          </cell>
          <cell r="H1589">
            <v>27398.752944659602</v>
          </cell>
        </row>
        <row r="1590">
          <cell r="B1590" t="str">
            <v>KERCKHOFF 1101R308</v>
          </cell>
          <cell r="C1590">
            <v>252561101</v>
          </cell>
          <cell r="D1590" t="str">
            <v>KERCKHOFF 1101</v>
          </cell>
          <cell r="E1590" t="str">
            <v>R308</v>
          </cell>
          <cell r="F1590" t="b">
            <v>0</v>
          </cell>
          <cell r="G1590">
            <v>6217.3700538407002</v>
          </cell>
          <cell r="H1590">
            <v>6217.3700538407002</v>
          </cell>
        </row>
        <row r="1591">
          <cell r="B1591" t="str">
            <v>KERCKHOFF 1101R353</v>
          </cell>
          <cell r="C1591">
            <v>252561101</v>
          </cell>
          <cell r="D1591" t="str">
            <v>KERCKHOFF 1101</v>
          </cell>
          <cell r="E1591" t="str">
            <v>R353</v>
          </cell>
          <cell r="F1591" t="b">
            <v>0</v>
          </cell>
          <cell r="G1591">
            <v>22190.544303385799</v>
          </cell>
          <cell r="H1591">
            <v>22190.544303385799</v>
          </cell>
        </row>
        <row r="1592">
          <cell r="B1592" t="str">
            <v>KERN OIL 1106397902</v>
          </cell>
          <cell r="C1592">
            <v>252721106</v>
          </cell>
          <cell r="D1592" t="str">
            <v>KERN OIL 1106</v>
          </cell>
          <cell r="E1592">
            <v>397902</v>
          </cell>
          <cell r="F1592" t="b">
            <v>1</v>
          </cell>
          <cell r="G1592">
            <v>2608.3235822515398</v>
          </cell>
          <cell r="H1592">
            <v>717.53262065004503</v>
          </cell>
        </row>
        <row r="1593">
          <cell r="B1593" t="str">
            <v>KERN OIL 110646960</v>
          </cell>
          <cell r="C1593">
            <v>252721106</v>
          </cell>
          <cell r="D1593" t="str">
            <v>KERN OIL 1106</v>
          </cell>
          <cell r="E1593">
            <v>46960</v>
          </cell>
          <cell r="F1593" t="b">
            <v>0</v>
          </cell>
          <cell r="G1593">
            <v>3112.6163887112698</v>
          </cell>
          <cell r="H1593">
            <v>1465.0555722398501</v>
          </cell>
        </row>
        <row r="1594">
          <cell r="B1594" t="str">
            <v>KESWICK 11011586</v>
          </cell>
          <cell r="C1594">
            <v>103451101</v>
          </cell>
          <cell r="D1594" t="str">
            <v>KESWICK 1101</v>
          </cell>
          <cell r="E1594">
            <v>1586</v>
          </cell>
          <cell r="F1594" t="b">
            <v>0</v>
          </cell>
          <cell r="G1594">
            <v>11983.5348134261</v>
          </cell>
          <cell r="H1594">
            <v>11983.5348134261</v>
          </cell>
        </row>
        <row r="1595">
          <cell r="B1595" t="str">
            <v>KESWICK 11011588</v>
          </cell>
          <cell r="C1595">
            <v>103451101</v>
          </cell>
          <cell r="D1595" t="str">
            <v>KESWICK 1101</v>
          </cell>
          <cell r="E1595">
            <v>1588</v>
          </cell>
          <cell r="F1595" t="b">
            <v>0</v>
          </cell>
          <cell r="G1595">
            <v>13991.440067469801</v>
          </cell>
          <cell r="H1595">
            <v>13991.440067469801</v>
          </cell>
        </row>
        <row r="1596">
          <cell r="B1596" t="str">
            <v>KESWICK 11011590</v>
          </cell>
          <cell r="C1596">
            <v>103451101</v>
          </cell>
          <cell r="D1596" t="str">
            <v>KESWICK 1101</v>
          </cell>
          <cell r="E1596">
            <v>1590</v>
          </cell>
          <cell r="F1596" t="b">
            <v>0</v>
          </cell>
          <cell r="G1596">
            <v>10388.8944931233</v>
          </cell>
          <cell r="H1596">
            <v>10388.8944931233</v>
          </cell>
        </row>
        <row r="1597">
          <cell r="B1597" t="str">
            <v>KESWICK 110148480</v>
          </cell>
          <cell r="C1597">
            <v>103451101</v>
          </cell>
          <cell r="D1597" t="str">
            <v>KESWICK 1101</v>
          </cell>
          <cell r="E1597">
            <v>48480</v>
          </cell>
          <cell r="F1597" t="b">
            <v>0</v>
          </cell>
          <cell r="G1597">
            <v>16927.985162876099</v>
          </cell>
          <cell r="H1597">
            <v>16927.985162876099</v>
          </cell>
        </row>
        <row r="1598">
          <cell r="B1598" t="str">
            <v>KESWICK 11019712</v>
          </cell>
          <cell r="C1598">
            <v>103451101</v>
          </cell>
          <cell r="D1598" t="str">
            <v>KESWICK 1101</v>
          </cell>
          <cell r="E1598">
            <v>9712</v>
          </cell>
          <cell r="F1598" t="b">
            <v>0</v>
          </cell>
          <cell r="G1598">
            <v>29909.732639945199</v>
          </cell>
          <cell r="H1598">
            <v>29909.732639945199</v>
          </cell>
        </row>
        <row r="1599">
          <cell r="B1599" t="str">
            <v>KESWICK 1101CB</v>
          </cell>
          <cell r="C1599">
            <v>103451101</v>
          </cell>
          <cell r="D1599" t="str">
            <v>KESWICK 1101</v>
          </cell>
          <cell r="E1599" t="str">
            <v>CB</v>
          </cell>
          <cell r="F1599" t="b">
            <v>1</v>
          </cell>
          <cell r="G1599">
            <v>26.668342487830099</v>
          </cell>
          <cell r="H1599">
            <v>26.668342487830099</v>
          </cell>
        </row>
        <row r="1600">
          <cell r="B1600" t="str">
            <v>KING CITY 11037038</v>
          </cell>
          <cell r="C1600">
            <v>182031103</v>
          </cell>
          <cell r="D1600" t="str">
            <v>KING CITY 1103</v>
          </cell>
          <cell r="E1600">
            <v>7038</v>
          </cell>
          <cell r="F1600" t="b">
            <v>0</v>
          </cell>
          <cell r="G1600">
            <v>35749.370748385503</v>
          </cell>
          <cell r="H1600">
            <v>29491.461489965099</v>
          </cell>
        </row>
        <row r="1601">
          <cell r="B1601" t="str">
            <v>KIRKER 2104442850</v>
          </cell>
          <cell r="C1601">
            <v>14452104</v>
          </cell>
          <cell r="D1601" t="str">
            <v>KIRKER 2104</v>
          </cell>
          <cell r="E1601">
            <v>442850</v>
          </cell>
          <cell r="F1601" t="b">
            <v>0</v>
          </cell>
          <cell r="G1601">
            <v>9258.5450240750197</v>
          </cell>
          <cell r="H1601">
            <v>9258.5450240750197</v>
          </cell>
        </row>
        <row r="1602">
          <cell r="B1602" t="str">
            <v>KIRKER 2104CB</v>
          </cell>
          <cell r="C1602">
            <v>14452104</v>
          </cell>
          <cell r="D1602" t="str">
            <v>KIRKER 2104</v>
          </cell>
          <cell r="E1602" t="str">
            <v>CB</v>
          </cell>
          <cell r="F1602" t="b">
            <v>1</v>
          </cell>
          <cell r="G1602">
            <v>16910.3925275574</v>
          </cell>
          <cell r="H1602">
            <v>74.513190387968905</v>
          </cell>
        </row>
        <row r="1603">
          <cell r="B1603" t="str">
            <v>KONOCTI 11022293</v>
          </cell>
          <cell r="C1603">
            <v>43311102</v>
          </cell>
          <cell r="D1603" t="str">
            <v>KONOCTI 1102</v>
          </cell>
          <cell r="E1603">
            <v>2293</v>
          </cell>
          <cell r="F1603" t="b">
            <v>0</v>
          </cell>
          <cell r="G1603">
            <v>2820.5708872021901</v>
          </cell>
          <cell r="H1603">
            <v>2820.5708872021901</v>
          </cell>
        </row>
        <row r="1604">
          <cell r="B1604" t="str">
            <v>KONOCTI 1102354890</v>
          </cell>
          <cell r="C1604">
            <v>43311102</v>
          </cell>
          <cell r="D1604" t="str">
            <v>KONOCTI 1102</v>
          </cell>
          <cell r="E1604">
            <v>354890</v>
          </cell>
          <cell r="F1604" t="b">
            <v>0</v>
          </cell>
          <cell r="G1604">
            <v>19596.937921177301</v>
          </cell>
          <cell r="H1604">
            <v>15016.4864408255</v>
          </cell>
        </row>
        <row r="1605">
          <cell r="B1605" t="str">
            <v>KONOCTI 11024300</v>
          </cell>
          <cell r="C1605">
            <v>43311102</v>
          </cell>
          <cell r="D1605" t="str">
            <v>KONOCTI 1102</v>
          </cell>
          <cell r="E1605">
            <v>4300</v>
          </cell>
          <cell r="F1605" t="b">
            <v>0</v>
          </cell>
          <cell r="G1605">
            <v>43675.508035093801</v>
          </cell>
          <cell r="H1605">
            <v>43384.103634787301</v>
          </cell>
        </row>
        <row r="1606">
          <cell r="B1606" t="str">
            <v>KONOCTI 11024421</v>
          </cell>
          <cell r="C1606">
            <v>43311102</v>
          </cell>
          <cell r="D1606" t="str">
            <v>KONOCTI 1102</v>
          </cell>
          <cell r="E1606">
            <v>4421</v>
          </cell>
          <cell r="F1606" t="b">
            <v>1</v>
          </cell>
          <cell r="G1606">
            <v>585.35927499490799</v>
          </cell>
          <cell r="H1606">
            <v>585.35927499490799</v>
          </cell>
        </row>
        <row r="1607">
          <cell r="B1607" t="str">
            <v>KONOCTI 1102532</v>
          </cell>
          <cell r="C1607">
            <v>43311102</v>
          </cell>
          <cell r="D1607" t="str">
            <v>KONOCTI 1102</v>
          </cell>
          <cell r="E1607">
            <v>532</v>
          </cell>
          <cell r="F1607" t="b">
            <v>0</v>
          </cell>
          <cell r="G1607">
            <v>15658.0015748445</v>
          </cell>
          <cell r="H1607">
            <v>15658.0015748445</v>
          </cell>
        </row>
        <row r="1608">
          <cell r="B1608" t="str">
            <v>KONOCTI 110264664</v>
          </cell>
          <cell r="C1608">
            <v>43311102</v>
          </cell>
          <cell r="D1608" t="str">
            <v>KONOCTI 1102</v>
          </cell>
          <cell r="E1608">
            <v>64664</v>
          </cell>
          <cell r="F1608" t="b">
            <v>0</v>
          </cell>
          <cell r="G1608">
            <v>46084.802484710701</v>
          </cell>
          <cell r="H1608">
            <v>44670.366547544501</v>
          </cell>
        </row>
        <row r="1609">
          <cell r="B1609" t="str">
            <v>KONOCTI 1102714370</v>
          </cell>
          <cell r="C1609">
            <v>43311102</v>
          </cell>
          <cell r="D1609" t="str">
            <v>KONOCTI 1102</v>
          </cell>
          <cell r="E1609">
            <v>714370</v>
          </cell>
          <cell r="F1609" t="b">
            <v>0</v>
          </cell>
          <cell r="G1609">
            <v>4274.3031172171204</v>
          </cell>
          <cell r="H1609">
            <v>3423.0114847077598</v>
          </cell>
        </row>
        <row r="1610">
          <cell r="B1610" t="str">
            <v>KONOCTI 1102716</v>
          </cell>
          <cell r="C1610">
            <v>43311102</v>
          </cell>
          <cell r="D1610" t="str">
            <v>KONOCTI 1102</v>
          </cell>
          <cell r="E1610">
            <v>716</v>
          </cell>
          <cell r="F1610" t="b">
            <v>0</v>
          </cell>
          <cell r="G1610">
            <v>27459.726245661099</v>
          </cell>
          <cell r="H1610">
            <v>24685.225330179299</v>
          </cell>
        </row>
        <row r="1611">
          <cell r="B1611" t="str">
            <v>KONOCTI 110275382</v>
          </cell>
          <cell r="C1611">
            <v>43311102</v>
          </cell>
          <cell r="D1611" t="str">
            <v>KONOCTI 1102</v>
          </cell>
          <cell r="E1611">
            <v>75382</v>
          </cell>
          <cell r="F1611" t="b">
            <v>0</v>
          </cell>
          <cell r="G1611">
            <v>37601.915155213203</v>
          </cell>
          <cell r="H1611">
            <v>37336.099936636303</v>
          </cell>
        </row>
        <row r="1612">
          <cell r="B1612" t="str">
            <v>KONOCTI 1102948</v>
          </cell>
          <cell r="C1612">
            <v>43311102</v>
          </cell>
          <cell r="D1612" t="str">
            <v>KONOCTI 1102</v>
          </cell>
          <cell r="E1612">
            <v>948</v>
          </cell>
          <cell r="F1612" t="b">
            <v>0</v>
          </cell>
          <cell r="G1612">
            <v>12598.6877747207</v>
          </cell>
          <cell r="H1612">
            <v>10159.6074915103</v>
          </cell>
        </row>
        <row r="1613">
          <cell r="B1613" t="str">
            <v>KONOCTI 1102965078</v>
          </cell>
          <cell r="C1613">
            <v>43311102</v>
          </cell>
          <cell r="D1613" t="str">
            <v>KONOCTI 1102</v>
          </cell>
          <cell r="E1613">
            <v>965078</v>
          </cell>
          <cell r="F1613" t="b">
            <v>0</v>
          </cell>
          <cell r="G1613">
            <v>11264.139865663599</v>
          </cell>
          <cell r="H1613">
            <v>10089.0760761449</v>
          </cell>
        </row>
        <row r="1614">
          <cell r="B1614" t="str">
            <v>KONOCTI 1102CB</v>
          </cell>
          <cell r="C1614">
            <v>43311102</v>
          </cell>
          <cell r="D1614" t="str">
            <v>KONOCTI 1102</v>
          </cell>
          <cell r="E1614" t="str">
            <v>CB</v>
          </cell>
          <cell r="F1614" t="b">
            <v>0</v>
          </cell>
          <cell r="G1614">
            <v>15262.2312489374</v>
          </cell>
          <cell r="H1614">
            <v>6326.3362613877898</v>
          </cell>
        </row>
        <row r="1615">
          <cell r="B1615" t="str">
            <v>KONOCTI 11081278</v>
          </cell>
          <cell r="C1615">
            <v>43311108</v>
          </cell>
          <cell r="D1615" t="str">
            <v>KONOCTI 1108</v>
          </cell>
          <cell r="E1615">
            <v>1278</v>
          </cell>
          <cell r="F1615" t="b">
            <v>0</v>
          </cell>
          <cell r="G1615">
            <v>12855.1379334373</v>
          </cell>
          <cell r="H1615">
            <v>9099.8598055586408</v>
          </cell>
        </row>
        <row r="1616">
          <cell r="B1616" t="str">
            <v>KONOCTI 11084037</v>
          </cell>
          <cell r="C1616">
            <v>43311108</v>
          </cell>
          <cell r="D1616" t="str">
            <v>KONOCTI 1108</v>
          </cell>
          <cell r="E1616">
            <v>4037</v>
          </cell>
          <cell r="F1616" t="b">
            <v>0</v>
          </cell>
          <cell r="G1616">
            <v>2780.3930107218498</v>
          </cell>
          <cell r="H1616">
            <v>1840.2463787279</v>
          </cell>
        </row>
        <row r="1617">
          <cell r="B1617" t="str">
            <v>KONOCTI 11084039</v>
          </cell>
          <cell r="C1617">
            <v>43311108</v>
          </cell>
          <cell r="D1617" t="str">
            <v>KONOCTI 1108</v>
          </cell>
          <cell r="E1617">
            <v>4039</v>
          </cell>
          <cell r="F1617" t="b">
            <v>0</v>
          </cell>
          <cell r="G1617">
            <v>3724.1918894288501</v>
          </cell>
          <cell r="H1617">
            <v>3048.41691549388</v>
          </cell>
        </row>
        <row r="1618">
          <cell r="B1618" t="str">
            <v>KONOCTI 11084041</v>
          </cell>
          <cell r="C1618">
            <v>43311108</v>
          </cell>
          <cell r="D1618" t="str">
            <v>KONOCTI 1108</v>
          </cell>
          <cell r="E1618">
            <v>4041</v>
          </cell>
          <cell r="F1618" t="b">
            <v>0</v>
          </cell>
          <cell r="G1618">
            <v>7568.2917923434197</v>
          </cell>
          <cell r="H1618">
            <v>2174.4688850919902</v>
          </cell>
        </row>
        <row r="1619">
          <cell r="B1619" t="str">
            <v>KONOCTI 1108950</v>
          </cell>
          <cell r="C1619">
            <v>43311108</v>
          </cell>
          <cell r="D1619" t="str">
            <v>KONOCTI 1108</v>
          </cell>
          <cell r="E1619">
            <v>950</v>
          </cell>
          <cell r="F1619" t="b">
            <v>0</v>
          </cell>
          <cell r="G1619">
            <v>11853.155717939901</v>
          </cell>
          <cell r="H1619">
            <v>9978.6097835806595</v>
          </cell>
        </row>
        <row r="1620">
          <cell r="B1620" t="str">
            <v>KONOCTI 1108CB</v>
          </cell>
          <cell r="C1620">
            <v>43311108</v>
          </cell>
          <cell r="D1620" t="str">
            <v>KONOCTI 1108</v>
          </cell>
          <cell r="E1620" t="str">
            <v>CB</v>
          </cell>
          <cell r="F1620" t="b">
            <v>0</v>
          </cell>
          <cell r="G1620">
            <v>14256.092734543599</v>
          </cell>
          <cell r="H1620">
            <v>10229.332258579299</v>
          </cell>
        </row>
        <row r="1621">
          <cell r="B1621" t="str">
            <v>LAKEVILLE 1102152632</v>
          </cell>
          <cell r="C1621">
            <v>43371102</v>
          </cell>
          <cell r="D1621" t="str">
            <v>LAKEVILLE 1102</v>
          </cell>
          <cell r="E1621">
            <v>152632</v>
          </cell>
          <cell r="F1621" t="b">
            <v>0</v>
          </cell>
          <cell r="G1621">
            <v>3427.1830283874901</v>
          </cell>
          <cell r="H1621">
            <v>3099.3949205681301</v>
          </cell>
        </row>
        <row r="1622">
          <cell r="B1622" t="str">
            <v>LAKEVILLE 1102280</v>
          </cell>
          <cell r="C1622">
            <v>43371102</v>
          </cell>
          <cell r="D1622" t="str">
            <v>LAKEVILLE 1102</v>
          </cell>
          <cell r="E1622">
            <v>280</v>
          </cell>
          <cell r="F1622" t="b">
            <v>0</v>
          </cell>
          <cell r="G1622">
            <v>10907.076867526999</v>
          </cell>
          <cell r="H1622">
            <v>1106.4060249656</v>
          </cell>
        </row>
        <row r="1623">
          <cell r="B1623" t="str">
            <v>LAKEVILLE 1102347280</v>
          </cell>
          <cell r="C1623">
            <v>43371102</v>
          </cell>
          <cell r="D1623" t="str">
            <v>LAKEVILLE 1102</v>
          </cell>
          <cell r="E1623">
            <v>347280</v>
          </cell>
          <cell r="F1623" t="b">
            <v>0</v>
          </cell>
          <cell r="G1623">
            <v>20187.703704301199</v>
          </cell>
          <cell r="H1623">
            <v>12761.9341118915</v>
          </cell>
        </row>
        <row r="1624">
          <cell r="B1624" t="str">
            <v>LAKEVILLE 1102367100</v>
          </cell>
          <cell r="C1624">
            <v>43371102</v>
          </cell>
          <cell r="D1624" t="str">
            <v>LAKEVILLE 1102</v>
          </cell>
          <cell r="E1624">
            <v>367100</v>
          </cell>
          <cell r="F1624" t="b">
            <v>1</v>
          </cell>
          <cell r="G1624">
            <v>1041.07261950732</v>
          </cell>
          <cell r="H1624">
            <v>900.80362409590998</v>
          </cell>
        </row>
        <row r="1625">
          <cell r="B1625" t="str">
            <v>LAKEVILLE 1102530</v>
          </cell>
          <cell r="C1625">
            <v>43371102</v>
          </cell>
          <cell r="D1625" t="str">
            <v>LAKEVILLE 1102</v>
          </cell>
          <cell r="E1625">
            <v>530</v>
          </cell>
          <cell r="F1625" t="b">
            <v>1</v>
          </cell>
          <cell r="G1625">
            <v>7365.5042903030098</v>
          </cell>
          <cell r="H1625">
            <v>114.99106409575199</v>
          </cell>
        </row>
        <row r="1626">
          <cell r="B1626" t="str">
            <v>LAKEVILLE 110287432</v>
          </cell>
          <cell r="C1626">
            <v>43371102</v>
          </cell>
          <cell r="D1626" t="str">
            <v>LAKEVILLE 1102</v>
          </cell>
          <cell r="E1626">
            <v>87432</v>
          </cell>
          <cell r="F1626" t="b">
            <v>0</v>
          </cell>
          <cell r="G1626">
            <v>21925.1583337544</v>
          </cell>
          <cell r="H1626">
            <v>15708.5354873299</v>
          </cell>
        </row>
        <row r="1627">
          <cell r="B1627" t="str">
            <v>LAKEWOOD 1102964292</v>
          </cell>
          <cell r="C1627">
            <v>13531102</v>
          </cell>
          <cell r="D1627" t="str">
            <v>LAKEWOOD 1102</v>
          </cell>
          <cell r="E1627">
            <v>964292</v>
          </cell>
          <cell r="F1627" t="b">
            <v>1</v>
          </cell>
          <cell r="G1627">
            <v>128.15986647546401</v>
          </cell>
          <cell r="H1627">
            <v>128.15986647546401</v>
          </cell>
        </row>
        <row r="1628">
          <cell r="B1628" t="str">
            <v>LAKEWOOD 1102CB</v>
          </cell>
          <cell r="C1628">
            <v>13531102</v>
          </cell>
          <cell r="D1628" t="str">
            <v>LAKEWOOD 1102</v>
          </cell>
          <cell r="E1628" t="str">
            <v>CB</v>
          </cell>
          <cell r="F1628" t="b">
            <v>1</v>
          </cell>
          <cell r="G1628">
            <v>15331.912398456599</v>
          </cell>
          <cell r="H1628">
            <v>23.5925048244229</v>
          </cell>
        </row>
        <row r="1629">
          <cell r="B1629" t="str">
            <v>LAKEWOOD 210738404</v>
          </cell>
          <cell r="C1629">
            <v>13532107</v>
          </cell>
          <cell r="D1629" t="str">
            <v>LAKEWOOD 2107</v>
          </cell>
          <cell r="E1629">
            <v>38404</v>
          </cell>
          <cell r="F1629" t="b">
            <v>0</v>
          </cell>
          <cell r="G1629">
            <v>9333.1055809020309</v>
          </cell>
          <cell r="H1629">
            <v>5730.6142521517304</v>
          </cell>
        </row>
        <row r="1630">
          <cell r="B1630" t="str">
            <v>LAKEWOOD 2107396264</v>
          </cell>
          <cell r="C1630">
            <v>13532107</v>
          </cell>
          <cell r="D1630" t="str">
            <v>LAKEWOOD 2107</v>
          </cell>
          <cell r="E1630">
            <v>396264</v>
          </cell>
          <cell r="F1630" t="b">
            <v>0</v>
          </cell>
          <cell r="G1630">
            <v>10259.9636474168</v>
          </cell>
          <cell r="H1630">
            <v>7704.1999766009203</v>
          </cell>
        </row>
        <row r="1631">
          <cell r="B1631" t="str">
            <v>LAKEWOOD 210769586</v>
          </cell>
          <cell r="C1631">
            <v>13532107</v>
          </cell>
          <cell r="D1631" t="str">
            <v>LAKEWOOD 2107</v>
          </cell>
          <cell r="E1631">
            <v>69586</v>
          </cell>
          <cell r="F1631" t="b">
            <v>1</v>
          </cell>
          <cell r="G1631">
            <v>9651.4745407596292</v>
          </cell>
          <cell r="H1631">
            <v>688.92179672140799</v>
          </cell>
        </row>
        <row r="1632">
          <cell r="B1632" t="str">
            <v>LAKEWOOD 2109432198 FM</v>
          </cell>
          <cell r="C1632">
            <v>13532109</v>
          </cell>
          <cell r="D1632" t="str">
            <v>LAKEWOOD 2109</v>
          </cell>
          <cell r="E1632" t="str">
            <v>432198 FM</v>
          </cell>
          <cell r="F1632" t="b">
            <v>1</v>
          </cell>
          <cell r="G1632">
            <v>3829.09796721987</v>
          </cell>
          <cell r="H1632">
            <v>907.00961644913798</v>
          </cell>
        </row>
        <row r="1633">
          <cell r="B1633" t="str">
            <v>LAKEWOOD 2224798018</v>
          </cell>
          <cell r="C1633">
            <v>13532224</v>
          </cell>
          <cell r="D1633" t="str">
            <v>LAKEWOOD 2224</v>
          </cell>
          <cell r="E1633">
            <v>798018</v>
          </cell>
          <cell r="F1633" t="b">
            <v>0</v>
          </cell>
          <cell r="G1633">
            <v>1485.41078417268</v>
          </cell>
          <cell r="H1633">
            <v>1448.3136681394701</v>
          </cell>
        </row>
        <row r="1634">
          <cell r="B1634" t="str">
            <v>LAKEWOOD 2227W503R</v>
          </cell>
          <cell r="C1634">
            <v>13532227</v>
          </cell>
          <cell r="D1634" t="str">
            <v>LAKEWOOD 2227</v>
          </cell>
          <cell r="E1634" t="str">
            <v>W503R</v>
          </cell>
          <cell r="F1634" t="b">
            <v>1</v>
          </cell>
          <cell r="G1634">
            <v>12304.542423720801</v>
          </cell>
          <cell r="H1634">
            <v>121.87355080329</v>
          </cell>
        </row>
        <row r="1635">
          <cell r="B1635" t="str">
            <v>LAMONT 11024222</v>
          </cell>
          <cell r="C1635">
            <v>253911102</v>
          </cell>
          <cell r="D1635" t="str">
            <v>LAMONT 1102</v>
          </cell>
          <cell r="E1635">
            <v>4222</v>
          </cell>
          <cell r="F1635" t="b">
            <v>0</v>
          </cell>
          <cell r="G1635">
            <v>26146.303599694798</v>
          </cell>
          <cell r="H1635">
            <v>4245.3884285433896</v>
          </cell>
        </row>
        <row r="1636">
          <cell r="B1636" t="str">
            <v>LAS AROMAS 04013342</v>
          </cell>
          <cell r="C1636">
            <v>13600401</v>
          </cell>
          <cell r="D1636" t="str">
            <v>LAS AROMAS 0401</v>
          </cell>
          <cell r="E1636">
            <v>3342</v>
          </cell>
          <cell r="F1636" t="b">
            <v>0</v>
          </cell>
          <cell r="G1636">
            <v>3691.7497167329798</v>
          </cell>
          <cell r="H1636">
            <v>3691.7497167329798</v>
          </cell>
        </row>
        <row r="1637">
          <cell r="B1637" t="str">
            <v>LAS AROMAS 0401LA401R</v>
          </cell>
          <cell r="C1637">
            <v>13600401</v>
          </cell>
          <cell r="D1637" t="str">
            <v>LAS AROMAS 0401</v>
          </cell>
          <cell r="E1637" t="str">
            <v>LA401R</v>
          </cell>
          <cell r="F1637" t="b">
            <v>0</v>
          </cell>
          <cell r="G1637">
            <v>6369.41852037636</v>
          </cell>
          <cell r="H1637">
            <v>4956.3951045796503</v>
          </cell>
        </row>
        <row r="1638">
          <cell r="B1638" t="str">
            <v>LAS GALLINAS A 11041220</v>
          </cell>
          <cell r="C1638">
            <v>42991104</v>
          </cell>
          <cell r="D1638" t="str">
            <v>LAS GALLINAS A 1104</v>
          </cell>
          <cell r="E1638">
            <v>1220</v>
          </cell>
          <cell r="F1638" t="b">
            <v>1</v>
          </cell>
          <cell r="G1638">
            <v>7829.4678713539897</v>
          </cell>
          <cell r="H1638">
            <v>0</v>
          </cell>
        </row>
        <row r="1639">
          <cell r="B1639" t="str">
            <v>LAS GALLINAS A 1104304</v>
          </cell>
          <cell r="C1639">
            <v>42991104</v>
          </cell>
          <cell r="D1639" t="str">
            <v>LAS GALLINAS A 1104</v>
          </cell>
          <cell r="E1639">
            <v>304</v>
          </cell>
          <cell r="F1639" t="b">
            <v>1</v>
          </cell>
          <cell r="G1639">
            <v>3131.1603014860498</v>
          </cell>
          <cell r="H1639">
            <v>221.04297837885201</v>
          </cell>
        </row>
        <row r="1640">
          <cell r="B1640" t="str">
            <v>LAS GALLINAS A 1104309087</v>
          </cell>
          <cell r="C1640">
            <v>42991104</v>
          </cell>
          <cell r="D1640" t="str">
            <v>LAS GALLINAS A 1104</v>
          </cell>
          <cell r="E1640">
            <v>309087</v>
          </cell>
          <cell r="F1640" t="b">
            <v>1</v>
          </cell>
          <cell r="G1640">
            <v>645.60469662555897</v>
          </cell>
          <cell r="H1640">
            <v>302.496883494798</v>
          </cell>
        </row>
        <row r="1641">
          <cell r="B1641" t="str">
            <v>LAS GALLINAS A 1104507389</v>
          </cell>
          <cell r="C1641">
            <v>42991104</v>
          </cell>
          <cell r="D1641" t="str">
            <v>LAS GALLINAS A 1104</v>
          </cell>
          <cell r="E1641">
            <v>507389</v>
          </cell>
          <cell r="F1641" t="b">
            <v>1</v>
          </cell>
          <cell r="G1641">
            <v>305.66521882838799</v>
          </cell>
          <cell r="H1641">
            <v>212.33409271291001</v>
          </cell>
        </row>
        <row r="1642">
          <cell r="B1642" t="str">
            <v>LAS GALLINAS A 11051218</v>
          </cell>
          <cell r="C1642">
            <v>42991105</v>
          </cell>
          <cell r="D1642" t="str">
            <v>LAS GALLINAS A 1105</v>
          </cell>
          <cell r="E1642">
            <v>1218</v>
          </cell>
          <cell r="F1642" t="b">
            <v>1</v>
          </cell>
          <cell r="G1642">
            <v>3546.1366332344701</v>
          </cell>
          <cell r="H1642">
            <v>106.74521640115</v>
          </cell>
        </row>
        <row r="1643">
          <cell r="B1643" t="str">
            <v>LAS GALLINAS A 1105532</v>
          </cell>
          <cell r="C1643">
            <v>42991105</v>
          </cell>
          <cell r="D1643" t="str">
            <v>LAS GALLINAS A 1105</v>
          </cell>
          <cell r="E1643">
            <v>532</v>
          </cell>
          <cell r="F1643" t="b">
            <v>0</v>
          </cell>
          <cell r="G1643">
            <v>7102.1777208701897</v>
          </cell>
          <cell r="H1643">
            <v>7099.1789855930201</v>
          </cell>
        </row>
        <row r="1644">
          <cell r="B1644" t="str">
            <v>LAS GALLINAS A 1105648439</v>
          </cell>
          <cell r="C1644">
            <v>42991105</v>
          </cell>
          <cell r="D1644" t="str">
            <v>LAS GALLINAS A 1105</v>
          </cell>
          <cell r="E1644">
            <v>648439</v>
          </cell>
          <cell r="F1644" t="b">
            <v>1</v>
          </cell>
          <cell r="G1644">
            <v>225.87567505074099</v>
          </cell>
          <cell r="H1644">
            <v>10.9115382235863</v>
          </cell>
        </row>
        <row r="1645">
          <cell r="B1645" t="str">
            <v>LAS GALLINAS A 1105904</v>
          </cell>
          <cell r="C1645">
            <v>42991105</v>
          </cell>
          <cell r="D1645" t="str">
            <v>LAS GALLINAS A 1105</v>
          </cell>
          <cell r="E1645">
            <v>904</v>
          </cell>
          <cell r="F1645" t="b">
            <v>0</v>
          </cell>
          <cell r="G1645">
            <v>11554.852478029899</v>
          </cell>
          <cell r="H1645">
            <v>2469.24561415178</v>
          </cell>
        </row>
        <row r="1646">
          <cell r="B1646" t="str">
            <v>LAS GALLINAS A 110599904</v>
          </cell>
          <cell r="C1646">
            <v>42991105</v>
          </cell>
          <cell r="D1646" t="str">
            <v>LAS GALLINAS A 1105</v>
          </cell>
          <cell r="E1646">
            <v>99904</v>
          </cell>
          <cell r="F1646" t="b">
            <v>0</v>
          </cell>
          <cell r="G1646">
            <v>8949.4852600374707</v>
          </cell>
          <cell r="H1646">
            <v>8949.4852600374707</v>
          </cell>
        </row>
        <row r="1647">
          <cell r="B1647" t="str">
            <v>LAS GALLINAS A 1105CB</v>
          </cell>
          <cell r="C1647">
            <v>42991105</v>
          </cell>
          <cell r="D1647" t="str">
            <v>LAS GALLINAS A 1105</v>
          </cell>
          <cell r="E1647" t="str">
            <v>CB</v>
          </cell>
          <cell r="F1647" t="b">
            <v>1</v>
          </cell>
          <cell r="G1647">
            <v>3345.6945788387502</v>
          </cell>
          <cell r="H1647">
            <v>710.30384030705704</v>
          </cell>
        </row>
        <row r="1648">
          <cell r="B1648" t="str">
            <v>LAS GALLINAS A 1106206332</v>
          </cell>
          <cell r="C1648">
            <v>42991106</v>
          </cell>
          <cell r="D1648" t="str">
            <v>LAS GALLINAS A 1106</v>
          </cell>
          <cell r="E1648">
            <v>206332</v>
          </cell>
          <cell r="F1648" t="b">
            <v>1</v>
          </cell>
          <cell r="G1648">
            <v>973.83026674359303</v>
          </cell>
          <cell r="H1648">
            <v>488.86529014840897</v>
          </cell>
        </row>
        <row r="1649">
          <cell r="B1649" t="str">
            <v>LAS GALLINAS A 1106228906</v>
          </cell>
          <cell r="C1649">
            <v>42991106</v>
          </cell>
          <cell r="D1649" t="str">
            <v>LAS GALLINAS A 1106</v>
          </cell>
          <cell r="E1649">
            <v>228906</v>
          </cell>
          <cell r="F1649" t="b">
            <v>1</v>
          </cell>
          <cell r="G1649">
            <v>2215.3526902795402</v>
          </cell>
          <cell r="H1649">
            <v>988.59490148070904</v>
          </cell>
        </row>
        <row r="1650">
          <cell r="B1650" t="str">
            <v>LAS GALLINAS A 1106685656</v>
          </cell>
          <cell r="C1650">
            <v>42991106</v>
          </cell>
          <cell r="D1650" t="str">
            <v>LAS GALLINAS A 1106</v>
          </cell>
          <cell r="E1650">
            <v>685656</v>
          </cell>
          <cell r="F1650" t="b">
            <v>0</v>
          </cell>
          <cell r="G1650">
            <v>5880.2293697019304</v>
          </cell>
          <cell r="H1650">
            <v>1923.4164539042599</v>
          </cell>
        </row>
        <row r="1651">
          <cell r="B1651" t="str">
            <v>LAS GALLINAS A 1106685852</v>
          </cell>
          <cell r="C1651">
            <v>42991106</v>
          </cell>
          <cell r="D1651" t="str">
            <v>LAS GALLINAS A 1106</v>
          </cell>
          <cell r="E1651">
            <v>685852</v>
          </cell>
          <cell r="F1651" t="b">
            <v>1</v>
          </cell>
          <cell r="G1651">
            <v>222.93053811173201</v>
          </cell>
          <cell r="H1651">
            <v>104.933135520443</v>
          </cell>
        </row>
        <row r="1652">
          <cell r="B1652" t="str">
            <v>LAS GALLINAS A 1106CB</v>
          </cell>
          <cell r="C1652">
            <v>42991106</v>
          </cell>
          <cell r="D1652" t="str">
            <v>LAS GALLINAS A 1106</v>
          </cell>
          <cell r="E1652" t="str">
            <v>CB</v>
          </cell>
          <cell r="F1652" t="b">
            <v>1</v>
          </cell>
          <cell r="G1652">
            <v>16165.561819986</v>
          </cell>
          <cell r="H1652">
            <v>153.74680750578801</v>
          </cell>
        </row>
        <row r="1653">
          <cell r="B1653" t="str">
            <v>LAS GALLINAS A 1107554</v>
          </cell>
          <cell r="C1653">
            <v>42991107</v>
          </cell>
          <cell r="D1653" t="str">
            <v>LAS GALLINAS A 1107</v>
          </cell>
          <cell r="E1653">
            <v>554</v>
          </cell>
          <cell r="F1653" t="b">
            <v>1</v>
          </cell>
          <cell r="G1653">
            <v>4453.2978125063701</v>
          </cell>
          <cell r="H1653">
            <v>52.9857185924973</v>
          </cell>
        </row>
        <row r="1654">
          <cell r="B1654" t="str">
            <v>LAS POSITAS 2108MR182</v>
          </cell>
          <cell r="C1654">
            <v>14402108</v>
          </cell>
          <cell r="D1654" t="str">
            <v>LAS POSITAS 2108</v>
          </cell>
          <cell r="E1654" t="str">
            <v>MR182</v>
          </cell>
          <cell r="F1654" t="b">
            <v>0</v>
          </cell>
          <cell r="G1654">
            <v>11548.6883931048</v>
          </cell>
          <cell r="H1654">
            <v>10768.7758603456</v>
          </cell>
        </row>
        <row r="1655">
          <cell r="B1655" t="str">
            <v>LAS POSITAS 2108MR190</v>
          </cell>
          <cell r="C1655">
            <v>14402108</v>
          </cell>
          <cell r="D1655" t="str">
            <v>LAS POSITAS 2108</v>
          </cell>
          <cell r="E1655" t="str">
            <v>MR190</v>
          </cell>
          <cell r="F1655" t="b">
            <v>0</v>
          </cell>
          <cell r="G1655">
            <v>18265.303045668501</v>
          </cell>
          <cell r="H1655">
            <v>1336.9263983640701</v>
          </cell>
        </row>
        <row r="1656">
          <cell r="B1656" t="str">
            <v>LAS PULGAS 0401104588</v>
          </cell>
          <cell r="C1656">
            <v>24120401</v>
          </cell>
          <cell r="D1656" t="str">
            <v>LAS PULGAS 0401</v>
          </cell>
          <cell r="E1656">
            <v>104588</v>
          </cell>
          <cell r="F1656" t="b">
            <v>1</v>
          </cell>
          <cell r="G1656">
            <v>1238.83589980581</v>
          </cell>
          <cell r="H1656">
            <v>581.41137400596597</v>
          </cell>
        </row>
        <row r="1657">
          <cell r="B1657" t="str">
            <v>LAURELES 111110141</v>
          </cell>
          <cell r="C1657">
            <v>182371111</v>
          </cell>
          <cell r="D1657" t="str">
            <v>LAURELES 1111</v>
          </cell>
          <cell r="E1657">
            <v>10141</v>
          </cell>
          <cell r="F1657" t="b">
            <v>0</v>
          </cell>
          <cell r="G1657">
            <v>4694.7774786464697</v>
          </cell>
          <cell r="H1657">
            <v>4694.7774786464697</v>
          </cell>
        </row>
        <row r="1658">
          <cell r="B1658" t="str">
            <v>LAURELES 11112020</v>
          </cell>
          <cell r="C1658">
            <v>182371111</v>
          </cell>
          <cell r="D1658" t="str">
            <v>LAURELES 1111</v>
          </cell>
          <cell r="E1658">
            <v>2020</v>
          </cell>
          <cell r="F1658" t="b">
            <v>0</v>
          </cell>
          <cell r="G1658">
            <v>55275.257191422199</v>
          </cell>
          <cell r="H1658">
            <v>55275.257191422199</v>
          </cell>
        </row>
        <row r="1659">
          <cell r="B1659" t="str">
            <v>LAURELES 11112028</v>
          </cell>
          <cell r="C1659">
            <v>182371111</v>
          </cell>
          <cell r="D1659" t="str">
            <v>LAURELES 1111</v>
          </cell>
          <cell r="E1659">
            <v>2028</v>
          </cell>
          <cell r="F1659" t="b">
            <v>0</v>
          </cell>
          <cell r="G1659">
            <v>14061.784669782901</v>
          </cell>
          <cell r="H1659">
            <v>14048.068642554301</v>
          </cell>
        </row>
        <row r="1660">
          <cell r="B1660" t="str">
            <v>LAURELES 1111432</v>
          </cell>
          <cell r="C1660">
            <v>182371111</v>
          </cell>
          <cell r="D1660" t="str">
            <v>LAURELES 1111</v>
          </cell>
          <cell r="E1660">
            <v>432</v>
          </cell>
          <cell r="F1660" t="b">
            <v>0</v>
          </cell>
          <cell r="G1660">
            <v>79373.0606867022</v>
          </cell>
          <cell r="H1660">
            <v>79373.0606867022</v>
          </cell>
        </row>
        <row r="1661">
          <cell r="B1661" t="str">
            <v>LAURELES 11116421</v>
          </cell>
          <cell r="C1661">
            <v>182371111</v>
          </cell>
          <cell r="D1661" t="str">
            <v>LAURELES 1111</v>
          </cell>
          <cell r="E1661">
            <v>6421</v>
          </cell>
          <cell r="F1661" t="b">
            <v>0</v>
          </cell>
          <cell r="G1661">
            <v>2777.3682492090002</v>
          </cell>
          <cell r="H1661">
            <v>2777.3682492090002</v>
          </cell>
        </row>
        <row r="1662">
          <cell r="B1662" t="str">
            <v>LAURELES 11116617</v>
          </cell>
          <cell r="C1662">
            <v>182371111</v>
          </cell>
          <cell r="D1662" t="str">
            <v>LAURELES 1111</v>
          </cell>
          <cell r="E1662">
            <v>6617</v>
          </cell>
          <cell r="F1662" t="b">
            <v>0</v>
          </cell>
          <cell r="G1662">
            <v>2923.6770447220301</v>
          </cell>
          <cell r="H1662">
            <v>2923.6770447220301</v>
          </cell>
        </row>
        <row r="1663">
          <cell r="B1663" t="str">
            <v>LAURELES 1111CB</v>
          </cell>
          <cell r="C1663">
            <v>182371111</v>
          </cell>
          <cell r="D1663" t="str">
            <v>LAURELES 1111</v>
          </cell>
          <cell r="E1663" t="str">
            <v>CB</v>
          </cell>
          <cell r="F1663" t="b">
            <v>0</v>
          </cell>
          <cell r="G1663">
            <v>13124.8359687374</v>
          </cell>
          <cell r="H1663">
            <v>11515.531213177799</v>
          </cell>
        </row>
        <row r="1664">
          <cell r="B1664" t="str">
            <v>LAURELES 11122142</v>
          </cell>
          <cell r="C1664">
            <v>182371112</v>
          </cell>
          <cell r="D1664" t="str">
            <v>LAURELES 1112</v>
          </cell>
          <cell r="E1664">
            <v>2142</v>
          </cell>
          <cell r="F1664" t="b">
            <v>1</v>
          </cell>
          <cell r="G1664">
            <v>2588.0177052362101</v>
          </cell>
          <cell r="H1664">
            <v>151.88505870047101</v>
          </cell>
        </row>
        <row r="1665">
          <cell r="B1665" t="str">
            <v>LAURELES 11122768</v>
          </cell>
          <cell r="C1665">
            <v>182371112</v>
          </cell>
          <cell r="D1665" t="str">
            <v>LAURELES 1112</v>
          </cell>
          <cell r="E1665">
            <v>2768</v>
          </cell>
          <cell r="F1665" t="b">
            <v>0</v>
          </cell>
          <cell r="G1665">
            <v>12969.969470898701</v>
          </cell>
          <cell r="H1665">
            <v>10109.724899969</v>
          </cell>
        </row>
        <row r="1666">
          <cell r="B1666" t="str">
            <v>LAURELES 1112438</v>
          </cell>
          <cell r="C1666">
            <v>182371112</v>
          </cell>
          <cell r="D1666" t="str">
            <v>LAURELES 1112</v>
          </cell>
          <cell r="E1666">
            <v>438</v>
          </cell>
          <cell r="F1666" t="b">
            <v>0</v>
          </cell>
          <cell r="G1666">
            <v>9219.1150509869894</v>
          </cell>
          <cell r="H1666">
            <v>8226.4087993545108</v>
          </cell>
        </row>
        <row r="1667">
          <cell r="B1667" t="str">
            <v>LAURELES 1112562376</v>
          </cell>
          <cell r="C1667">
            <v>182371112</v>
          </cell>
          <cell r="D1667" t="str">
            <v>LAURELES 1112</v>
          </cell>
          <cell r="E1667">
            <v>562376</v>
          </cell>
          <cell r="F1667" t="b">
            <v>0</v>
          </cell>
          <cell r="G1667">
            <v>12962.1788914392</v>
          </cell>
          <cell r="H1667">
            <v>12746.1038700441</v>
          </cell>
        </row>
        <row r="1668">
          <cell r="B1668" t="str">
            <v>LAURELES 111268454</v>
          </cell>
          <cell r="C1668">
            <v>182371112</v>
          </cell>
          <cell r="D1668" t="str">
            <v>LAURELES 1112</v>
          </cell>
          <cell r="E1668">
            <v>68454</v>
          </cell>
          <cell r="F1668" t="b">
            <v>0</v>
          </cell>
          <cell r="G1668">
            <v>17728.979831959001</v>
          </cell>
          <cell r="H1668">
            <v>13589.215804313701</v>
          </cell>
        </row>
        <row r="1669">
          <cell r="B1669" t="str">
            <v>LAURELES 1112CB</v>
          </cell>
          <cell r="C1669">
            <v>182371112</v>
          </cell>
          <cell r="D1669" t="str">
            <v>LAURELES 1112</v>
          </cell>
          <cell r="E1669" t="str">
            <v>CB</v>
          </cell>
          <cell r="F1669" t="b">
            <v>1</v>
          </cell>
          <cell r="G1669">
            <v>3818.0633908413602</v>
          </cell>
          <cell r="H1669">
            <v>493.18149787604398</v>
          </cell>
        </row>
        <row r="1670">
          <cell r="B1670" t="str">
            <v>LAYTONVILLE 11011760</v>
          </cell>
          <cell r="C1670">
            <v>42681101</v>
          </cell>
          <cell r="D1670" t="str">
            <v>LAYTONVILLE 1101</v>
          </cell>
          <cell r="E1670">
            <v>1760</v>
          </cell>
          <cell r="F1670" t="b">
            <v>0</v>
          </cell>
          <cell r="G1670">
            <v>20336.588271321802</v>
          </cell>
          <cell r="H1670">
            <v>15610.272049368399</v>
          </cell>
        </row>
        <row r="1671">
          <cell r="B1671" t="str">
            <v>LAYTONVILLE 1101402</v>
          </cell>
          <cell r="C1671">
            <v>42681101</v>
          </cell>
          <cell r="D1671" t="str">
            <v>LAYTONVILLE 1101</v>
          </cell>
          <cell r="E1671">
            <v>402</v>
          </cell>
          <cell r="F1671" t="b">
            <v>0</v>
          </cell>
          <cell r="G1671">
            <v>37926.292515010602</v>
          </cell>
          <cell r="H1671">
            <v>37584.613815686702</v>
          </cell>
        </row>
        <row r="1672">
          <cell r="B1672" t="str">
            <v>LAYTONVILLE 1101518</v>
          </cell>
          <cell r="C1672">
            <v>42681101</v>
          </cell>
          <cell r="D1672" t="str">
            <v>LAYTONVILLE 1101</v>
          </cell>
          <cell r="E1672">
            <v>518</v>
          </cell>
          <cell r="F1672" t="b">
            <v>0</v>
          </cell>
          <cell r="G1672">
            <v>36303.823811783201</v>
          </cell>
          <cell r="H1672">
            <v>4840.0159230157096</v>
          </cell>
        </row>
        <row r="1673">
          <cell r="B1673" t="str">
            <v>LAYTONVILLE 110189606</v>
          </cell>
          <cell r="C1673">
            <v>42681101</v>
          </cell>
          <cell r="D1673" t="str">
            <v>LAYTONVILLE 1101</v>
          </cell>
          <cell r="E1673">
            <v>89606</v>
          </cell>
          <cell r="F1673" t="b">
            <v>0</v>
          </cell>
          <cell r="G1673">
            <v>19260.546763338902</v>
          </cell>
          <cell r="H1673">
            <v>18716.194579631101</v>
          </cell>
        </row>
        <row r="1674">
          <cell r="B1674" t="str">
            <v>LAYTONVILLE 1101CB</v>
          </cell>
          <cell r="C1674">
            <v>42681101</v>
          </cell>
          <cell r="D1674" t="str">
            <v>LAYTONVILLE 1101</v>
          </cell>
          <cell r="E1674" t="str">
            <v>CB</v>
          </cell>
          <cell r="F1674" t="b">
            <v>0</v>
          </cell>
          <cell r="G1674">
            <v>14777.823993161501</v>
          </cell>
          <cell r="H1674">
            <v>9580.0030374171802</v>
          </cell>
        </row>
        <row r="1675">
          <cell r="B1675" t="str">
            <v>LAYTONVILLE 11022502</v>
          </cell>
          <cell r="C1675">
            <v>42681102</v>
          </cell>
          <cell r="D1675" t="str">
            <v>LAYTONVILLE 1102</v>
          </cell>
          <cell r="E1675">
            <v>2502</v>
          </cell>
          <cell r="F1675" t="b">
            <v>0</v>
          </cell>
          <cell r="G1675">
            <v>28650.078871180602</v>
          </cell>
          <cell r="H1675">
            <v>28650.078871180602</v>
          </cell>
        </row>
        <row r="1676">
          <cell r="B1676" t="str">
            <v>LAYTONVILLE 110237586</v>
          </cell>
          <cell r="C1676">
            <v>42681102</v>
          </cell>
          <cell r="D1676" t="str">
            <v>LAYTONVILLE 1102</v>
          </cell>
          <cell r="E1676">
            <v>37586</v>
          </cell>
          <cell r="F1676" t="b">
            <v>0</v>
          </cell>
          <cell r="G1676">
            <v>22457.027839403501</v>
          </cell>
          <cell r="H1676">
            <v>22457.027839403501</v>
          </cell>
        </row>
        <row r="1677">
          <cell r="B1677" t="str">
            <v>LAYTONVILLE 1102500</v>
          </cell>
          <cell r="C1677">
            <v>42681102</v>
          </cell>
          <cell r="D1677" t="str">
            <v>LAYTONVILLE 1102</v>
          </cell>
          <cell r="E1677">
            <v>500</v>
          </cell>
          <cell r="F1677" t="b">
            <v>0</v>
          </cell>
          <cell r="G1677">
            <v>47144.6891008811</v>
          </cell>
          <cell r="H1677">
            <v>34375.745208702901</v>
          </cell>
        </row>
        <row r="1678">
          <cell r="B1678" t="str">
            <v>LAYTONVILLE 1102572</v>
          </cell>
          <cell r="C1678">
            <v>42681102</v>
          </cell>
          <cell r="D1678" t="str">
            <v>LAYTONVILLE 1102</v>
          </cell>
          <cell r="E1678">
            <v>572</v>
          </cell>
          <cell r="F1678" t="b">
            <v>0</v>
          </cell>
          <cell r="G1678">
            <v>34429.322500643699</v>
          </cell>
          <cell r="H1678">
            <v>34429.322500643699</v>
          </cell>
        </row>
        <row r="1679">
          <cell r="B1679" t="str">
            <v>LAYTONVILLE 110264908</v>
          </cell>
          <cell r="C1679">
            <v>42681102</v>
          </cell>
          <cell r="D1679" t="str">
            <v>LAYTONVILLE 1102</v>
          </cell>
          <cell r="E1679">
            <v>64908</v>
          </cell>
          <cell r="F1679" t="b">
            <v>0</v>
          </cell>
          <cell r="G1679">
            <v>10254.770742745901</v>
          </cell>
          <cell r="H1679">
            <v>6238.0238676953204</v>
          </cell>
        </row>
        <row r="1680">
          <cell r="B1680" t="str">
            <v>LAYTONVILLE 1102682</v>
          </cell>
          <cell r="C1680">
            <v>42681102</v>
          </cell>
          <cell r="D1680" t="str">
            <v>LAYTONVILLE 1102</v>
          </cell>
          <cell r="E1680">
            <v>682</v>
          </cell>
          <cell r="F1680" t="b">
            <v>0</v>
          </cell>
          <cell r="G1680">
            <v>23844.534928167701</v>
          </cell>
          <cell r="H1680">
            <v>23844.534928167701</v>
          </cell>
        </row>
        <row r="1681">
          <cell r="B1681" t="str">
            <v>LAYTONVILLE 110268436</v>
          </cell>
          <cell r="C1681">
            <v>42681102</v>
          </cell>
          <cell r="D1681" t="str">
            <v>LAYTONVILLE 1102</v>
          </cell>
          <cell r="E1681">
            <v>68436</v>
          </cell>
          <cell r="F1681" t="b">
            <v>0</v>
          </cell>
          <cell r="G1681">
            <v>14664.971455123101</v>
          </cell>
          <cell r="H1681">
            <v>14664.971455123101</v>
          </cell>
        </row>
        <row r="1682">
          <cell r="B1682" t="str">
            <v>LAYTONVILLE 1102CB</v>
          </cell>
          <cell r="C1682">
            <v>42681102</v>
          </cell>
          <cell r="D1682" t="str">
            <v>LAYTONVILLE 1102</v>
          </cell>
          <cell r="E1682" t="str">
            <v>CB</v>
          </cell>
          <cell r="F1682" t="b">
            <v>0</v>
          </cell>
          <cell r="G1682">
            <v>20899.9329227341</v>
          </cell>
          <cell r="H1682">
            <v>19267.370200695299</v>
          </cell>
        </row>
        <row r="1683">
          <cell r="B1683" t="str">
            <v>LINCOLN 1101186060</v>
          </cell>
          <cell r="C1683">
            <v>153701101</v>
          </cell>
          <cell r="D1683" t="str">
            <v>LINCOLN 1101</v>
          </cell>
          <cell r="E1683">
            <v>186060</v>
          </cell>
          <cell r="F1683" t="b">
            <v>0</v>
          </cell>
          <cell r="G1683">
            <v>24068.764991272099</v>
          </cell>
          <cell r="H1683">
            <v>17542.596341812699</v>
          </cell>
        </row>
        <row r="1684">
          <cell r="B1684" t="str">
            <v>LINCOLN 11012310</v>
          </cell>
          <cell r="C1684">
            <v>153701101</v>
          </cell>
          <cell r="D1684" t="str">
            <v>LINCOLN 1101</v>
          </cell>
          <cell r="E1684">
            <v>2310</v>
          </cell>
          <cell r="F1684" t="b">
            <v>0</v>
          </cell>
          <cell r="G1684">
            <v>4180.4549808744696</v>
          </cell>
          <cell r="H1684">
            <v>1304.6994282321</v>
          </cell>
        </row>
        <row r="1685">
          <cell r="B1685" t="str">
            <v>LINCOLN 110195756</v>
          </cell>
          <cell r="C1685">
            <v>153701101</v>
          </cell>
          <cell r="D1685" t="str">
            <v>LINCOLN 1101</v>
          </cell>
          <cell r="E1685">
            <v>95756</v>
          </cell>
          <cell r="F1685" t="b">
            <v>0</v>
          </cell>
          <cell r="G1685">
            <v>29109.909251421199</v>
          </cell>
          <cell r="H1685">
            <v>11950.380426363299</v>
          </cell>
        </row>
        <row r="1686">
          <cell r="B1686" t="str">
            <v>LINCOLN 11042070</v>
          </cell>
          <cell r="C1686">
            <v>153701104</v>
          </cell>
          <cell r="D1686" t="str">
            <v>LINCOLN 1104</v>
          </cell>
          <cell r="E1686">
            <v>2070</v>
          </cell>
          <cell r="F1686" t="b">
            <v>0</v>
          </cell>
          <cell r="G1686">
            <v>46879.118776845302</v>
          </cell>
          <cell r="H1686">
            <v>28951.643338817499</v>
          </cell>
        </row>
        <row r="1687">
          <cell r="B1687" t="str">
            <v>LINCOLN 11042072</v>
          </cell>
          <cell r="C1687">
            <v>153701104</v>
          </cell>
          <cell r="D1687" t="str">
            <v>LINCOLN 1104</v>
          </cell>
          <cell r="E1687">
            <v>2072</v>
          </cell>
          <cell r="F1687" t="b">
            <v>1</v>
          </cell>
          <cell r="G1687">
            <v>27455.566449314501</v>
          </cell>
          <cell r="H1687">
            <v>501.46682916237199</v>
          </cell>
        </row>
        <row r="1688">
          <cell r="B1688" t="str">
            <v>LINCOLN 1104275986</v>
          </cell>
          <cell r="C1688">
            <v>153701104</v>
          </cell>
          <cell r="D1688" t="str">
            <v>LINCOLN 1104</v>
          </cell>
          <cell r="E1688">
            <v>275986</v>
          </cell>
          <cell r="F1688" t="b">
            <v>1</v>
          </cell>
          <cell r="G1688">
            <v>934.58830882025995</v>
          </cell>
          <cell r="H1688">
            <v>934.58830882025995</v>
          </cell>
        </row>
        <row r="1689">
          <cell r="B1689" t="str">
            <v>LINCOLN 110451756</v>
          </cell>
          <cell r="C1689">
            <v>153701104</v>
          </cell>
          <cell r="D1689" t="str">
            <v>LINCOLN 1104</v>
          </cell>
          <cell r="E1689">
            <v>51756</v>
          </cell>
          <cell r="F1689" t="b">
            <v>0</v>
          </cell>
          <cell r="G1689">
            <v>56082.310214264799</v>
          </cell>
          <cell r="H1689">
            <v>17440.805784742501</v>
          </cell>
        </row>
        <row r="1690">
          <cell r="B1690" t="str">
            <v>LINCOLN 11045391</v>
          </cell>
          <cell r="C1690">
            <v>153701104</v>
          </cell>
          <cell r="D1690" t="str">
            <v>LINCOLN 1104</v>
          </cell>
          <cell r="E1690">
            <v>5391</v>
          </cell>
          <cell r="F1690" t="b">
            <v>0</v>
          </cell>
          <cell r="G1690">
            <v>1530.18286107107</v>
          </cell>
          <cell r="H1690">
            <v>1530.18286107107</v>
          </cell>
        </row>
        <row r="1691">
          <cell r="B1691" t="str">
            <v>LINCOLN 1104685276</v>
          </cell>
          <cell r="C1691">
            <v>153701104</v>
          </cell>
          <cell r="D1691" t="str">
            <v>LINCOLN 1104</v>
          </cell>
          <cell r="E1691">
            <v>685276</v>
          </cell>
          <cell r="F1691" t="b">
            <v>0</v>
          </cell>
          <cell r="G1691">
            <v>34821.965579108299</v>
          </cell>
          <cell r="H1691">
            <v>10432.386883092</v>
          </cell>
        </row>
        <row r="1692">
          <cell r="B1692" t="str">
            <v>LLAGAS 21011451</v>
          </cell>
          <cell r="C1692">
            <v>83182101</v>
          </cell>
          <cell r="D1692" t="str">
            <v>LLAGAS 2101</v>
          </cell>
          <cell r="E1692">
            <v>1451</v>
          </cell>
          <cell r="F1692" t="b">
            <v>0</v>
          </cell>
          <cell r="G1692">
            <v>14799.055146381799</v>
          </cell>
          <cell r="H1692">
            <v>9963.2756971690596</v>
          </cell>
        </row>
        <row r="1693">
          <cell r="B1693" t="str">
            <v>LLAGAS 21014523</v>
          </cell>
          <cell r="C1693">
            <v>83182101</v>
          </cell>
          <cell r="D1693" t="str">
            <v>LLAGAS 2101</v>
          </cell>
          <cell r="E1693">
            <v>4523</v>
          </cell>
          <cell r="F1693" t="b">
            <v>0</v>
          </cell>
          <cell r="G1693">
            <v>4420.7891694413001</v>
          </cell>
          <cell r="H1693">
            <v>1471.05880339907</v>
          </cell>
        </row>
        <row r="1694">
          <cell r="B1694" t="str">
            <v>LLAGAS 2101587857</v>
          </cell>
          <cell r="C1694">
            <v>83182101</v>
          </cell>
          <cell r="D1694" t="str">
            <v>LLAGAS 2101</v>
          </cell>
          <cell r="E1694">
            <v>587857</v>
          </cell>
          <cell r="F1694" t="b">
            <v>1</v>
          </cell>
          <cell r="G1694">
            <v>3120.9827944369699</v>
          </cell>
          <cell r="H1694">
            <v>171.86214639867799</v>
          </cell>
        </row>
        <row r="1695">
          <cell r="B1695" t="str">
            <v>LLAGAS 2101783467</v>
          </cell>
          <cell r="C1695">
            <v>83182101</v>
          </cell>
          <cell r="D1695" t="str">
            <v>LLAGAS 2101</v>
          </cell>
          <cell r="E1695">
            <v>783467</v>
          </cell>
          <cell r="F1695" t="b">
            <v>0</v>
          </cell>
          <cell r="G1695">
            <v>16521.495708397299</v>
          </cell>
          <cell r="H1695">
            <v>16448.609645800901</v>
          </cell>
        </row>
        <row r="1696">
          <cell r="B1696" t="str">
            <v>LLAGAS 2101984552</v>
          </cell>
          <cell r="C1696">
            <v>83182101</v>
          </cell>
          <cell r="D1696" t="str">
            <v>LLAGAS 2101</v>
          </cell>
          <cell r="E1696">
            <v>984552</v>
          </cell>
          <cell r="F1696" t="b">
            <v>0</v>
          </cell>
          <cell r="G1696">
            <v>9221.3481045059198</v>
          </cell>
          <cell r="H1696">
            <v>7304.6851583977004</v>
          </cell>
        </row>
        <row r="1697">
          <cell r="B1697" t="str">
            <v>LLAGAS 2101XR244</v>
          </cell>
          <cell r="C1697">
            <v>83182101</v>
          </cell>
          <cell r="D1697" t="str">
            <v>LLAGAS 2101</v>
          </cell>
          <cell r="E1697" t="str">
            <v>XR244</v>
          </cell>
          <cell r="F1697" t="b">
            <v>1</v>
          </cell>
          <cell r="G1697">
            <v>22757.8316677119</v>
          </cell>
          <cell r="H1697">
            <v>0</v>
          </cell>
        </row>
        <row r="1698">
          <cell r="B1698" t="str">
            <v>LLAGAS 2101XR264</v>
          </cell>
          <cell r="C1698">
            <v>83182101</v>
          </cell>
          <cell r="D1698" t="str">
            <v>LLAGAS 2101</v>
          </cell>
          <cell r="E1698" t="str">
            <v>XR264</v>
          </cell>
          <cell r="F1698" t="b">
            <v>1</v>
          </cell>
          <cell r="G1698">
            <v>33068.069386928997</v>
          </cell>
          <cell r="H1698">
            <v>0</v>
          </cell>
        </row>
        <row r="1699">
          <cell r="B1699" t="str">
            <v>LLAGAS 2104603392</v>
          </cell>
          <cell r="C1699">
            <v>83182104</v>
          </cell>
          <cell r="D1699" t="str">
            <v>LLAGAS 2104</v>
          </cell>
          <cell r="E1699">
            <v>603392</v>
          </cell>
          <cell r="F1699" t="b">
            <v>0</v>
          </cell>
          <cell r="G1699">
            <v>5227.4341376508</v>
          </cell>
          <cell r="H1699">
            <v>4685.9835245416098</v>
          </cell>
        </row>
        <row r="1700">
          <cell r="B1700" t="str">
            <v>LLAGAS 2105154256</v>
          </cell>
          <cell r="C1700">
            <v>83182105</v>
          </cell>
          <cell r="D1700" t="str">
            <v>LLAGAS 2105</v>
          </cell>
          <cell r="E1700">
            <v>154256</v>
          </cell>
          <cell r="F1700" t="b">
            <v>1</v>
          </cell>
          <cell r="G1700">
            <v>446.52284890189202</v>
          </cell>
          <cell r="H1700">
            <v>430.60881949166702</v>
          </cell>
        </row>
        <row r="1701">
          <cell r="B1701" t="str">
            <v>LLAGAS 2105534019</v>
          </cell>
          <cell r="C1701">
            <v>83182105</v>
          </cell>
          <cell r="D1701" t="str">
            <v>LLAGAS 2105</v>
          </cell>
          <cell r="E1701">
            <v>534019</v>
          </cell>
          <cell r="F1701" t="b">
            <v>0</v>
          </cell>
          <cell r="G1701">
            <v>1193.5001127508001</v>
          </cell>
          <cell r="H1701">
            <v>1147.9573166791499</v>
          </cell>
        </row>
        <row r="1702">
          <cell r="B1702" t="str">
            <v>LLAGAS 2105XR234</v>
          </cell>
          <cell r="C1702">
            <v>83182105</v>
          </cell>
          <cell r="D1702" t="str">
            <v>LLAGAS 2105</v>
          </cell>
          <cell r="E1702" t="str">
            <v>XR234</v>
          </cell>
          <cell r="F1702" t="b">
            <v>1</v>
          </cell>
          <cell r="G1702">
            <v>1908.9722459588299</v>
          </cell>
          <cell r="H1702">
            <v>4.1246457618599699</v>
          </cell>
        </row>
        <row r="1703">
          <cell r="B1703" t="str">
            <v>LLAGAS 2106338878</v>
          </cell>
          <cell r="C1703">
            <v>83182106</v>
          </cell>
          <cell r="D1703" t="str">
            <v>LLAGAS 2106</v>
          </cell>
          <cell r="E1703">
            <v>338878</v>
          </cell>
          <cell r="F1703" t="b">
            <v>0</v>
          </cell>
          <cell r="G1703">
            <v>7522.30541246947</v>
          </cell>
          <cell r="H1703">
            <v>3300.0011738181902</v>
          </cell>
        </row>
        <row r="1704">
          <cell r="B1704" t="str">
            <v>LLAGAS 2107250129</v>
          </cell>
          <cell r="C1704">
            <v>83182107</v>
          </cell>
          <cell r="D1704" t="str">
            <v>LLAGAS 2107</v>
          </cell>
          <cell r="E1704">
            <v>250129</v>
          </cell>
          <cell r="F1704" t="b">
            <v>1</v>
          </cell>
          <cell r="G1704">
            <v>467.99890860086401</v>
          </cell>
          <cell r="H1704">
            <v>401.67280756749602</v>
          </cell>
        </row>
        <row r="1705">
          <cell r="B1705" t="str">
            <v>LLAGAS 2107870396</v>
          </cell>
          <cell r="C1705">
            <v>83182107</v>
          </cell>
          <cell r="D1705" t="str">
            <v>LLAGAS 2107</v>
          </cell>
          <cell r="E1705">
            <v>870396</v>
          </cell>
          <cell r="F1705" t="b">
            <v>0</v>
          </cell>
          <cell r="G1705">
            <v>4752.0973164587003</v>
          </cell>
          <cell r="H1705">
            <v>1326.4883659424099</v>
          </cell>
        </row>
        <row r="1706">
          <cell r="B1706" t="str">
            <v>LLAGAS 2107XR178</v>
          </cell>
          <cell r="C1706">
            <v>83182107</v>
          </cell>
          <cell r="D1706" t="str">
            <v>LLAGAS 2107</v>
          </cell>
          <cell r="E1706" t="str">
            <v>XR178</v>
          </cell>
          <cell r="F1706" t="b">
            <v>0</v>
          </cell>
          <cell r="G1706">
            <v>20866.192793775699</v>
          </cell>
          <cell r="H1706">
            <v>9493.9491348677693</v>
          </cell>
        </row>
        <row r="1707">
          <cell r="B1707" t="str">
            <v>LLAGAS 2107XR188</v>
          </cell>
          <cell r="C1707">
            <v>83182107</v>
          </cell>
          <cell r="D1707" t="str">
            <v>LLAGAS 2107</v>
          </cell>
          <cell r="E1707" t="str">
            <v>XR188</v>
          </cell>
          <cell r="F1707" t="b">
            <v>1</v>
          </cell>
          <cell r="G1707">
            <v>5000.7033946846404</v>
          </cell>
          <cell r="H1707">
            <v>608.15104624218202</v>
          </cell>
        </row>
        <row r="1708">
          <cell r="B1708" t="str">
            <v>LOGAN CREEK 2102795010</v>
          </cell>
          <cell r="C1708">
            <v>103142102</v>
          </cell>
          <cell r="D1708" t="str">
            <v>LOGAN CREEK 2102</v>
          </cell>
          <cell r="E1708">
            <v>795010</v>
          </cell>
          <cell r="F1708" t="b">
            <v>0</v>
          </cell>
          <cell r="G1708">
            <v>6022.8067772392897</v>
          </cell>
          <cell r="H1708">
            <v>5964.9275849780097</v>
          </cell>
        </row>
        <row r="1709">
          <cell r="B1709" t="str">
            <v>LONE TREE 210521210</v>
          </cell>
          <cell r="C1709">
            <v>13232105</v>
          </cell>
          <cell r="D1709" t="str">
            <v>LONE TREE 2105</v>
          </cell>
          <cell r="E1709">
            <v>21210</v>
          </cell>
          <cell r="F1709" t="b">
            <v>0</v>
          </cell>
          <cell r="G1709">
            <v>26056.9930876832</v>
          </cell>
          <cell r="H1709">
            <v>20686.237698961901</v>
          </cell>
        </row>
        <row r="1710">
          <cell r="B1710" t="str">
            <v>LOS COCHES 1101625902</v>
          </cell>
          <cell r="C1710">
            <v>182151101</v>
          </cell>
          <cell r="D1710" t="str">
            <v>LOS COCHES 1101</v>
          </cell>
          <cell r="E1710">
            <v>625902</v>
          </cell>
          <cell r="F1710" t="b">
            <v>0</v>
          </cell>
          <cell r="G1710">
            <v>9066.5476554102206</v>
          </cell>
          <cell r="H1710">
            <v>4214.4265944650397</v>
          </cell>
        </row>
        <row r="1711">
          <cell r="B1711" t="str">
            <v>LOS GATOS 1101184035</v>
          </cell>
          <cell r="C1711">
            <v>82021101</v>
          </cell>
          <cell r="D1711" t="str">
            <v>LOS GATOS 1101</v>
          </cell>
          <cell r="E1711">
            <v>184035</v>
          </cell>
          <cell r="F1711" t="b">
            <v>1</v>
          </cell>
          <cell r="G1711">
            <v>995.77745856671299</v>
          </cell>
          <cell r="H1711">
            <v>905.93599115277095</v>
          </cell>
        </row>
        <row r="1712">
          <cell r="B1712" t="str">
            <v>LOS GATOS 1101206248</v>
          </cell>
          <cell r="C1712">
            <v>82021101</v>
          </cell>
          <cell r="D1712" t="str">
            <v>LOS GATOS 1101</v>
          </cell>
          <cell r="E1712">
            <v>206248</v>
          </cell>
          <cell r="F1712" t="b">
            <v>1</v>
          </cell>
          <cell r="G1712">
            <v>893.30869956243805</v>
          </cell>
          <cell r="H1712">
            <v>83.003927623963506</v>
          </cell>
        </row>
        <row r="1713">
          <cell r="B1713" t="str">
            <v>LOS GATOS 1101502026</v>
          </cell>
          <cell r="C1713">
            <v>82021101</v>
          </cell>
          <cell r="D1713" t="str">
            <v>LOS GATOS 1101</v>
          </cell>
          <cell r="E1713">
            <v>502026</v>
          </cell>
          <cell r="F1713" t="b">
            <v>1</v>
          </cell>
          <cell r="G1713">
            <v>1729.63854636721</v>
          </cell>
          <cell r="H1713">
            <v>180.53929069447</v>
          </cell>
        </row>
        <row r="1714">
          <cell r="B1714" t="str">
            <v>LOS GATOS 110160052</v>
          </cell>
          <cell r="C1714">
            <v>82021101</v>
          </cell>
          <cell r="D1714" t="str">
            <v>LOS GATOS 1101</v>
          </cell>
          <cell r="E1714">
            <v>60052</v>
          </cell>
          <cell r="F1714" t="b">
            <v>0</v>
          </cell>
          <cell r="G1714">
            <v>3169.0096736321698</v>
          </cell>
          <cell r="H1714">
            <v>3169.0096736321698</v>
          </cell>
        </row>
        <row r="1715">
          <cell r="B1715" t="str">
            <v>LOS GATOS 110160136</v>
          </cell>
          <cell r="C1715">
            <v>82021101</v>
          </cell>
          <cell r="D1715" t="str">
            <v>LOS GATOS 1101</v>
          </cell>
          <cell r="E1715">
            <v>60136</v>
          </cell>
          <cell r="F1715" t="b">
            <v>1</v>
          </cell>
          <cell r="G1715">
            <v>6522.6172317498203</v>
          </cell>
          <cell r="H1715">
            <v>0</v>
          </cell>
        </row>
        <row r="1716">
          <cell r="B1716" t="str">
            <v>LOS GATOS 1101950286</v>
          </cell>
          <cell r="C1716">
            <v>82021101</v>
          </cell>
          <cell r="D1716" t="str">
            <v>LOS GATOS 1101</v>
          </cell>
          <cell r="E1716">
            <v>950286</v>
          </cell>
          <cell r="F1716" t="b">
            <v>0</v>
          </cell>
          <cell r="G1716">
            <v>1710.79952677048</v>
          </cell>
          <cell r="H1716">
            <v>1710.79952677048</v>
          </cell>
        </row>
        <row r="1717">
          <cell r="B1717" t="str">
            <v>LOS GATOS 1101CB</v>
          </cell>
          <cell r="C1717">
            <v>82021101</v>
          </cell>
          <cell r="D1717" t="str">
            <v>LOS GATOS 1101</v>
          </cell>
          <cell r="E1717" t="str">
            <v>CB</v>
          </cell>
          <cell r="F1717" t="b">
            <v>1</v>
          </cell>
          <cell r="G1717">
            <v>3679.7789869892499</v>
          </cell>
          <cell r="H1717">
            <v>47.652367837477797</v>
          </cell>
        </row>
        <row r="1718">
          <cell r="B1718" t="str">
            <v>LOS GATOS 1101LB40</v>
          </cell>
          <cell r="C1718">
            <v>82021101</v>
          </cell>
          <cell r="D1718" t="str">
            <v>LOS GATOS 1101</v>
          </cell>
          <cell r="E1718" t="str">
            <v>LB40</v>
          </cell>
          <cell r="F1718" t="b">
            <v>0</v>
          </cell>
          <cell r="G1718">
            <v>14924.9201274646</v>
          </cell>
          <cell r="H1718">
            <v>13714.1211562793</v>
          </cell>
        </row>
        <row r="1719">
          <cell r="B1719" t="str">
            <v>LOS GATOS 1102526868</v>
          </cell>
          <cell r="C1719">
            <v>82021102</v>
          </cell>
          <cell r="D1719" t="str">
            <v>LOS GATOS 1102</v>
          </cell>
          <cell r="E1719">
            <v>526868</v>
          </cell>
          <cell r="F1719" t="b">
            <v>0</v>
          </cell>
          <cell r="G1719">
            <v>2061.1443452540102</v>
          </cell>
          <cell r="H1719">
            <v>1780.51654809703</v>
          </cell>
        </row>
        <row r="1720">
          <cell r="B1720" t="str">
            <v>LOS GATOS 1102CB</v>
          </cell>
          <cell r="C1720">
            <v>82021102</v>
          </cell>
          <cell r="D1720" t="str">
            <v>LOS GATOS 1102</v>
          </cell>
          <cell r="E1720" t="str">
            <v>CB</v>
          </cell>
          <cell r="F1720" t="b">
            <v>1</v>
          </cell>
          <cell r="G1720">
            <v>7506.1649675971303</v>
          </cell>
          <cell r="H1720">
            <v>0</v>
          </cell>
        </row>
        <row r="1721">
          <cell r="B1721" t="str">
            <v>LOS GATOS 110660116</v>
          </cell>
          <cell r="C1721">
            <v>82021106</v>
          </cell>
          <cell r="D1721" t="str">
            <v>LOS GATOS 1106</v>
          </cell>
          <cell r="E1721">
            <v>60116</v>
          </cell>
          <cell r="F1721" t="b">
            <v>0</v>
          </cell>
          <cell r="G1721">
            <v>19634.1928033105</v>
          </cell>
          <cell r="H1721">
            <v>19634.1928033105</v>
          </cell>
        </row>
        <row r="1722">
          <cell r="B1722" t="str">
            <v>LOS GATOS 1106697500</v>
          </cell>
          <cell r="C1722">
            <v>82021106</v>
          </cell>
          <cell r="D1722" t="str">
            <v>LOS GATOS 1106</v>
          </cell>
          <cell r="E1722">
            <v>697500</v>
          </cell>
          <cell r="F1722" t="b">
            <v>0</v>
          </cell>
          <cell r="G1722">
            <v>10836.647378920599</v>
          </cell>
          <cell r="H1722">
            <v>10836.647378920599</v>
          </cell>
        </row>
        <row r="1723">
          <cell r="B1723" t="str">
            <v>LOS GATOS 1106CB</v>
          </cell>
          <cell r="C1723">
            <v>82021106</v>
          </cell>
          <cell r="D1723" t="str">
            <v>LOS GATOS 1106</v>
          </cell>
          <cell r="E1723" t="str">
            <v>CB</v>
          </cell>
          <cell r="F1723" t="b">
            <v>1</v>
          </cell>
          <cell r="G1723">
            <v>1170.6002670308901</v>
          </cell>
          <cell r="H1723">
            <v>164.25231019796701</v>
          </cell>
        </row>
        <row r="1724">
          <cell r="B1724" t="str">
            <v>LOS GATOS 1106LA42</v>
          </cell>
          <cell r="C1724">
            <v>82021106</v>
          </cell>
          <cell r="D1724" t="str">
            <v>LOS GATOS 1106</v>
          </cell>
          <cell r="E1724" t="str">
            <v>LA42</v>
          </cell>
          <cell r="F1724" t="b">
            <v>0</v>
          </cell>
          <cell r="G1724">
            <v>4459.4554471551601</v>
          </cell>
          <cell r="H1724">
            <v>4459.4554471551601</v>
          </cell>
        </row>
        <row r="1725">
          <cell r="B1725" t="str">
            <v>LOS GATOS 1106LA46</v>
          </cell>
          <cell r="C1725">
            <v>82021106</v>
          </cell>
          <cell r="D1725" t="str">
            <v>LOS GATOS 1106</v>
          </cell>
          <cell r="E1725" t="str">
            <v>LA46</v>
          </cell>
          <cell r="F1725" t="b">
            <v>0</v>
          </cell>
          <cell r="G1725">
            <v>2411.7924563820002</v>
          </cell>
          <cell r="H1725">
            <v>2411.7924563820002</v>
          </cell>
        </row>
        <row r="1726">
          <cell r="B1726" t="str">
            <v>LOS GATOS 1106LA64</v>
          </cell>
          <cell r="C1726">
            <v>82021106</v>
          </cell>
          <cell r="D1726" t="str">
            <v>LOS GATOS 1106</v>
          </cell>
          <cell r="E1726" t="str">
            <v>LA64</v>
          </cell>
          <cell r="F1726" t="b">
            <v>0</v>
          </cell>
          <cell r="G1726">
            <v>20425.5787664583</v>
          </cell>
          <cell r="H1726">
            <v>20425.5787664583</v>
          </cell>
        </row>
        <row r="1727">
          <cell r="B1727" t="str">
            <v>LOS GATOS 1106LB44</v>
          </cell>
          <cell r="C1727">
            <v>82021106</v>
          </cell>
          <cell r="D1727" t="str">
            <v>LOS GATOS 1106</v>
          </cell>
          <cell r="E1727" t="str">
            <v>LB44</v>
          </cell>
          <cell r="F1727" t="b">
            <v>0</v>
          </cell>
          <cell r="G1727">
            <v>31139.872612353702</v>
          </cell>
          <cell r="H1727">
            <v>31139.872612353702</v>
          </cell>
        </row>
        <row r="1728">
          <cell r="B1728" t="str">
            <v>LOS GATOS 1106LB48</v>
          </cell>
          <cell r="C1728">
            <v>82021106</v>
          </cell>
          <cell r="D1728" t="str">
            <v>LOS GATOS 1106</v>
          </cell>
          <cell r="E1728" t="str">
            <v>LB48</v>
          </cell>
          <cell r="F1728" t="b">
            <v>0</v>
          </cell>
          <cell r="G1728">
            <v>23668.374035717501</v>
          </cell>
          <cell r="H1728">
            <v>23668.374035717501</v>
          </cell>
        </row>
        <row r="1729">
          <cell r="B1729" t="str">
            <v>LOS GATOS 110712041</v>
          </cell>
          <cell r="C1729">
            <v>82021107</v>
          </cell>
          <cell r="D1729" t="str">
            <v>LOS GATOS 1107</v>
          </cell>
          <cell r="E1729">
            <v>12041</v>
          </cell>
          <cell r="F1729" t="b">
            <v>0</v>
          </cell>
          <cell r="G1729">
            <v>10143.785134662299</v>
          </cell>
          <cell r="H1729">
            <v>10143.785134662299</v>
          </cell>
        </row>
        <row r="1730">
          <cell r="B1730" t="str">
            <v>LOS GATOS 110760024</v>
          </cell>
          <cell r="C1730">
            <v>82021107</v>
          </cell>
          <cell r="D1730" t="str">
            <v>LOS GATOS 1107</v>
          </cell>
          <cell r="E1730">
            <v>60024</v>
          </cell>
          <cell r="F1730" t="b">
            <v>0</v>
          </cell>
          <cell r="G1730">
            <v>6398.0406892177698</v>
          </cell>
          <cell r="H1730">
            <v>6398.0406892177698</v>
          </cell>
        </row>
        <row r="1731">
          <cell r="B1731" t="str">
            <v>LOS GATOS 110760092</v>
          </cell>
          <cell r="C1731">
            <v>82021107</v>
          </cell>
          <cell r="D1731" t="str">
            <v>LOS GATOS 1107</v>
          </cell>
          <cell r="E1731">
            <v>60092</v>
          </cell>
          <cell r="F1731" t="b">
            <v>0</v>
          </cell>
          <cell r="G1731">
            <v>15629.1335963806</v>
          </cell>
          <cell r="H1731">
            <v>15629.1335963806</v>
          </cell>
        </row>
        <row r="1732">
          <cell r="B1732" t="str">
            <v>LOS GATOS 110760114</v>
          </cell>
          <cell r="C1732">
            <v>82021107</v>
          </cell>
          <cell r="D1732" t="str">
            <v>LOS GATOS 1107</v>
          </cell>
          <cell r="E1732">
            <v>60114</v>
          </cell>
          <cell r="F1732" t="b">
            <v>0</v>
          </cell>
          <cell r="G1732">
            <v>39130.988185018898</v>
          </cell>
          <cell r="H1732">
            <v>39130.988185018898</v>
          </cell>
        </row>
        <row r="1733">
          <cell r="B1733" t="str">
            <v>LOS GATOS 110760118</v>
          </cell>
          <cell r="C1733">
            <v>82021107</v>
          </cell>
          <cell r="D1733" t="str">
            <v>LOS GATOS 1107</v>
          </cell>
          <cell r="E1733">
            <v>60118</v>
          </cell>
          <cell r="F1733" t="b">
            <v>0</v>
          </cell>
          <cell r="G1733">
            <v>44902.947814163999</v>
          </cell>
          <cell r="H1733">
            <v>44902.947814163999</v>
          </cell>
        </row>
        <row r="1734">
          <cell r="B1734" t="str">
            <v>LOS GATOS 1107CB</v>
          </cell>
          <cell r="C1734">
            <v>82021107</v>
          </cell>
          <cell r="D1734" t="str">
            <v>LOS GATOS 1107</v>
          </cell>
          <cell r="E1734" t="str">
            <v>CB</v>
          </cell>
          <cell r="F1734" t="b">
            <v>0</v>
          </cell>
          <cell r="G1734">
            <v>25409.854618428701</v>
          </cell>
          <cell r="H1734">
            <v>24616.647628737501</v>
          </cell>
        </row>
        <row r="1735">
          <cell r="B1735" t="str">
            <v>LOS GATOS 1107LA60</v>
          </cell>
          <cell r="C1735">
            <v>82021107</v>
          </cell>
          <cell r="D1735" t="str">
            <v>LOS GATOS 1107</v>
          </cell>
          <cell r="E1735" t="str">
            <v>LA60</v>
          </cell>
          <cell r="F1735" t="b">
            <v>0</v>
          </cell>
          <cell r="G1735">
            <v>13957.172886832101</v>
          </cell>
          <cell r="H1735">
            <v>13957.172886832101</v>
          </cell>
        </row>
        <row r="1736">
          <cell r="B1736" t="str">
            <v>LOS GATOS 1108CB</v>
          </cell>
          <cell r="C1736">
            <v>82021108</v>
          </cell>
          <cell r="D1736" t="str">
            <v>LOS GATOS 1108</v>
          </cell>
          <cell r="E1736" t="str">
            <v>CB</v>
          </cell>
          <cell r="F1736" t="b">
            <v>1</v>
          </cell>
          <cell r="G1736">
            <v>1166.66572373025</v>
          </cell>
          <cell r="H1736">
            <v>0</v>
          </cell>
        </row>
        <row r="1737">
          <cell r="B1737" t="str">
            <v>LOS GATOS 1108LB86</v>
          </cell>
          <cell r="C1737">
            <v>82021108</v>
          </cell>
          <cell r="D1737" t="str">
            <v>LOS GATOS 1108</v>
          </cell>
          <cell r="E1737" t="str">
            <v>LB86</v>
          </cell>
          <cell r="F1737" t="b">
            <v>0</v>
          </cell>
          <cell r="G1737">
            <v>8620.4874954571696</v>
          </cell>
          <cell r="H1737">
            <v>7270.7679308898796</v>
          </cell>
        </row>
        <row r="1738">
          <cell r="B1738" t="str">
            <v>LOS MOLINOS 1101297862</v>
          </cell>
          <cell r="C1738">
            <v>103481101</v>
          </cell>
          <cell r="D1738" t="str">
            <v>LOS MOLINOS 1101</v>
          </cell>
          <cell r="E1738">
            <v>297862</v>
          </cell>
          <cell r="F1738" t="b">
            <v>1</v>
          </cell>
          <cell r="G1738">
            <v>519.22624481549099</v>
          </cell>
          <cell r="H1738">
            <v>503.22416135925999</v>
          </cell>
        </row>
        <row r="1739">
          <cell r="B1739" t="str">
            <v>LOS OSITOS 2102148504</v>
          </cell>
          <cell r="C1739">
            <v>182082102</v>
          </cell>
          <cell r="D1739" t="str">
            <v>LOS OSITOS 2102</v>
          </cell>
          <cell r="E1739">
            <v>148504</v>
          </cell>
          <cell r="F1739" t="b">
            <v>1</v>
          </cell>
          <cell r="G1739">
            <v>3218.0268218968799</v>
          </cell>
          <cell r="H1739">
            <v>275.76023140656298</v>
          </cell>
        </row>
        <row r="1740">
          <cell r="B1740" t="str">
            <v>LOS OSITOS 2102258878</v>
          </cell>
          <cell r="C1740">
            <v>182082102</v>
          </cell>
          <cell r="D1740" t="str">
            <v>LOS OSITOS 2102</v>
          </cell>
          <cell r="E1740">
            <v>258878</v>
          </cell>
          <cell r="F1740" t="b">
            <v>0</v>
          </cell>
          <cell r="G1740">
            <v>7396.92929578434</v>
          </cell>
          <cell r="H1740">
            <v>5357.1762545209604</v>
          </cell>
        </row>
        <row r="1741">
          <cell r="B1741" t="str">
            <v>LOS OSITOS 2102624200</v>
          </cell>
          <cell r="C1741">
            <v>182082102</v>
          </cell>
          <cell r="D1741" t="str">
            <v>LOS OSITOS 2102</v>
          </cell>
          <cell r="E1741">
            <v>624200</v>
          </cell>
          <cell r="F1741" t="b">
            <v>0</v>
          </cell>
          <cell r="G1741">
            <v>3744.0071145429902</v>
          </cell>
          <cell r="H1741">
            <v>2491.85802213426</v>
          </cell>
        </row>
        <row r="1742">
          <cell r="B1742" t="str">
            <v>LOS OSITOS 2103220608</v>
          </cell>
          <cell r="C1742">
            <v>182082103</v>
          </cell>
          <cell r="D1742" t="str">
            <v>LOS OSITOS 2103</v>
          </cell>
          <cell r="E1742">
            <v>220608</v>
          </cell>
          <cell r="F1742" t="b">
            <v>0</v>
          </cell>
          <cell r="G1742">
            <v>3563.34517280914</v>
          </cell>
          <cell r="H1742">
            <v>1678.7883060870699</v>
          </cell>
        </row>
        <row r="1743">
          <cell r="B1743" t="str">
            <v>LOS OSITOS 2103258688</v>
          </cell>
          <cell r="C1743">
            <v>182082103</v>
          </cell>
          <cell r="D1743" t="str">
            <v>LOS OSITOS 2103</v>
          </cell>
          <cell r="E1743">
            <v>258688</v>
          </cell>
          <cell r="F1743" t="b">
            <v>0</v>
          </cell>
          <cell r="G1743">
            <v>5700.7116905254297</v>
          </cell>
          <cell r="H1743">
            <v>1727.29510383209</v>
          </cell>
        </row>
        <row r="1744">
          <cell r="B1744" t="str">
            <v>LOS OSITOS 21033010</v>
          </cell>
          <cell r="C1744">
            <v>182082103</v>
          </cell>
          <cell r="D1744" t="str">
            <v>LOS OSITOS 2103</v>
          </cell>
          <cell r="E1744">
            <v>3010</v>
          </cell>
          <cell r="F1744" t="b">
            <v>0</v>
          </cell>
          <cell r="G1744">
            <v>50085.859830204303</v>
          </cell>
          <cell r="H1744">
            <v>50061.440041186397</v>
          </cell>
        </row>
        <row r="1745">
          <cell r="B1745" t="str">
            <v>LOS OSITOS 2103695270</v>
          </cell>
          <cell r="C1745">
            <v>182082103</v>
          </cell>
          <cell r="D1745" t="str">
            <v>LOS OSITOS 2103</v>
          </cell>
          <cell r="E1745">
            <v>695270</v>
          </cell>
          <cell r="F1745" t="b">
            <v>0</v>
          </cell>
          <cell r="G1745">
            <v>1764.2136907213301</v>
          </cell>
          <cell r="H1745">
            <v>1116.19921328737</v>
          </cell>
        </row>
        <row r="1746">
          <cell r="B1746" t="str">
            <v>LOS OSITOS 21037062</v>
          </cell>
          <cell r="C1746">
            <v>182082103</v>
          </cell>
          <cell r="D1746" t="str">
            <v>LOS OSITOS 2103</v>
          </cell>
          <cell r="E1746">
            <v>7062</v>
          </cell>
          <cell r="F1746" t="b">
            <v>0</v>
          </cell>
          <cell r="G1746">
            <v>19664.1429371593</v>
          </cell>
          <cell r="H1746">
            <v>19664.1429371593</v>
          </cell>
        </row>
        <row r="1747">
          <cell r="B1747" t="str">
            <v>LOW GAP 11012094</v>
          </cell>
          <cell r="C1747">
            <v>192411101</v>
          </cell>
          <cell r="D1747" t="str">
            <v>LOW GAP 1101</v>
          </cell>
          <cell r="E1747">
            <v>2094</v>
          </cell>
          <cell r="F1747" t="b">
            <v>0</v>
          </cell>
          <cell r="G1747">
            <v>27452.3558001704</v>
          </cell>
          <cell r="H1747">
            <v>25248.629520420702</v>
          </cell>
        </row>
        <row r="1748">
          <cell r="B1748" t="str">
            <v>LOW GAP 110137498</v>
          </cell>
          <cell r="C1748">
            <v>192411101</v>
          </cell>
          <cell r="D1748" t="str">
            <v>LOW GAP 1101</v>
          </cell>
          <cell r="E1748">
            <v>37498</v>
          </cell>
          <cell r="F1748" t="b">
            <v>0</v>
          </cell>
          <cell r="G1748">
            <v>26197.741536715901</v>
          </cell>
          <cell r="H1748">
            <v>26197.741536715901</v>
          </cell>
        </row>
        <row r="1749">
          <cell r="B1749" t="str">
            <v>LOW GAP 11014086</v>
          </cell>
          <cell r="C1749">
            <v>192411101</v>
          </cell>
          <cell r="D1749" t="str">
            <v>LOW GAP 1101</v>
          </cell>
          <cell r="E1749">
            <v>4086</v>
          </cell>
          <cell r="F1749" t="b">
            <v>0</v>
          </cell>
          <cell r="G1749">
            <v>18494.2050549704</v>
          </cell>
          <cell r="H1749">
            <v>18494.2050549704</v>
          </cell>
        </row>
        <row r="1750">
          <cell r="B1750" t="str">
            <v>LOW GAP 11014160</v>
          </cell>
          <cell r="C1750">
            <v>192411101</v>
          </cell>
          <cell r="D1750" t="str">
            <v>LOW GAP 1101</v>
          </cell>
          <cell r="E1750">
            <v>4160</v>
          </cell>
          <cell r="F1750" t="b">
            <v>0</v>
          </cell>
          <cell r="G1750">
            <v>34990.355906935998</v>
          </cell>
          <cell r="H1750">
            <v>34990.355906935998</v>
          </cell>
        </row>
        <row r="1751">
          <cell r="B1751" t="str">
            <v>LOW GAP 110186816</v>
          </cell>
          <cell r="C1751">
            <v>192411101</v>
          </cell>
          <cell r="D1751" t="str">
            <v>LOW GAP 1101</v>
          </cell>
          <cell r="E1751">
            <v>86816</v>
          </cell>
          <cell r="F1751" t="b">
            <v>0</v>
          </cell>
          <cell r="G1751">
            <v>7103.5026271945098</v>
          </cell>
          <cell r="H1751">
            <v>7103.5026271945098</v>
          </cell>
        </row>
        <row r="1752">
          <cell r="B1752" t="str">
            <v>LOW GAP 1101CB</v>
          </cell>
          <cell r="C1752">
            <v>192411101</v>
          </cell>
          <cell r="D1752" t="str">
            <v>LOW GAP 1101</v>
          </cell>
          <cell r="E1752" t="str">
            <v>CB</v>
          </cell>
          <cell r="F1752" t="b">
            <v>0</v>
          </cell>
          <cell r="G1752">
            <v>3490.25088628921</v>
          </cell>
          <cell r="H1752">
            <v>3490.25088628921</v>
          </cell>
        </row>
        <row r="1753">
          <cell r="B1753" t="str">
            <v>LOYOLA 110260082</v>
          </cell>
          <cell r="C1753">
            <v>82161102</v>
          </cell>
          <cell r="D1753" t="str">
            <v>LOYOLA 1102</v>
          </cell>
          <cell r="E1753">
            <v>60082</v>
          </cell>
          <cell r="F1753" t="b">
            <v>1</v>
          </cell>
          <cell r="G1753">
            <v>6614.3058264265201</v>
          </cell>
          <cell r="H1753">
            <v>0</v>
          </cell>
        </row>
        <row r="1754">
          <cell r="B1754" t="str">
            <v>LOYOLA 1102725939</v>
          </cell>
          <cell r="C1754">
            <v>82161102</v>
          </cell>
          <cell r="D1754" t="str">
            <v>LOYOLA 1102</v>
          </cell>
          <cell r="E1754">
            <v>725939</v>
          </cell>
          <cell r="F1754" t="b">
            <v>1</v>
          </cell>
          <cell r="G1754">
            <v>1338.45712714663</v>
          </cell>
          <cell r="H1754">
            <v>150.535515185089</v>
          </cell>
        </row>
        <row r="1755">
          <cell r="B1755" t="str">
            <v>LUCERNE 11031280</v>
          </cell>
          <cell r="C1755">
            <v>43351103</v>
          </cell>
          <cell r="D1755" t="str">
            <v>LUCERNE 1103</v>
          </cell>
          <cell r="E1755">
            <v>1280</v>
          </cell>
          <cell r="F1755" t="b">
            <v>0</v>
          </cell>
          <cell r="G1755">
            <v>37796.6984679046</v>
          </cell>
          <cell r="H1755">
            <v>12933.817401804499</v>
          </cell>
        </row>
        <row r="1756">
          <cell r="B1756" t="str">
            <v>LUCERNE 11031663</v>
          </cell>
          <cell r="C1756">
            <v>43351103</v>
          </cell>
          <cell r="D1756" t="str">
            <v>LUCERNE 1103</v>
          </cell>
          <cell r="E1756">
            <v>1663</v>
          </cell>
          <cell r="F1756" t="b">
            <v>0</v>
          </cell>
          <cell r="G1756">
            <v>1947.6462350208101</v>
          </cell>
          <cell r="H1756">
            <v>1947.6462350208101</v>
          </cell>
        </row>
        <row r="1757">
          <cell r="B1757" t="str">
            <v>LUCERNE 11034200</v>
          </cell>
          <cell r="C1757">
            <v>43351103</v>
          </cell>
          <cell r="D1757" t="str">
            <v>LUCERNE 1103</v>
          </cell>
          <cell r="E1757">
            <v>4200</v>
          </cell>
          <cell r="F1757" t="b">
            <v>0</v>
          </cell>
          <cell r="G1757">
            <v>7940.3443704009296</v>
          </cell>
          <cell r="H1757">
            <v>6495.7462183048401</v>
          </cell>
        </row>
        <row r="1758">
          <cell r="B1758" t="str">
            <v>LUCERNE 11034624</v>
          </cell>
          <cell r="C1758">
            <v>43351103</v>
          </cell>
          <cell r="D1758" t="str">
            <v>LUCERNE 1103</v>
          </cell>
          <cell r="E1758">
            <v>4624</v>
          </cell>
          <cell r="F1758" t="b">
            <v>1</v>
          </cell>
          <cell r="G1758">
            <v>6101.7646760166299</v>
          </cell>
          <cell r="H1758">
            <v>50.672441555326699</v>
          </cell>
        </row>
        <row r="1759">
          <cell r="B1759" t="str">
            <v>LUCERNE 1103630</v>
          </cell>
          <cell r="C1759">
            <v>43351103</v>
          </cell>
          <cell r="D1759" t="str">
            <v>LUCERNE 1103</v>
          </cell>
          <cell r="E1759">
            <v>630</v>
          </cell>
          <cell r="F1759" t="b">
            <v>0</v>
          </cell>
          <cell r="G1759">
            <v>21891.424363185</v>
          </cell>
          <cell r="H1759">
            <v>20012.261541782402</v>
          </cell>
        </row>
        <row r="1760">
          <cell r="B1760" t="str">
            <v>LUCERNE 1103CB</v>
          </cell>
          <cell r="C1760">
            <v>43351103</v>
          </cell>
          <cell r="D1760" t="str">
            <v>LUCERNE 1103</v>
          </cell>
          <cell r="E1760" t="str">
            <v>CB</v>
          </cell>
          <cell r="F1760" t="b">
            <v>0</v>
          </cell>
          <cell r="G1760">
            <v>7158.5649693263003</v>
          </cell>
          <cell r="H1760">
            <v>3619.1596719407098</v>
          </cell>
        </row>
        <row r="1761">
          <cell r="B1761" t="str">
            <v>LUCERNE 11062327</v>
          </cell>
          <cell r="C1761">
            <v>43351106</v>
          </cell>
          <cell r="D1761" t="str">
            <v>LUCERNE 1106</v>
          </cell>
          <cell r="E1761">
            <v>2327</v>
          </cell>
          <cell r="F1761" t="b">
            <v>0</v>
          </cell>
          <cell r="G1761">
            <v>2038.9697887734801</v>
          </cell>
          <cell r="H1761">
            <v>1914.8889720295001</v>
          </cell>
        </row>
        <row r="1762">
          <cell r="B1762" t="str">
            <v>LUCERNE 11062355</v>
          </cell>
          <cell r="C1762">
            <v>43351106</v>
          </cell>
          <cell r="D1762" t="str">
            <v>LUCERNE 1106</v>
          </cell>
          <cell r="E1762">
            <v>2355</v>
          </cell>
          <cell r="F1762" t="b">
            <v>1</v>
          </cell>
          <cell r="G1762">
            <v>1676.48355440266</v>
          </cell>
          <cell r="H1762">
            <v>644.35984504772296</v>
          </cell>
        </row>
        <row r="1763">
          <cell r="B1763" t="str">
            <v>LUCERNE 110638436</v>
          </cell>
          <cell r="C1763">
            <v>43351106</v>
          </cell>
          <cell r="D1763" t="str">
            <v>LUCERNE 1106</v>
          </cell>
          <cell r="E1763">
            <v>38436</v>
          </cell>
          <cell r="F1763" t="b">
            <v>0</v>
          </cell>
          <cell r="G1763">
            <v>7699.8875662748696</v>
          </cell>
          <cell r="H1763">
            <v>7253.5317755015503</v>
          </cell>
        </row>
        <row r="1764">
          <cell r="B1764" t="str">
            <v>LUCERNE 110638632</v>
          </cell>
          <cell r="C1764">
            <v>43351106</v>
          </cell>
          <cell r="D1764" t="str">
            <v>LUCERNE 1106</v>
          </cell>
          <cell r="E1764">
            <v>38632</v>
          </cell>
          <cell r="F1764" t="b">
            <v>0</v>
          </cell>
          <cell r="G1764">
            <v>7538.4158144011499</v>
          </cell>
          <cell r="H1764">
            <v>7535.3677562927496</v>
          </cell>
        </row>
        <row r="1765">
          <cell r="B1765" t="str">
            <v>LUCERNE 110647198</v>
          </cell>
          <cell r="C1765">
            <v>43351106</v>
          </cell>
          <cell r="D1765" t="str">
            <v>LUCERNE 1106</v>
          </cell>
          <cell r="E1765">
            <v>47198</v>
          </cell>
          <cell r="F1765" t="b">
            <v>0</v>
          </cell>
          <cell r="G1765">
            <v>9365.2067198321602</v>
          </cell>
          <cell r="H1765">
            <v>4939.4620251620599</v>
          </cell>
        </row>
        <row r="1766">
          <cell r="B1766" t="str">
            <v>LUCERNE 1106526</v>
          </cell>
          <cell r="C1766">
            <v>43351106</v>
          </cell>
          <cell r="D1766" t="str">
            <v>LUCERNE 1106</v>
          </cell>
          <cell r="E1766">
            <v>526</v>
          </cell>
          <cell r="F1766" t="b">
            <v>0</v>
          </cell>
          <cell r="G1766">
            <v>17461.301231637601</v>
          </cell>
          <cell r="H1766">
            <v>16256.6321327352</v>
          </cell>
        </row>
        <row r="1767">
          <cell r="B1767" t="str">
            <v>LUCERNE 1106664</v>
          </cell>
          <cell r="C1767">
            <v>43351106</v>
          </cell>
          <cell r="D1767" t="str">
            <v>LUCERNE 1106</v>
          </cell>
          <cell r="E1767">
            <v>664</v>
          </cell>
          <cell r="F1767" t="b">
            <v>0</v>
          </cell>
          <cell r="G1767">
            <v>17972.9054458092</v>
          </cell>
          <cell r="H1767">
            <v>15503.1918991689</v>
          </cell>
        </row>
        <row r="1768">
          <cell r="B1768" t="str">
            <v>LUCERNE 110676850</v>
          </cell>
          <cell r="C1768">
            <v>43351106</v>
          </cell>
          <cell r="D1768" t="str">
            <v>LUCERNE 1106</v>
          </cell>
          <cell r="E1768">
            <v>76850</v>
          </cell>
          <cell r="F1768" t="b">
            <v>0</v>
          </cell>
          <cell r="G1768">
            <v>5941.1146210952402</v>
          </cell>
          <cell r="H1768">
            <v>3458.1260863733901</v>
          </cell>
        </row>
        <row r="1769">
          <cell r="B1769" t="str">
            <v>LUCERNE 1106CB</v>
          </cell>
          <cell r="C1769">
            <v>43351106</v>
          </cell>
          <cell r="D1769" t="str">
            <v>LUCERNE 1106</v>
          </cell>
          <cell r="E1769" t="str">
            <v>CB</v>
          </cell>
          <cell r="F1769" t="b">
            <v>0</v>
          </cell>
          <cell r="G1769">
            <v>5806.4034898376503</v>
          </cell>
          <cell r="H1769">
            <v>3043.2971063550199</v>
          </cell>
        </row>
        <row r="1770">
          <cell r="B1770" t="str">
            <v>MADISON 1105495270</v>
          </cell>
          <cell r="C1770">
            <v>63171105</v>
          </cell>
          <cell r="D1770" t="str">
            <v>MADISON 1105</v>
          </cell>
          <cell r="E1770">
            <v>495270</v>
          </cell>
          <cell r="F1770" t="b">
            <v>1</v>
          </cell>
          <cell r="G1770">
            <v>13307.702097826101</v>
          </cell>
          <cell r="H1770">
            <v>863.31943726035399</v>
          </cell>
        </row>
        <row r="1771">
          <cell r="B1771" t="str">
            <v>MADISON 2101117644</v>
          </cell>
          <cell r="C1771">
            <v>63172101</v>
          </cell>
          <cell r="D1771" t="str">
            <v>MADISON 2101</v>
          </cell>
          <cell r="E1771">
            <v>117644</v>
          </cell>
          <cell r="F1771" t="b">
            <v>0</v>
          </cell>
          <cell r="G1771">
            <v>3757.3781567578799</v>
          </cell>
          <cell r="H1771">
            <v>1080.3525171669301</v>
          </cell>
        </row>
        <row r="1772">
          <cell r="B1772" t="str">
            <v>MADISON 210113372</v>
          </cell>
          <cell r="C1772">
            <v>63172101</v>
          </cell>
          <cell r="D1772" t="str">
            <v>MADISON 2101</v>
          </cell>
          <cell r="E1772">
            <v>13372</v>
          </cell>
          <cell r="F1772" t="b">
            <v>0</v>
          </cell>
          <cell r="G1772">
            <v>6191.0561427398097</v>
          </cell>
          <cell r="H1772">
            <v>6152.1597228848004</v>
          </cell>
        </row>
        <row r="1773">
          <cell r="B1773" t="str">
            <v>MADISON 21011606</v>
          </cell>
          <cell r="C1773">
            <v>63172101</v>
          </cell>
          <cell r="D1773" t="str">
            <v>MADISON 2101</v>
          </cell>
          <cell r="E1773">
            <v>1606</v>
          </cell>
          <cell r="F1773" t="b">
            <v>1</v>
          </cell>
          <cell r="G1773">
            <v>42761.0947534308</v>
          </cell>
          <cell r="H1773">
            <v>254.35305978666301</v>
          </cell>
        </row>
        <row r="1774">
          <cell r="B1774" t="str">
            <v>MADISON 2101351038</v>
          </cell>
          <cell r="C1774">
            <v>63172101</v>
          </cell>
          <cell r="D1774" t="str">
            <v>MADISON 2101</v>
          </cell>
          <cell r="E1774">
            <v>351038</v>
          </cell>
          <cell r="F1774" t="b">
            <v>0</v>
          </cell>
          <cell r="G1774">
            <v>22506.966183053999</v>
          </cell>
          <cell r="H1774">
            <v>2661.6552487538102</v>
          </cell>
        </row>
        <row r="1775">
          <cell r="B1775" t="str">
            <v>MADISON 2101725408</v>
          </cell>
          <cell r="C1775">
            <v>63172101</v>
          </cell>
          <cell r="D1775" t="str">
            <v>MADISON 2101</v>
          </cell>
          <cell r="E1775">
            <v>725408</v>
          </cell>
          <cell r="F1775" t="b">
            <v>0</v>
          </cell>
          <cell r="G1775">
            <v>2105.6405731605701</v>
          </cell>
          <cell r="H1775">
            <v>1530.18971326222</v>
          </cell>
        </row>
        <row r="1776">
          <cell r="B1776" t="str">
            <v>MADISON 2101745850</v>
          </cell>
          <cell r="C1776">
            <v>63172101</v>
          </cell>
          <cell r="D1776" t="str">
            <v>MADISON 2101</v>
          </cell>
          <cell r="E1776">
            <v>745850</v>
          </cell>
          <cell r="F1776" t="b">
            <v>1</v>
          </cell>
          <cell r="G1776">
            <v>1558.6922895507</v>
          </cell>
          <cell r="H1776">
            <v>771.47013727106105</v>
          </cell>
        </row>
        <row r="1777">
          <cell r="B1777" t="str">
            <v>MADISON 2101760730</v>
          </cell>
          <cell r="C1777">
            <v>63172101</v>
          </cell>
          <cell r="D1777" t="str">
            <v>MADISON 2101</v>
          </cell>
          <cell r="E1777">
            <v>760730</v>
          </cell>
          <cell r="F1777" t="b">
            <v>1</v>
          </cell>
          <cell r="G1777">
            <v>4317.2274677728401</v>
          </cell>
          <cell r="H1777">
            <v>964.21002100415899</v>
          </cell>
        </row>
        <row r="1778">
          <cell r="B1778" t="str">
            <v>MADISON 21017702</v>
          </cell>
          <cell r="C1778">
            <v>63172101</v>
          </cell>
          <cell r="D1778" t="str">
            <v>MADISON 2101</v>
          </cell>
          <cell r="E1778">
            <v>7702</v>
          </cell>
          <cell r="F1778" t="b">
            <v>1</v>
          </cell>
          <cell r="G1778">
            <v>30606.570833648198</v>
          </cell>
          <cell r="H1778">
            <v>0</v>
          </cell>
        </row>
        <row r="1779">
          <cell r="B1779" t="str">
            <v>MAPLE CREEK 1101555034</v>
          </cell>
          <cell r="C1779">
            <v>192101101</v>
          </cell>
          <cell r="D1779" t="str">
            <v>MAPLE CREEK 1101</v>
          </cell>
          <cell r="E1779">
            <v>555034</v>
          </cell>
          <cell r="F1779" t="b">
            <v>0</v>
          </cell>
          <cell r="G1779">
            <v>4077.2208037965802</v>
          </cell>
          <cell r="H1779">
            <v>2404.9179453823199</v>
          </cell>
        </row>
        <row r="1780">
          <cell r="B1780" t="str">
            <v>MAPLE CREEK 1101CB</v>
          </cell>
          <cell r="C1780">
            <v>192101101</v>
          </cell>
          <cell r="D1780" t="str">
            <v>MAPLE CREEK 1101</v>
          </cell>
          <cell r="E1780" t="str">
            <v>CB</v>
          </cell>
          <cell r="F1780" t="b">
            <v>0</v>
          </cell>
          <cell r="G1780">
            <v>19709.104576338599</v>
          </cell>
          <cell r="H1780">
            <v>14267.671525326199</v>
          </cell>
        </row>
        <row r="1781">
          <cell r="B1781" t="str">
            <v>MARIPOSA 210110070</v>
          </cell>
          <cell r="C1781">
            <v>254452101</v>
          </cell>
          <cell r="D1781" t="str">
            <v>MARIPOSA 2101</v>
          </cell>
          <cell r="E1781">
            <v>10070</v>
          </cell>
          <cell r="F1781" t="b">
            <v>0</v>
          </cell>
          <cell r="G1781">
            <v>42054.456997578702</v>
          </cell>
          <cell r="H1781">
            <v>42054.456997578702</v>
          </cell>
        </row>
        <row r="1782">
          <cell r="B1782" t="str">
            <v>MARIPOSA 210110170</v>
          </cell>
          <cell r="C1782">
            <v>254452101</v>
          </cell>
          <cell r="D1782" t="str">
            <v>MARIPOSA 2101</v>
          </cell>
          <cell r="E1782">
            <v>10170</v>
          </cell>
          <cell r="F1782" t="b">
            <v>0</v>
          </cell>
          <cell r="G1782">
            <v>26253.322100518999</v>
          </cell>
          <cell r="H1782">
            <v>26253.322100518999</v>
          </cell>
        </row>
        <row r="1783">
          <cell r="B1783" t="str">
            <v>MARIPOSA 210110240</v>
          </cell>
          <cell r="C1783">
            <v>254452101</v>
          </cell>
          <cell r="D1783" t="str">
            <v>MARIPOSA 2101</v>
          </cell>
          <cell r="E1783">
            <v>10240</v>
          </cell>
          <cell r="F1783" t="b">
            <v>0</v>
          </cell>
          <cell r="G1783">
            <v>34689.0589646917</v>
          </cell>
          <cell r="H1783">
            <v>34689.0589646917</v>
          </cell>
        </row>
        <row r="1784">
          <cell r="B1784" t="str">
            <v>MARIPOSA 210110990</v>
          </cell>
          <cell r="C1784">
            <v>254452101</v>
          </cell>
          <cell r="D1784" t="str">
            <v>MARIPOSA 2101</v>
          </cell>
          <cell r="E1784">
            <v>10990</v>
          </cell>
          <cell r="F1784" t="b">
            <v>0</v>
          </cell>
          <cell r="G1784">
            <v>64432.509200624503</v>
          </cell>
          <cell r="H1784">
            <v>64432.509200624503</v>
          </cell>
        </row>
        <row r="1785">
          <cell r="B1785" t="str">
            <v>MARIPOSA 2101309438</v>
          </cell>
          <cell r="C1785">
            <v>254452101</v>
          </cell>
          <cell r="D1785" t="str">
            <v>MARIPOSA 2101</v>
          </cell>
          <cell r="E1785">
            <v>309438</v>
          </cell>
          <cell r="F1785" t="b">
            <v>0</v>
          </cell>
          <cell r="G1785">
            <v>13011.730913834101</v>
          </cell>
          <cell r="H1785">
            <v>5938.63218264428</v>
          </cell>
        </row>
        <row r="1786">
          <cell r="B1786" t="str">
            <v>MARIPOSA 210135244</v>
          </cell>
          <cell r="C1786">
            <v>254452101</v>
          </cell>
          <cell r="D1786" t="str">
            <v>MARIPOSA 2101</v>
          </cell>
          <cell r="E1786">
            <v>35244</v>
          </cell>
          <cell r="F1786" t="b">
            <v>0</v>
          </cell>
          <cell r="G1786">
            <v>28098.7686255841</v>
          </cell>
          <cell r="H1786">
            <v>28098.7686255841</v>
          </cell>
        </row>
        <row r="1787">
          <cell r="B1787" t="str">
            <v>MARIPOSA 2101439030</v>
          </cell>
          <cell r="C1787">
            <v>254452101</v>
          </cell>
          <cell r="D1787" t="str">
            <v>MARIPOSA 2101</v>
          </cell>
          <cell r="E1787">
            <v>439030</v>
          </cell>
          <cell r="F1787" t="b">
            <v>0</v>
          </cell>
          <cell r="G1787">
            <v>31570.111522435702</v>
          </cell>
          <cell r="H1787">
            <v>31570.111522435702</v>
          </cell>
        </row>
        <row r="1788">
          <cell r="B1788" t="str">
            <v>MARIPOSA 21014410</v>
          </cell>
          <cell r="C1788">
            <v>254452101</v>
          </cell>
          <cell r="D1788" t="str">
            <v>MARIPOSA 2101</v>
          </cell>
          <cell r="E1788">
            <v>4410</v>
          </cell>
          <cell r="F1788" t="b">
            <v>0</v>
          </cell>
          <cell r="G1788">
            <v>36702.380981011498</v>
          </cell>
          <cell r="H1788">
            <v>36702.380981011498</v>
          </cell>
        </row>
        <row r="1789">
          <cell r="B1789" t="str">
            <v>MARIPOSA 2101752630</v>
          </cell>
          <cell r="C1789">
            <v>254452101</v>
          </cell>
          <cell r="D1789" t="str">
            <v>MARIPOSA 2101</v>
          </cell>
          <cell r="E1789">
            <v>752630</v>
          </cell>
          <cell r="F1789" t="b">
            <v>0</v>
          </cell>
          <cell r="G1789">
            <v>30558.966252976799</v>
          </cell>
          <cell r="H1789">
            <v>30558.966252976799</v>
          </cell>
        </row>
        <row r="1790">
          <cell r="B1790" t="str">
            <v>MARIPOSA 210190130</v>
          </cell>
          <cell r="C1790">
            <v>254452101</v>
          </cell>
          <cell r="D1790" t="str">
            <v>MARIPOSA 2101</v>
          </cell>
          <cell r="E1790">
            <v>90130</v>
          </cell>
          <cell r="F1790" t="b">
            <v>1</v>
          </cell>
          <cell r="G1790">
            <v>151.149940910369</v>
          </cell>
          <cell r="H1790">
            <v>151.149940910369</v>
          </cell>
        </row>
        <row r="1791">
          <cell r="B1791" t="str">
            <v>MARIPOSA 210190180</v>
          </cell>
          <cell r="C1791">
            <v>254452101</v>
          </cell>
          <cell r="D1791" t="str">
            <v>MARIPOSA 2101</v>
          </cell>
          <cell r="E1791">
            <v>90180</v>
          </cell>
          <cell r="F1791" t="b">
            <v>0</v>
          </cell>
          <cell r="G1791">
            <v>7976.0065993520502</v>
          </cell>
          <cell r="H1791">
            <v>7976.0065993520502</v>
          </cell>
        </row>
        <row r="1792">
          <cell r="B1792" t="str">
            <v>MARIPOSA 21019400</v>
          </cell>
          <cell r="C1792">
            <v>254452101</v>
          </cell>
          <cell r="D1792" t="str">
            <v>MARIPOSA 2101</v>
          </cell>
          <cell r="E1792">
            <v>9400</v>
          </cell>
          <cell r="F1792" t="b">
            <v>0</v>
          </cell>
          <cell r="G1792">
            <v>101537.780001033</v>
          </cell>
          <cell r="H1792">
            <v>101537.780001033</v>
          </cell>
        </row>
        <row r="1793">
          <cell r="B1793" t="str">
            <v>MARIPOSA 210197142</v>
          </cell>
          <cell r="C1793">
            <v>254452101</v>
          </cell>
          <cell r="D1793" t="str">
            <v>MARIPOSA 2101</v>
          </cell>
          <cell r="E1793">
            <v>97142</v>
          </cell>
          <cell r="F1793" t="b">
            <v>0</v>
          </cell>
          <cell r="G1793">
            <v>7406.0615494739404</v>
          </cell>
          <cell r="H1793">
            <v>7406.0615494739404</v>
          </cell>
        </row>
        <row r="1794">
          <cell r="B1794" t="str">
            <v>MARIPOSA 2101CB</v>
          </cell>
          <cell r="C1794">
            <v>254452101</v>
          </cell>
          <cell r="D1794" t="str">
            <v>MARIPOSA 2101</v>
          </cell>
          <cell r="E1794" t="str">
            <v>CB</v>
          </cell>
          <cell r="F1794" t="b">
            <v>0</v>
          </cell>
          <cell r="G1794">
            <v>4029.4321376099201</v>
          </cell>
          <cell r="H1794">
            <v>4029.4321376099201</v>
          </cell>
        </row>
        <row r="1795">
          <cell r="B1795" t="str">
            <v>MARIPOSA 210210880</v>
          </cell>
          <cell r="C1795">
            <v>254452102</v>
          </cell>
          <cell r="D1795" t="str">
            <v>MARIPOSA 2102</v>
          </cell>
          <cell r="E1795">
            <v>10880</v>
          </cell>
          <cell r="F1795" t="b">
            <v>0</v>
          </cell>
          <cell r="G1795">
            <v>64212.575658864997</v>
          </cell>
          <cell r="H1795">
            <v>63861.646698372802</v>
          </cell>
        </row>
        <row r="1796">
          <cell r="B1796" t="str">
            <v>MARIPOSA 21021960</v>
          </cell>
          <cell r="C1796">
            <v>254452102</v>
          </cell>
          <cell r="D1796" t="str">
            <v>MARIPOSA 2102</v>
          </cell>
          <cell r="E1796">
            <v>1960</v>
          </cell>
          <cell r="F1796" t="b">
            <v>0</v>
          </cell>
          <cell r="G1796">
            <v>39696.7204434546</v>
          </cell>
          <cell r="H1796">
            <v>39696.7204434546</v>
          </cell>
        </row>
        <row r="1797">
          <cell r="B1797" t="str">
            <v>MARIPOSA 2102241564</v>
          </cell>
          <cell r="C1797">
            <v>254452102</v>
          </cell>
          <cell r="D1797" t="str">
            <v>MARIPOSA 2102</v>
          </cell>
          <cell r="E1797">
            <v>241564</v>
          </cell>
          <cell r="F1797" t="b">
            <v>0</v>
          </cell>
          <cell r="G1797">
            <v>1774.1525703070999</v>
          </cell>
          <cell r="H1797">
            <v>1146.9071915915099</v>
          </cell>
        </row>
        <row r="1798">
          <cell r="B1798" t="str">
            <v>MARIPOSA 210237282</v>
          </cell>
          <cell r="C1798">
            <v>254452102</v>
          </cell>
          <cell r="D1798" t="str">
            <v>MARIPOSA 2102</v>
          </cell>
          <cell r="E1798">
            <v>37282</v>
          </cell>
          <cell r="F1798" t="b">
            <v>0</v>
          </cell>
          <cell r="G1798">
            <v>96262.893053710402</v>
          </cell>
          <cell r="H1798">
            <v>86430.768713738798</v>
          </cell>
        </row>
        <row r="1799">
          <cell r="B1799" t="str">
            <v>MARIPOSA 210237288</v>
          </cell>
          <cell r="C1799">
            <v>254452102</v>
          </cell>
          <cell r="D1799" t="str">
            <v>MARIPOSA 2102</v>
          </cell>
          <cell r="E1799">
            <v>37288</v>
          </cell>
          <cell r="F1799" t="b">
            <v>0</v>
          </cell>
          <cell r="G1799">
            <v>137232.35064563999</v>
          </cell>
          <cell r="H1799">
            <v>137232.35064563999</v>
          </cell>
        </row>
        <row r="1800">
          <cell r="B1800" t="str">
            <v>MARIPOSA 2102440236</v>
          </cell>
          <cell r="C1800">
            <v>254452102</v>
          </cell>
          <cell r="D1800" t="str">
            <v>MARIPOSA 2102</v>
          </cell>
          <cell r="E1800">
            <v>440236</v>
          </cell>
          <cell r="F1800" t="b">
            <v>0</v>
          </cell>
          <cell r="G1800">
            <v>6874.8042689189697</v>
          </cell>
          <cell r="H1800">
            <v>6874.8042689189697</v>
          </cell>
        </row>
        <row r="1801">
          <cell r="B1801" t="str">
            <v>MARIPOSA 2102527766</v>
          </cell>
          <cell r="C1801">
            <v>254452102</v>
          </cell>
          <cell r="D1801" t="str">
            <v>MARIPOSA 2102</v>
          </cell>
          <cell r="E1801">
            <v>527766</v>
          </cell>
          <cell r="F1801" t="b">
            <v>1</v>
          </cell>
          <cell r="G1801">
            <v>66.964897012276893</v>
          </cell>
          <cell r="H1801">
            <v>66.964897012276893</v>
          </cell>
        </row>
        <row r="1802">
          <cell r="B1802" t="str">
            <v>MARIPOSA 2102594143</v>
          </cell>
          <cell r="C1802">
            <v>254452102</v>
          </cell>
          <cell r="D1802" t="str">
            <v>MARIPOSA 2102</v>
          </cell>
          <cell r="E1802">
            <v>594143</v>
          </cell>
          <cell r="F1802" t="b">
            <v>1</v>
          </cell>
          <cell r="G1802">
            <v>6633.0439546859598</v>
          </cell>
          <cell r="H1802">
            <v>814.56407010613498</v>
          </cell>
        </row>
        <row r="1803">
          <cell r="B1803" t="str">
            <v>MARIPOSA 21029590</v>
          </cell>
          <cell r="C1803">
            <v>254452102</v>
          </cell>
          <cell r="D1803" t="str">
            <v>MARIPOSA 2102</v>
          </cell>
          <cell r="E1803">
            <v>9590</v>
          </cell>
          <cell r="F1803" t="b">
            <v>0</v>
          </cell>
          <cell r="G1803">
            <v>58387.070701442302</v>
          </cell>
          <cell r="H1803">
            <v>58387.070701442302</v>
          </cell>
        </row>
        <row r="1804">
          <cell r="B1804" t="str">
            <v>MARIPOSA 2102CB</v>
          </cell>
          <cell r="C1804">
            <v>254452102</v>
          </cell>
          <cell r="D1804" t="str">
            <v>MARIPOSA 2102</v>
          </cell>
          <cell r="E1804" t="str">
            <v>CB</v>
          </cell>
          <cell r="F1804" t="b">
            <v>0</v>
          </cell>
          <cell r="G1804">
            <v>8571.1083964416302</v>
          </cell>
          <cell r="H1804">
            <v>8453.5073706584808</v>
          </cell>
        </row>
        <row r="1805">
          <cell r="B1805" t="str">
            <v>MARTELL 110111244</v>
          </cell>
          <cell r="C1805">
            <v>163011101</v>
          </cell>
          <cell r="D1805" t="str">
            <v>MARTELL 1101</v>
          </cell>
          <cell r="E1805">
            <v>11244</v>
          </cell>
          <cell r="F1805" t="b">
            <v>0</v>
          </cell>
          <cell r="G1805">
            <v>34513.287772076103</v>
          </cell>
          <cell r="H1805">
            <v>33294.145655909699</v>
          </cell>
        </row>
        <row r="1806">
          <cell r="B1806" t="str">
            <v>MARTELL 11016074</v>
          </cell>
          <cell r="C1806">
            <v>163011101</v>
          </cell>
          <cell r="D1806" t="str">
            <v>MARTELL 1101</v>
          </cell>
          <cell r="E1806">
            <v>6074</v>
          </cell>
          <cell r="F1806" t="b">
            <v>0</v>
          </cell>
          <cell r="G1806">
            <v>5923.6574163270097</v>
          </cell>
          <cell r="H1806">
            <v>5923.6574163270097</v>
          </cell>
        </row>
        <row r="1807">
          <cell r="B1807" t="str">
            <v>MARTELL 110191216</v>
          </cell>
          <cell r="C1807">
            <v>163011101</v>
          </cell>
          <cell r="D1807" t="str">
            <v>MARTELL 1101</v>
          </cell>
          <cell r="E1807">
            <v>91216</v>
          </cell>
          <cell r="F1807" t="b">
            <v>0</v>
          </cell>
          <cell r="G1807">
            <v>65291.636116355301</v>
          </cell>
          <cell r="H1807">
            <v>65291.636116355301</v>
          </cell>
        </row>
        <row r="1808">
          <cell r="B1808" t="str">
            <v>MARTELL 110198374</v>
          </cell>
          <cell r="C1808">
            <v>163011101</v>
          </cell>
          <cell r="D1808" t="str">
            <v>MARTELL 1101</v>
          </cell>
          <cell r="E1808">
            <v>98374</v>
          </cell>
          <cell r="F1808" t="b">
            <v>0</v>
          </cell>
          <cell r="G1808">
            <v>6103.4021431505598</v>
          </cell>
          <cell r="H1808">
            <v>1330.8093277482701</v>
          </cell>
        </row>
        <row r="1809">
          <cell r="B1809" t="str">
            <v>MARTELL 1101CB</v>
          </cell>
          <cell r="C1809">
            <v>163011101</v>
          </cell>
          <cell r="D1809" t="str">
            <v>MARTELL 1101</v>
          </cell>
          <cell r="E1809" t="str">
            <v>CB</v>
          </cell>
          <cell r="F1809" t="b">
            <v>0</v>
          </cell>
          <cell r="G1809">
            <v>21488.114635204001</v>
          </cell>
          <cell r="H1809">
            <v>9459.2641923901792</v>
          </cell>
        </row>
        <row r="1810">
          <cell r="B1810" t="str">
            <v>MARTELL 110292172</v>
          </cell>
          <cell r="C1810">
            <v>163011102</v>
          </cell>
          <cell r="D1810" t="str">
            <v>MARTELL 1102</v>
          </cell>
          <cell r="E1810">
            <v>92172</v>
          </cell>
          <cell r="F1810" t="b">
            <v>1</v>
          </cell>
          <cell r="G1810">
            <v>5246.1470620881901</v>
          </cell>
          <cell r="H1810">
            <v>190.79470789901799</v>
          </cell>
        </row>
        <row r="1811">
          <cell r="B1811" t="str">
            <v>MARTELL 110299214</v>
          </cell>
          <cell r="C1811">
            <v>163011102</v>
          </cell>
          <cell r="D1811" t="str">
            <v>MARTELL 1102</v>
          </cell>
          <cell r="E1811">
            <v>99214</v>
          </cell>
          <cell r="F1811" t="b">
            <v>0</v>
          </cell>
          <cell r="G1811">
            <v>3296.9506383551702</v>
          </cell>
          <cell r="H1811">
            <v>2953.53904855273</v>
          </cell>
        </row>
        <row r="1812">
          <cell r="B1812" t="str">
            <v>MARTELL 1102CB</v>
          </cell>
          <cell r="C1812">
            <v>163011102</v>
          </cell>
          <cell r="D1812" t="str">
            <v>MARTELL 1102</v>
          </cell>
          <cell r="E1812" t="str">
            <v>CB</v>
          </cell>
          <cell r="F1812" t="b">
            <v>0</v>
          </cell>
          <cell r="G1812">
            <v>10972.056063398901</v>
          </cell>
          <cell r="H1812">
            <v>9142.0743736405802</v>
          </cell>
        </row>
        <row r="1813">
          <cell r="B1813" t="str">
            <v>MARTELL 11033152</v>
          </cell>
          <cell r="C1813">
            <v>163011103</v>
          </cell>
          <cell r="D1813" t="str">
            <v>MARTELL 1103</v>
          </cell>
          <cell r="E1813">
            <v>3152</v>
          </cell>
          <cell r="F1813" t="b">
            <v>0</v>
          </cell>
          <cell r="G1813">
            <v>27364.603615806001</v>
          </cell>
          <cell r="H1813">
            <v>26923.325535269301</v>
          </cell>
        </row>
        <row r="1814">
          <cell r="B1814" t="str">
            <v>MARTELL 110368192</v>
          </cell>
          <cell r="C1814">
            <v>163011103</v>
          </cell>
          <cell r="D1814" t="str">
            <v>MARTELL 1103</v>
          </cell>
          <cell r="E1814">
            <v>68192</v>
          </cell>
          <cell r="F1814" t="b">
            <v>0</v>
          </cell>
          <cell r="G1814">
            <v>10168.995794516501</v>
          </cell>
          <cell r="H1814">
            <v>4402.6894382823102</v>
          </cell>
        </row>
        <row r="1815">
          <cell r="B1815" t="str">
            <v>MARTELL 1103CB</v>
          </cell>
          <cell r="C1815">
            <v>163011103</v>
          </cell>
          <cell r="D1815" t="str">
            <v>MARTELL 1103</v>
          </cell>
          <cell r="E1815" t="str">
            <v>CB</v>
          </cell>
          <cell r="F1815" t="b">
            <v>0</v>
          </cell>
          <cell r="G1815">
            <v>10088.664938024</v>
          </cell>
          <cell r="H1815">
            <v>2844.86606138056</v>
          </cell>
        </row>
        <row r="1816">
          <cell r="B1816" t="str">
            <v>MAXWELL 11053008</v>
          </cell>
          <cell r="C1816">
            <v>62881105</v>
          </cell>
          <cell r="D1816" t="str">
            <v>MAXWELL 1105</v>
          </cell>
          <cell r="E1816">
            <v>3008</v>
          </cell>
          <cell r="F1816" t="b">
            <v>0</v>
          </cell>
          <cell r="G1816">
            <v>24475.224988071099</v>
          </cell>
          <cell r="H1816">
            <v>13636.9493035909</v>
          </cell>
        </row>
        <row r="1817">
          <cell r="B1817" t="str">
            <v>MC ARTHUR 11011488</v>
          </cell>
          <cell r="C1817">
            <v>103491101</v>
          </cell>
          <cell r="D1817" t="str">
            <v>MC ARTHUR 1101</v>
          </cell>
          <cell r="E1817">
            <v>1488</v>
          </cell>
          <cell r="F1817" t="b">
            <v>0</v>
          </cell>
          <cell r="G1817">
            <v>53867.327990170903</v>
          </cell>
          <cell r="H1817">
            <v>3970.6556881143702</v>
          </cell>
        </row>
        <row r="1818">
          <cell r="B1818" t="str">
            <v>MC ARTHUR 11011490</v>
          </cell>
          <cell r="C1818">
            <v>103491101</v>
          </cell>
          <cell r="D1818" t="str">
            <v>MC ARTHUR 1101</v>
          </cell>
          <cell r="E1818">
            <v>1490</v>
          </cell>
          <cell r="F1818" t="b">
            <v>0</v>
          </cell>
          <cell r="G1818">
            <v>24262.143012490302</v>
          </cell>
          <cell r="H1818">
            <v>16986.950312579</v>
          </cell>
        </row>
        <row r="1819">
          <cell r="B1819" t="str">
            <v>MC ARTHUR 11011544</v>
          </cell>
          <cell r="C1819">
            <v>103491101</v>
          </cell>
          <cell r="D1819" t="str">
            <v>MC ARTHUR 1101</v>
          </cell>
          <cell r="E1819">
            <v>1544</v>
          </cell>
          <cell r="F1819" t="b">
            <v>0</v>
          </cell>
          <cell r="G1819">
            <v>44972.286642991203</v>
          </cell>
          <cell r="H1819">
            <v>27291.008490904202</v>
          </cell>
        </row>
        <row r="1820">
          <cell r="B1820" t="str">
            <v>MC ARTHUR 11011546</v>
          </cell>
          <cell r="C1820">
            <v>103491101</v>
          </cell>
          <cell r="D1820" t="str">
            <v>MC ARTHUR 1101</v>
          </cell>
          <cell r="E1820">
            <v>1546</v>
          </cell>
          <cell r="F1820" t="b">
            <v>0</v>
          </cell>
          <cell r="G1820">
            <v>37312.908730346702</v>
          </cell>
          <cell r="H1820">
            <v>22193.9329072209</v>
          </cell>
        </row>
        <row r="1821">
          <cell r="B1821" t="str">
            <v>MC ARTHUR 110137344</v>
          </cell>
          <cell r="C1821">
            <v>103491101</v>
          </cell>
          <cell r="D1821" t="str">
            <v>MC ARTHUR 1101</v>
          </cell>
          <cell r="E1821">
            <v>37344</v>
          </cell>
          <cell r="F1821" t="b">
            <v>1</v>
          </cell>
          <cell r="G1821">
            <v>14261.5059134897</v>
          </cell>
          <cell r="H1821">
            <v>181.34057466707699</v>
          </cell>
        </row>
        <row r="1822">
          <cell r="B1822" t="str">
            <v>MC ARTHUR 110137388</v>
          </cell>
          <cell r="C1822">
            <v>103491101</v>
          </cell>
          <cell r="D1822" t="str">
            <v>MC ARTHUR 1101</v>
          </cell>
          <cell r="E1822">
            <v>37388</v>
          </cell>
          <cell r="F1822" t="b">
            <v>0</v>
          </cell>
          <cell r="G1822">
            <v>20103.568219648601</v>
          </cell>
          <cell r="H1822">
            <v>13050.406685116201</v>
          </cell>
        </row>
        <row r="1823">
          <cell r="B1823" t="str">
            <v>MC ARTHUR 110138998</v>
          </cell>
          <cell r="C1823">
            <v>103491101</v>
          </cell>
          <cell r="D1823" t="str">
            <v>MC ARTHUR 1101</v>
          </cell>
          <cell r="E1823">
            <v>38998</v>
          </cell>
          <cell r="F1823" t="b">
            <v>1</v>
          </cell>
          <cell r="G1823">
            <v>9317.0359011738492</v>
          </cell>
          <cell r="H1823">
            <v>189.497607627695</v>
          </cell>
        </row>
        <row r="1824">
          <cell r="B1824" t="str">
            <v>MC ARTHUR 1101501106</v>
          </cell>
          <cell r="C1824">
            <v>103491101</v>
          </cell>
          <cell r="D1824" t="str">
            <v>MC ARTHUR 1101</v>
          </cell>
          <cell r="E1824">
            <v>501106</v>
          </cell>
          <cell r="F1824" t="b">
            <v>0</v>
          </cell>
          <cell r="G1824">
            <v>16962.6838656246</v>
          </cell>
          <cell r="H1824">
            <v>16083.896007170701</v>
          </cell>
        </row>
        <row r="1825">
          <cell r="B1825" t="str">
            <v>MC ARTHUR 110153120</v>
          </cell>
          <cell r="C1825">
            <v>103491101</v>
          </cell>
          <cell r="D1825" t="str">
            <v>MC ARTHUR 1101</v>
          </cell>
          <cell r="E1825">
            <v>53120</v>
          </cell>
          <cell r="F1825" t="b">
            <v>1</v>
          </cell>
          <cell r="G1825">
            <v>12732.0319853163</v>
          </cell>
          <cell r="H1825">
            <v>173.17659504625499</v>
          </cell>
        </row>
        <row r="1826">
          <cell r="B1826" t="str">
            <v>MC ARTHUR 1101648698</v>
          </cell>
          <cell r="C1826">
            <v>103491101</v>
          </cell>
          <cell r="D1826" t="str">
            <v>MC ARTHUR 1101</v>
          </cell>
          <cell r="E1826">
            <v>648698</v>
          </cell>
          <cell r="F1826" t="b">
            <v>0</v>
          </cell>
          <cell r="G1826">
            <v>30462.369938331802</v>
          </cell>
          <cell r="H1826">
            <v>17135.045425837201</v>
          </cell>
        </row>
        <row r="1827">
          <cell r="B1827" t="str">
            <v>MC ARTHUR 11021324</v>
          </cell>
          <cell r="C1827">
            <v>103491102</v>
          </cell>
          <cell r="D1827" t="str">
            <v>MC ARTHUR 1102</v>
          </cell>
          <cell r="E1827">
            <v>1324</v>
          </cell>
          <cell r="F1827" t="b">
            <v>0</v>
          </cell>
          <cell r="G1827">
            <v>38651.454890707697</v>
          </cell>
          <cell r="H1827">
            <v>1638.5898399479699</v>
          </cell>
        </row>
        <row r="1828">
          <cell r="B1828" t="str">
            <v>MC ARTHUR 1102542920</v>
          </cell>
          <cell r="C1828">
            <v>103491102</v>
          </cell>
          <cell r="D1828" t="str">
            <v>MC ARTHUR 1102</v>
          </cell>
          <cell r="E1828">
            <v>542920</v>
          </cell>
          <cell r="F1828" t="b">
            <v>0</v>
          </cell>
          <cell r="G1828">
            <v>2484.2159961176799</v>
          </cell>
          <cell r="H1828">
            <v>2034.83193930722</v>
          </cell>
        </row>
        <row r="1829">
          <cell r="B1829" t="str">
            <v>MC KEE 1103XR028</v>
          </cell>
          <cell r="C1829">
            <v>83531103</v>
          </cell>
          <cell r="D1829" t="str">
            <v>MC KEE 1103</v>
          </cell>
          <cell r="E1829" t="str">
            <v>XR028</v>
          </cell>
          <cell r="F1829" t="b">
            <v>0</v>
          </cell>
          <cell r="G1829">
            <v>16732.966353388802</v>
          </cell>
          <cell r="H1829">
            <v>1226.57960902795</v>
          </cell>
        </row>
        <row r="1830">
          <cell r="B1830" t="str">
            <v>MC KEE 1107XR010</v>
          </cell>
          <cell r="C1830">
            <v>83531107</v>
          </cell>
          <cell r="D1830" t="str">
            <v>MC KEE 1107</v>
          </cell>
          <cell r="E1830" t="str">
            <v>XR010</v>
          </cell>
          <cell r="F1830" t="b">
            <v>0</v>
          </cell>
          <cell r="G1830">
            <v>22011.392448809798</v>
          </cell>
          <cell r="H1830">
            <v>4483.0278297479699</v>
          </cell>
        </row>
        <row r="1831">
          <cell r="B1831" t="str">
            <v>MC KEE 1108976553</v>
          </cell>
          <cell r="C1831">
            <v>83531108</v>
          </cell>
          <cell r="D1831" t="str">
            <v>MC KEE 1108</v>
          </cell>
          <cell r="E1831">
            <v>976553</v>
          </cell>
          <cell r="F1831" t="b">
            <v>0</v>
          </cell>
          <cell r="G1831">
            <v>3112.5675516033698</v>
          </cell>
          <cell r="H1831">
            <v>1744.6034635218</v>
          </cell>
        </row>
        <row r="1832">
          <cell r="B1832" t="str">
            <v>MC KEE 1111711900</v>
          </cell>
          <cell r="C1832">
            <v>83531111</v>
          </cell>
          <cell r="D1832" t="str">
            <v>MC KEE 1111</v>
          </cell>
          <cell r="E1832">
            <v>711900</v>
          </cell>
          <cell r="F1832" t="b">
            <v>0</v>
          </cell>
          <cell r="G1832">
            <v>20250.2666518312</v>
          </cell>
          <cell r="H1832">
            <v>14456.159394127901</v>
          </cell>
        </row>
        <row r="1833">
          <cell r="B1833" t="str">
            <v>MEADOW LANE 2106C558R</v>
          </cell>
          <cell r="C1833">
            <v>14302106</v>
          </cell>
          <cell r="D1833" t="str">
            <v>MEADOW LANE 2106</v>
          </cell>
          <cell r="E1833" t="str">
            <v>C558R</v>
          </cell>
          <cell r="F1833" t="b">
            <v>0</v>
          </cell>
          <cell r="G1833">
            <v>23093.6755266398</v>
          </cell>
          <cell r="H1833">
            <v>1942.50320720024</v>
          </cell>
        </row>
        <row r="1834">
          <cell r="B1834" t="str">
            <v>MENDOCINO 110131322</v>
          </cell>
          <cell r="C1834">
            <v>42951101</v>
          </cell>
          <cell r="D1834" t="str">
            <v>MENDOCINO 1101</v>
          </cell>
          <cell r="E1834">
            <v>31322</v>
          </cell>
          <cell r="F1834" t="b">
            <v>0</v>
          </cell>
          <cell r="G1834">
            <v>46269.6304952141</v>
          </cell>
          <cell r="H1834">
            <v>9420.0140019199298</v>
          </cell>
        </row>
        <row r="1835">
          <cell r="B1835" t="str">
            <v>MENDOCINO 110137462</v>
          </cell>
          <cell r="C1835">
            <v>42951101</v>
          </cell>
          <cell r="D1835" t="str">
            <v>MENDOCINO 1101</v>
          </cell>
          <cell r="E1835">
            <v>37462</v>
          </cell>
          <cell r="F1835" t="b">
            <v>0</v>
          </cell>
          <cell r="G1835">
            <v>7845.6326248414398</v>
          </cell>
          <cell r="H1835">
            <v>3795.8029514321602</v>
          </cell>
        </row>
        <row r="1836">
          <cell r="B1836" t="str">
            <v>MENDOCINO 1101450</v>
          </cell>
          <cell r="C1836">
            <v>42951101</v>
          </cell>
          <cell r="D1836" t="str">
            <v>MENDOCINO 1101</v>
          </cell>
          <cell r="E1836">
            <v>450</v>
          </cell>
          <cell r="F1836" t="b">
            <v>0</v>
          </cell>
          <cell r="G1836">
            <v>30451.68052066</v>
          </cell>
          <cell r="H1836">
            <v>9311.1997301342908</v>
          </cell>
        </row>
        <row r="1837">
          <cell r="B1837" t="str">
            <v>MENDOCINO 110148750</v>
          </cell>
          <cell r="C1837">
            <v>42951101</v>
          </cell>
          <cell r="D1837" t="str">
            <v>MENDOCINO 1101</v>
          </cell>
          <cell r="E1837">
            <v>48750</v>
          </cell>
          <cell r="F1837" t="b">
            <v>0</v>
          </cell>
          <cell r="G1837">
            <v>28839.2375030326</v>
          </cell>
          <cell r="H1837">
            <v>28839.2375030326</v>
          </cell>
        </row>
        <row r="1838">
          <cell r="B1838" t="str">
            <v>MENDOCINO 1101CB</v>
          </cell>
          <cell r="C1838">
            <v>42951101</v>
          </cell>
          <cell r="D1838" t="str">
            <v>MENDOCINO 1101</v>
          </cell>
          <cell r="E1838" t="str">
            <v>CB</v>
          </cell>
          <cell r="F1838" t="b">
            <v>0</v>
          </cell>
          <cell r="G1838">
            <v>6642.1904315137299</v>
          </cell>
          <cell r="H1838">
            <v>4240.0547690289304</v>
          </cell>
        </row>
        <row r="1839">
          <cell r="B1839" t="str">
            <v>MENLO 110212249</v>
          </cell>
          <cell r="C1839">
            <v>24131102</v>
          </cell>
          <cell r="D1839" t="str">
            <v>MENLO 1102</v>
          </cell>
          <cell r="E1839">
            <v>12249</v>
          </cell>
          <cell r="F1839" t="b">
            <v>0</v>
          </cell>
          <cell r="G1839">
            <v>3869.51749825057</v>
          </cell>
          <cell r="H1839">
            <v>3869.51749825057</v>
          </cell>
        </row>
        <row r="1840">
          <cell r="B1840" t="str">
            <v>MENLO 11028896</v>
          </cell>
          <cell r="C1840">
            <v>24131102</v>
          </cell>
          <cell r="D1840" t="str">
            <v>MENLO 1102</v>
          </cell>
          <cell r="E1840">
            <v>8896</v>
          </cell>
          <cell r="F1840" t="b">
            <v>0</v>
          </cell>
          <cell r="G1840">
            <v>2488.0112479986301</v>
          </cell>
          <cell r="H1840">
            <v>1537.985713581</v>
          </cell>
        </row>
        <row r="1841">
          <cell r="B1841" t="str">
            <v>MENLO 11028952</v>
          </cell>
          <cell r="C1841">
            <v>24131102</v>
          </cell>
          <cell r="D1841" t="str">
            <v>MENLO 1102</v>
          </cell>
          <cell r="E1841">
            <v>8952</v>
          </cell>
          <cell r="F1841" t="b">
            <v>0</v>
          </cell>
          <cell r="G1841">
            <v>10739.4055746825</v>
          </cell>
          <cell r="H1841">
            <v>10739.4055746825</v>
          </cell>
        </row>
        <row r="1842">
          <cell r="B1842" t="str">
            <v>MENLO 11029110</v>
          </cell>
          <cell r="C1842">
            <v>24131102</v>
          </cell>
          <cell r="D1842" t="str">
            <v>MENLO 1102</v>
          </cell>
          <cell r="E1842">
            <v>9110</v>
          </cell>
          <cell r="F1842" t="b">
            <v>0</v>
          </cell>
          <cell r="G1842">
            <v>15217.754449873501</v>
          </cell>
          <cell r="H1842">
            <v>1491.43733496546</v>
          </cell>
        </row>
        <row r="1843">
          <cell r="B1843" t="str">
            <v>MENLO 1102W80</v>
          </cell>
          <cell r="C1843">
            <v>24131102</v>
          </cell>
          <cell r="D1843" t="str">
            <v>MENLO 1102</v>
          </cell>
          <cell r="E1843" t="str">
            <v>W80</v>
          </cell>
          <cell r="F1843" t="b">
            <v>0</v>
          </cell>
          <cell r="G1843">
            <v>30507.2398943761</v>
          </cell>
          <cell r="H1843">
            <v>30491.234478664901</v>
          </cell>
        </row>
        <row r="1844">
          <cell r="B1844" t="str">
            <v>MENLO 11031721</v>
          </cell>
          <cell r="C1844">
            <v>24131103</v>
          </cell>
          <cell r="D1844" t="str">
            <v>MENLO 1103</v>
          </cell>
          <cell r="E1844">
            <v>1721</v>
          </cell>
          <cell r="F1844" t="b">
            <v>0</v>
          </cell>
          <cell r="G1844">
            <v>10927.297294342899</v>
          </cell>
          <cell r="H1844">
            <v>10927.297294342899</v>
          </cell>
        </row>
        <row r="1845">
          <cell r="B1845" t="str">
            <v>MENLO 11037902</v>
          </cell>
          <cell r="C1845">
            <v>24131103</v>
          </cell>
          <cell r="D1845" t="str">
            <v>MENLO 1103</v>
          </cell>
          <cell r="E1845">
            <v>7902</v>
          </cell>
          <cell r="F1845" t="b">
            <v>0</v>
          </cell>
          <cell r="G1845">
            <v>26218.9532384257</v>
          </cell>
          <cell r="H1845">
            <v>18823.955423847001</v>
          </cell>
        </row>
        <row r="1846">
          <cell r="B1846" t="str">
            <v>MENLO 11038512</v>
          </cell>
          <cell r="C1846">
            <v>24131103</v>
          </cell>
          <cell r="D1846" t="str">
            <v>MENLO 1103</v>
          </cell>
          <cell r="E1846">
            <v>8512</v>
          </cell>
          <cell r="F1846" t="b">
            <v>0</v>
          </cell>
          <cell r="G1846">
            <v>39804.531270616499</v>
          </cell>
          <cell r="H1846">
            <v>39804.531270616499</v>
          </cell>
        </row>
        <row r="1847">
          <cell r="B1847" t="str">
            <v>MENLO 11038982</v>
          </cell>
          <cell r="C1847">
            <v>24131103</v>
          </cell>
          <cell r="D1847" t="str">
            <v>MENLO 1103</v>
          </cell>
          <cell r="E1847">
            <v>8982</v>
          </cell>
          <cell r="F1847" t="b">
            <v>0</v>
          </cell>
          <cell r="G1847">
            <v>7434.3823081276396</v>
          </cell>
          <cell r="H1847">
            <v>7434.3823081276396</v>
          </cell>
        </row>
        <row r="1848">
          <cell r="B1848" t="str">
            <v>MERCED FALLS 110222774</v>
          </cell>
          <cell r="C1848">
            <v>252811102</v>
          </cell>
          <cell r="D1848" t="str">
            <v>MERCED FALLS 1102</v>
          </cell>
          <cell r="E1848">
            <v>22774</v>
          </cell>
          <cell r="F1848" t="b">
            <v>0</v>
          </cell>
          <cell r="G1848">
            <v>5970.2452773824298</v>
          </cell>
          <cell r="H1848">
            <v>1624.12467869741</v>
          </cell>
        </row>
        <row r="1849">
          <cell r="B1849" t="str">
            <v>MERCED FALLS 110238748</v>
          </cell>
          <cell r="C1849">
            <v>252811102</v>
          </cell>
          <cell r="D1849" t="str">
            <v>MERCED FALLS 1102</v>
          </cell>
          <cell r="E1849">
            <v>38748</v>
          </cell>
          <cell r="F1849" t="b">
            <v>0</v>
          </cell>
          <cell r="G1849">
            <v>24704.618630213001</v>
          </cell>
          <cell r="H1849">
            <v>24704.618630213001</v>
          </cell>
        </row>
        <row r="1850">
          <cell r="B1850" t="str">
            <v>MERCED FALLS 1102482838</v>
          </cell>
          <cell r="C1850">
            <v>252811102</v>
          </cell>
          <cell r="D1850" t="str">
            <v>MERCED FALLS 1102</v>
          </cell>
          <cell r="E1850">
            <v>482838</v>
          </cell>
          <cell r="F1850" t="b">
            <v>0</v>
          </cell>
          <cell r="G1850">
            <v>17714.344979880199</v>
          </cell>
          <cell r="H1850">
            <v>14284.2610402924</v>
          </cell>
        </row>
        <row r="1851">
          <cell r="B1851" t="str">
            <v>MERCED FALLS 110285002</v>
          </cell>
          <cell r="C1851">
            <v>252811102</v>
          </cell>
          <cell r="D1851" t="str">
            <v>MERCED FALLS 1102</v>
          </cell>
          <cell r="E1851">
            <v>85002</v>
          </cell>
          <cell r="F1851" t="b">
            <v>0</v>
          </cell>
          <cell r="G1851">
            <v>57093.510418943901</v>
          </cell>
          <cell r="H1851">
            <v>57093.510418943901</v>
          </cell>
        </row>
        <row r="1852">
          <cell r="B1852" t="str">
            <v>MERCED FALLS 110287352</v>
          </cell>
          <cell r="C1852">
            <v>252811102</v>
          </cell>
          <cell r="D1852" t="str">
            <v>MERCED FALLS 1102</v>
          </cell>
          <cell r="E1852">
            <v>87352</v>
          </cell>
          <cell r="F1852" t="b">
            <v>0</v>
          </cell>
          <cell r="G1852">
            <v>42830.740397123802</v>
          </cell>
          <cell r="H1852">
            <v>42830.740397123802</v>
          </cell>
        </row>
        <row r="1853">
          <cell r="B1853" t="str">
            <v>MERCED FALLS 11029460</v>
          </cell>
          <cell r="C1853">
            <v>252811102</v>
          </cell>
          <cell r="D1853" t="str">
            <v>MERCED FALLS 1102</v>
          </cell>
          <cell r="E1853">
            <v>9460</v>
          </cell>
          <cell r="F1853" t="b">
            <v>0</v>
          </cell>
          <cell r="G1853">
            <v>18052.532151661799</v>
          </cell>
          <cell r="H1853">
            <v>17926.1920259943</v>
          </cell>
        </row>
        <row r="1854">
          <cell r="B1854" t="str">
            <v>MERCED FALLS 11029470</v>
          </cell>
          <cell r="C1854">
            <v>252811102</v>
          </cell>
          <cell r="D1854" t="str">
            <v>MERCED FALLS 1102</v>
          </cell>
          <cell r="E1854">
            <v>9470</v>
          </cell>
          <cell r="F1854" t="b">
            <v>0</v>
          </cell>
          <cell r="G1854">
            <v>36749.597562294497</v>
          </cell>
          <cell r="H1854">
            <v>36749.597562294497</v>
          </cell>
        </row>
        <row r="1855">
          <cell r="B1855" t="str">
            <v>MESA 11016111</v>
          </cell>
          <cell r="C1855">
            <v>182821101</v>
          </cell>
          <cell r="D1855" t="str">
            <v>MESA 1101</v>
          </cell>
          <cell r="E1855">
            <v>6111</v>
          </cell>
          <cell r="F1855" t="b">
            <v>0</v>
          </cell>
          <cell r="G1855">
            <v>41513.548580394599</v>
          </cell>
          <cell r="H1855">
            <v>39023.901511778196</v>
          </cell>
        </row>
        <row r="1856">
          <cell r="B1856" t="str">
            <v>MESA 11016113</v>
          </cell>
          <cell r="C1856">
            <v>182821101</v>
          </cell>
          <cell r="D1856" t="str">
            <v>MESA 1101</v>
          </cell>
          <cell r="E1856">
            <v>6113</v>
          </cell>
          <cell r="F1856" t="b">
            <v>0</v>
          </cell>
          <cell r="G1856">
            <v>15649.5972152348</v>
          </cell>
          <cell r="H1856">
            <v>2800.3205330838</v>
          </cell>
        </row>
        <row r="1857">
          <cell r="B1857" t="str">
            <v>MESA 1101CB</v>
          </cell>
          <cell r="C1857">
            <v>182821101</v>
          </cell>
          <cell r="D1857" t="str">
            <v>MESA 1101</v>
          </cell>
          <cell r="E1857" t="str">
            <v>CB</v>
          </cell>
          <cell r="F1857" t="b">
            <v>0</v>
          </cell>
          <cell r="G1857">
            <v>40952.416764574897</v>
          </cell>
          <cell r="H1857">
            <v>22299.683070791601</v>
          </cell>
        </row>
        <row r="1858">
          <cell r="B1858" t="str">
            <v>MESA 1101M86</v>
          </cell>
          <cell r="C1858">
            <v>182821101</v>
          </cell>
          <cell r="D1858" t="str">
            <v>MESA 1101</v>
          </cell>
          <cell r="E1858" t="str">
            <v>M86</v>
          </cell>
          <cell r="F1858" t="b">
            <v>0</v>
          </cell>
          <cell r="G1858">
            <v>33517.8053813558</v>
          </cell>
          <cell r="H1858">
            <v>20500.871644145402</v>
          </cell>
        </row>
        <row r="1859">
          <cell r="B1859" t="str">
            <v>MESA 1103126697</v>
          </cell>
          <cell r="C1859">
            <v>182821103</v>
          </cell>
          <cell r="D1859" t="str">
            <v>MESA 1103</v>
          </cell>
          <cell r="E1859">
            <v>126697</v>
          </cell>
          <cell r="F1859" t="b">
            <v>0</v>
          </cell>
          <cell r="G1859">
            <v>1766.12229538629</v>
          </cell>
          <cell r="H1859">
            <v>1641.86304126557</v>
          </cell>
        </row>
        <row r="1860">
          <cell r="B1860" t="str">
            <v>MESA 1103737698</v>
          </cell>
          <cell r="C1860">
            <v>182821103</v>
          </cell>
          <cell r="D1860" t="str">
            <v>MESA 1103</v>
          </cell>
          <cell r="E1860">
            <v>737698</v>
          </cell>
          <cell r="F1860" t="b">
            <v>1</v>
          </cell>
          <cell r="G1860">
            <v>340.82510946684602</v>
          </cell>
          <cell r="H1860">
            <v>324.86188908057602</v>
          </cell>
        </row>
        <row r="1861">
          <cell r="B1861" t="str">
            <v>MESA 1103854149</v>
          </cell>
          <cell r="C1861">
            <v>182821103</v>
          </cell>
          <cell r="D1861" t="str">
            <v>MESA 1103</v>
          </cell>
          <cell r="E1861">
            <v>854149</v>
          </cell>
          <cell r="F1861" t="b">
            <v>0</v>
          </cell>
          <cell r="G1861">
            <v>1703.8848181250801</v>
          </cell>
          <cell r="H1861">
            <v>1563.4442839604901</v>
          </cell>
        </row>
        <row r="1862">
          <cell r="B1862" t="str">
            <v>MESA 1103M72</v>
          </cell>
          <cell r="C1862">
            <v>182821103</v>
          </cell>
          <cell r="D1862" t="str">
            <v>MESA 1103</v>
          </cell>
          <cell r="E1862" t="str">
            <v>M72</v>
          </cell>
          <cell r="F1862" t="b">
            <v>0</v>
          </cell>
          <cell r="G1862">
            <v>24045.3967650745</v>
          </cell>
          <cell r="H1862">
            <v>13551.8370891455</v>
          </cell>
        </row>
        <row r="1863">
          <cell r="B1863" t="str">
            <v>MIDDLETOWN 1101118494</v>
          </cell>
          <cell r="C1863">
            <v>43141101</v>
          </cell>
          <cell r="D1863" t="str">
            <v>MIDDLETOWN 1101</v>
          </cell>
          <cell r="E1863">
            <v>118494</v>
          </cell>
          <cell r="F1863" t="b">
            <v>0</v>
          </cell>
          <cell r="G1863">
            <v>1737.5090414026199</v>
          </cell>
          <cell r="H1863">
            <v>1714.9565259677099</v>
          </cell>
        </row>
        <row r="1864">
          <cell r="B1864" t="str">
            <v>MIDDLETOWN 11011314</v>
          </cell>
          <cell r="C1864">
            <v>43141101</v>
          </cell>
          <cell r="D1864" t="str">
            <v>MIDDLETOWN 1101</v>
          </cell>
          <cell r="E1864">
            <v>1314</v>
          </cell>
          <cell r="F1864" t="b">
            <v>0</v>
          </cell>
          <cell r="G1864">
            <v>1489.21900800771</v>
          </cell>
          <cell r="H1864">
            <v>1489.21900800771</v>
          </cell>
        </row>
        <row r="1865">
          <cell r="B1865" t="str">
            <v>MIDDLETOWN 11011325</v>
          </cell>
          <cell r="C1865">
            <v>43141101</v>
          </cell>
          <cell r="D1865" t="str">
            <v>MIDDLETOWN 1101</v>
          </cell>
          <cell r="E1865">
            <v>1325</v>
          </cell>
          <cell r="F1865" t="b">
            <v>0</v>
          </cell>
          <cell r="G1865">
            <v>13829.549861083</v>
          </cell>
          <cell r="H1865">
            <v>13829.549861083</v>
          </cell>
        </row>
        <row r="1866">
          <cell r="B1866" t="str">
            <v>MIDDLETOWN 1101439572</v>
          </cell>
          <cell r="C1866">
            <v>43141101</v>
          </cell>
          <cell r="D1866" t="str">
            <v>MIDDLETOWN 1101</v>
          </cell>
          <cell r="E1866">
            <v>439572</v>
          </cell>
          <cell r="F1866" t="b">
            <v>0</v>
          </cell>
          <cell r="G1866">
            <v>2069.8544956740202</v>
          </cell>
          <cell r="H1866">
            <v>1977.39781319434</v>
          </cell>
        </row>
        <row r="1867">
          <cell r="B1867" t="str">
            <v>MIDDLETOWN 11014646</v>
          </cell>
          <cell r="C1867">
            <v>43141101</v>
          </cell>
          <cell r="D1867" t="str">
            <v>MIDDLETOWN 1101</v>
          </cell>
          <cell r="E1867">
            <v>4646</v>
          </cell>
          <cell r="F1867" t="b">
            <v>0</v>
          </cell>
          <cell r="G1867">
            <v>29868.2950802622</v>
          </cell>
          <cell r="H1867">
            <v>29868.2950802622</v>
          </cell>
        </row>
        <row r="1868">
          <cell r="B1868" t="str">
            <v>MIDDLETOWN 1101481876</v>
          </cell>
          <cell r="C1868">
            <v>43141101</v>
          </cell>
          <cell r="D1868" t="str">
            <v>MIDDLETOWN 1101</v>
          </cell>
          <cell r="E1868">
            <v>481876</v>
          </cell>
          <cell r="F1868" t="b">
            <v>0</v>
          </cell>
          <cell r="G1868">
            <v>2559.03748206303</v>
          </cell>
          <cell r="H1868">
            <v>1373.1161931793099</v>
          </cell>
        </row>
        <row r="1869">
          <cell r="B1869" t="str">
            <v>MIDDLETOWN 110148212</v>
          </cell>
          <cell r="C1869">
            <v>43141101</v>
          </cell>
          <cell r="D1869" t="str">
            <v>MIDDLETOWN 1101</v>
          </cell>
          <cell r="E1869">
            <v>48212</v>
          </cell>
          <cell r="F1869" t="b">
            <v>0</v>
          </cell>
          <cell r="G1869">
            <v>17385.813734695301</v>
          </cell>
          <cell r="H1869">
            <v>17215.2669466521</v>
          </cell>
        </row>
        <row r="1870">
          <cell r="B1870" t="str">
            <v>MIDDLETOWN 1101548</v>
          </cell>
          <cell r="C1870">
            <v>43141101</v>
          </cell>
          <cell r="D1870" t="str">
            <v>MIDDLETOWN 1101</v>
          </cell>
          <cell r="E1870">
            <v>548</v>
          </cell>
          <cell r="F1870" t="b">
            <v>0</v>
          </cell>
          <cell r="G1870">
            <v>45554.629029877397</v>
          </cell>
          <cell r="H1870">
            <v>44099.778858480902</v>
          </cell>
        </row>
        <row r="1871">
          <cell r="B1871" t="str">
            <v>MIDDLETOWN 1101612</v>
          </cell>
          <cell r="C1871">
            <v>43141101</v>
          </cell>
          <cell r="D1871" t="str">
            <v>MIDDLETOWN 1101</v>
          </cell>
          <cell r="E1871">
            <v>612</v>
          </cell>
          <cell r="F1871" t="b">
            <v>0</v>
          </cell>
          <cell r="G1871">
            <v>6362.70018506824</v>
          </cell>
          <cell r="H1871">
            <v>6362.70018506824</v>
          </cell>
        </row>
        <row r="1872">
          <cell r="B1872" t="str">
            <v>MIDDLETOWN 1101614</v>
          </cell>
          <cell r="C1872">
            <v>43141101</v>
          </cell>
          <cell r="D1872" t="str">
            <v>MIDDLETOWN 1101</v>
          </cell>
          <cell r="E1872">
            <v>614</v>
          </cell>
          <cell r="F1872" t="b">
            <v>0</v>
          </cell>
          <cell r="G1872">
            <v>2222.7418943770399</v>
          </cell>
          <cell r="H1872">
            <v>2222.7418943770399</v>
          </cell>
        </row>
        <row r="1873">
          <cell r="B1873" t="str">
            <v>MIDDLETOWN 1101644756</v>
          </cell>
          <cell r="C1873">
            <v>43141101</v>
          </cell>
          <cell r="D1873" t="str">
            <v>MIDDLETOWN 1101</v>
          </cell>
          <cell r="E1873">
            <v>644756</v>
          </cell>
          <cell r="F1873" t="b">
            <v>0</v>
          </cell>
          <cell r="G1873">
            <v>31848.175271153701</v>
          </cell>
          <cell r="H1873">
            <v>27875.893239098899</v>
          </cell>
        </row>
        <row r="1874">
          <cell r="B1874" t="str">
            <v>MIDDLETOWN 1101932140</v>
          </cell>
          <cell r="C1874">
            <v>43141101</v>
          </cell>
          <cell r="D1874" t="str">
            <v>MIDDLETOWN 1101</v>
          </cell>
          <cell r="E1874">
            <v>932140</v>
          </cell>
          <cell r="F1874" t="b">
            <v>1</v>
          </cell>
          <cell r="G1874">
            <v>1542.2381781328299</v>
          </cell>
          <cell r="H1874">
            <v>861.70567040211199</v>
          </cell>
        </row>
        <row r="1875">
          <cell r="B1875" t="str">
            <v>MIDDLETOWN 1101CB</v>
          </cell>
          <cell r="C1875">
            <v>43141101</v>
          </cell>
          <cell r="D1875" t="str">
            <v>MIDDLETOWN 1101</v>
          </cell>
          <cell r="E1875" t="str">
            <v>CB</v>
          </cell>
          <cell r="F1875" t="b">
            <v>0</v>
          </cell>
          <cell r="G1875">
            <v>22365.461526082101</v>
          </cell>
          <cell r="H1875">
            <v>7612.1603822294801</v>
          </cell>
        </row>
        <row r="1876">
          <cell r="B1876" t="str">
            <v>MIDDLETOWN 11021312</v>
          </cell>
          <cell r="C1876">
            <v>43141102</v>
          </cell>
          <cell r="D1876" t="str">
            <v>MIDDLETOWN 1102</v>
          </cell>
          <cell r="E1876">
            <v>1312</v>
          </cell>
          <cell r="F1876" t="b">
            <v>0</v>
          </cell>
          <cell r="G1876">
            <v>15822.879483861299</v>
          </cell>
          <cell r="H1876">
            <v>15822.879483861299</v>
          </cell>
        </row>
        <row r="1877">
          <cell r="B1877" t="str">
            <v>MIDDLETOWN 1102302610</v>
          </cell>
          <cell r="C1877">
            <v>43141102</v>
          </cell>
          <cell r="D1877" t="str">
            <v>MIDDLETOWN 1102</v>
          </cell>
          <cell r="E1877">
            <v>302610</v>
          </cell>
          <cell r="F1877" t="b">
            <v>0</v>
          </cell>
          <cell r="G1877">
            <v>9188.9356736224199</v>
          </cell>
          <cell r="H1877">
            <v>7571.5921334295999</v>
          </cell>
        </row>
        <row r="1878">
          <cell r="B1878" t="str">
            <v>MIDDLETOWN 1102414</v>
          </cell>
          <cell r="C1878">
            <v>43141102</v>
          </cell>
          <cell r="D1878" t="str">
            <v>MIDDLETOWN 1102</v>
          </cell>
          <cell r="E1878">
            <v>414</v>
          </cell>
          <cell r="F1878" t="b">
            <v>0</v>
          </cell>
          <cell r="G1878">
            <v>18899.455027186301</v>
          </cell>
          <cell r="H1878">
            <v>9544.4246613972191</v>
          </cell>
        </row>
        <row r="1879">
          <cell r="B1879" t="str">
            <v>MIDDLETOWN 1102514</v>
          </cell>
          <cell r="C1879">
            <v>43141102</v>
          </cell>
          <cell r="D1879" t="str">
            <v>MIDDLETOWN 1102</v>
          </cell>
          <cell r="E1879">
            <v>514</v>
          </cell>
          <cell r="F1879" t="b">
            <v>0</v>
          </cell>
          <cell r="G1879">
            <v>8494.8760420642102</v>
          </cell>
          <cell r="H1879">
            <v>5391.2208031310602</v>
          </cell>
        </row>
        <row r="1880">
          <cell r="B1880" t="str">
            <v>MIDDLETOWN 1102878</v>
          </cell>
          <cell r="C1880">
            <v>43141102</v>
          </cell>
          <cell r="D1880" t="str">
            <v>MIDDLETOWN 1102</v>
          </cell>
          <cell r="E1880">
            <v>878</v>
          </cell>
          <cell r="F1880" t="b">
            <v>0</v>
          </cell>
          <cell r="G1880">
            <v>9206.6572132508409</v>
          </cell>
          <cell r="H1880">
            <v>5430.6653970136304</v>
          </cell>
        </row>
        <row r="1881">
          <cell r="B1881" t="str">
            <v>MIDDLETOWN 1102998</v>
          </cell>
          <cell r="C1881">
            <v>43141102</v>
          </cell>
          <cell r="D1881" t="str">
            <v>MIDDLETOWN 1102</v>
          </cell>
          <cell r="E1881">
            <v>998</v>
          </cell>
          <cell r="F1881" t="b">
            <v>0</v>
          </cell>
          <cell r="G1881">
            <v>27408.003054353801</v>
          </cell>
          <cell r="H1881">
            <v>23900.855024518001</v>
          </cell>
        </row>
        <row r="1882">
          <cell r="B1882" t="str">
            <v>MIDDLETOWN 1102CB</v>
          </cell>
          <cell r="C1882">
            <v>43141102</v>
          </cell>
          <cell r="D1882" t="str">
            <v>MIDDLETOWN 1102</v>
          </cell>
          <cell r="E1882" t="str">
            <v>CB</v>
          </cell>
          <cell r="F1882" t="b">
            <v>1</v>
          </cell>
          <cell r="G1882">
            <v>1420.4117020767201</v>
          </cell>
          <cell r="H1882">
            <v>752.03362013646301</v>
          </cell>
        </row>
        <row r="1883">
          <cell r="B1883" t="str">
            <v>MIDDLETOWN 1103830</v>
          </cell>
          <cell r="C1883">
            <v>43141103</v>
          </cell>
          <cell r="D1883" t="str">
            <v>MIDDLETOWN 1103</v>
          </cell>
          <cell r="E1883">
            <v>830</v>
          </cell>
          <cell r="F1883" t="b">
            <v>0</v>
          </cell>
          <cell r="G1883">
            <v>62803.217485777801</v>
          </cell>
          <cell r="H1883">
            <v>44622.1036350863</v>
          </cell>
        </row>
        <row r="1884">
          <cell r="B1884" t="str">
            <v>MIDDLETOWN 1103CB</v>
          </cell>
          <cell r="C1884">
            <v>43141103</v>
          </cell>
          <cell r="D1884" t="str">
            <v>MIDDLETOWN 1103</v>
          </cell>
          <cell r="E1884" t="str">
            <v>CB</v>
          </cell>
          <cell r="F1884" t="b">
            <v>1</v>
          </cell>
          <cell r="G1884">
            <v>289.83985422131599</v>
          </cell>
          <cell r="H1884">
            <v>85.2366132613882</v>
          </cell>
        </row>
        <row r="1885">
          <cell r="B1885" t="str">
            <v>MILPITAS 110598568</v>
          </cell>
          <cell r="C1885">
            <v>82831105</v>
          </cell>
          <cell r="D1885" t="str">
            <v>MILPITAS 1105</v>
          </cell>
          <cell r="E1885">
            <v>98568</v>
          </cell>
          <cell r="F1885" t="b">
            <v>1</v>
          </cell>
          <cell r="G1885">
            <v>2444.49260617561</v>
          </cell>
          <cell r="H1885">
            <v>168.14213218924201</v>
          </cell>
        </row>
        <row r="1886">
          <cell r="B1886" t="str">
            <v>MILPITAS 1108342498</v>
          </cell>
          <cell r="C1886">
            <v>82831108</v>
          </cell>
          <cell r="D1886" t="str">
            <v>MILPITAS 1108</v>
          </cell>
          <cell r="E1886">
            <v>342498</v>
          </cell>
          <cell r="F1886" t="b">
            <v>1</v>
          </cell>
          <cell r="G1886">
            <v>1151.7335859049499</v>
          </cell>
          <cell r="H1886">
            <v>49.007247501488997</v>
          </cell>
        </row>
        <row r="1887">
          <cell r="B1887" t="str">
            <v>MILPITAS 110962157</v>
          </cell>
          <cell r="C1887">
            <v>82831109</v>
          </cell>
          <cell r="D1887" t="str">
            <v>MILPITAS 1109</v>
          </cell>
          <cell r="E1887">
            <v>62157</v>
          </cell>
          <cell r="F1887" t="b">
            <v>1</v>
          </cell>
          <cell r="G1887">
            <v>72.101477183319105</v>
          </cell>
          <cell r="H1887">
            <v>72.101477183319105</v>
          </cell>
        </row>
        <row r="1888">
          <cell r="B1888" t="str">
            <v>MILPITAS 1109XR044</v>
          </cell>
          <cell r="C1888">
            <v>82831109</v>
          </cell>
          <cell r="D1888" t="str">
            <v>MILPITAS 1109</v>
          </cell>
          <cell r="E1888" t="str">
            <v>XR044</v>
          </cell>
          <cell r="F1888" t="b">
            <v>1</v>
          </cell>
          <cell r="G1888">
            <v>3013.9348593270001</v>
          </cell>
          <cell r="H1888">
            <v>677.80181323905299</v>
          </cell>
        </row>
        <row r="1889">
          <cell r="B1889" t="str">
            <v>MILPITAS 1109XR082</v>
          </cell>
          <cell r="C1889">
            <v>82831109</v>
          </cell>
          <cell r="D1889" t="str">
            <v>MILPITAS 1109</v>
          </cell>
          <cell r="E1889" t="str">
            <v>XR082</v>
          </cell>
          <cell r="F1889" t="b">
            <v>0</v>
          </cell>
          <cell r="G1889">
            <v>32889.548416135403</v>
          </cell>
          <cell r="H1889">
            <v>31674.502543236398</v>
          </cell>
        </row>
        <row r="1890">
          <cell r="B1890" t="str">
            <v>MILPITAS 1109XR374</v>
          </cell>
          <cell r="C1890">
            <v>82831109</v>
          </cell>
          <cell r="D1890" t="str">
            <v>MILPITAS 1109</v>
          </cell>
          <cell r="E1890" t="str">
            <v>XR374</v>
          </cell>
          <cell r="F1890" t="b">
            <v>1</v>
          </cell>
          <cell r="G1890">
            <v>4853.8507704979902</v>
          </cell>
          <cell r="H1890">
            <v>763.90316321032799</v>
          </cell>
        </row>
        <row r="1891">
          <cell r="B1891" t="str">
            <v>MILPITAS 1109XR524</v>
          </cell>
          <cell r="C1891">
            <v>82831109</v>
          </cell>
          <cell r="D1891" t="str">
            <v>MILPITAS 1109</v>
          </cell>
          <cell r="E1891" t="str">
            <v>XR524</v>
          </cell>
          <cell r="F1891" t="b">
            <v>0</v>
          </cell>
          <cell r="G1891">
            <v>17990.1420251743</v>
          </cell>
          <cell r="H1891">
            <v>17523.666573685099</v>
          </cell>
        </row>
        <row r="1892">
          <cell r="B1892" t="str">
            <v>MIRABEL 1101116</v>
          </cell>
          <cell r="C1892">
            <v>42091101</v>
          </cell>
          <cell r="D1892" t="str">
            <v>MIRABEL 1101</v>
          </cell>
          <cell r="E1892">
            <v>116</v>
          </cell>
          <cell r="F1892" t="b">
            <v>0</v>
          </cell>
          <cell r="G1892">
            <v>17433.647693868199</v>
          </cell>
          <cell r="H1892">
            <v>16625.880847870099</v>
          </cell>
        </row>
        <row r="1893">
          <cell r="B1893" t="str">
            <v>MIRABEL 1101201156</v>
          </cell>
          <cell r="C1893">
            <v>42091101</v>
          </cell>
          <cell r="D1893" t="str">
            <v>MIRABEL 1101</v>
          </cell>
          <cell r="E1893">
            <v>201156</v>
          </cell>
          <cell r="F1893" t="b">
            <v>0</v>
          </cell>
          <cell r="G1893">
            <v>2780.2157730130898</v>
          </cell>
          <cell r="H1893">
            <v>2335.0863379866</v>
          </cell>
        </row>
        <row r="1894">
          <cell r="B1894" t="str">
            <v>MIRABEL 1101228</v>
          </cell>
          <cell r="C1894">
            <v>42091101</v>
          </cell>
          <cell r="D1894" t="str">
            <v>MIRABEL 1101</v>
          </cell>
          <cell r="E1894">
            <v>228</v>
          </cell>
          <cell r="F1894" t="b">
            <v>0</v>
          </cell>
          <cell r="G1894">
            <v>15665.253401882101</v>
          </cell>
          <cell r="H1894">
            <v>3403.0120207104301</v>
          </cell>
        </row>
        <row r="1895">
          <cell r="B1895" t="str">
            <v>MIRABEL 1101253331</v>
          </cell>
          <cell r="C1895">
            <v>42091101</v>
          </cell>
          <cell r="D1895" t="str">
            <v>MIRABEL 1101</v>
          </cell>
          <cell r="E1895">
            <v>253331</v>
          </cell>
          <cell r="F1895" t="b">
            <v>1</v>
          </cell>
          <cell r="G1895">
            <v>639.83942675141395</v>
          </cell>
          <cell r="H1895">
            <v>107.658448522215</v>
          </cell>
        </row>
        <row r="1896">
          <cell r="B1896" t="str">
            <v>MIRABEL 1101298</v>
          </cell>
          <cell r="C1896">
            <v>42091101</v>
          </cell>
          <cell r="D1896" t="str">
            <v>MIRABEL 1101</v>
          </cell>
          <cell r="E1896">
            <v>298</v>
          </cell>
          <cell r="F1896" t="b">
            <v>0</v>
          </cell>
          <cell r="G1896">
            <v>20337.804110658799</v>
          </cell>
          <cell r="H1896">
            <v>20253.832314351799</v>
          </cell>
        </row>
        <row r="1897">
          <cell r="B1897" t="str">
            <v>MIRABEL 11014859</v>
          </cell>
          <cell r="C1897">
            <v>42091101</v>
          </cell>
          <cell r="D1897" t="str">
            <v>MIRABEL 1101</v>
          </cell>
          <cell r="E1897">
            <v>4859</v>
          </cell>
          <cell r="F1897" t="b">
            <v>0</v>
          </cell>
          <cell r="G1897">
            <v>3008.5895105193299</v>
          </cell>
          <cell r="H1897">
            <v>3008.5895105193299</v>
          </cell>
        </row>
        <row r="1898">
          <cell r="B1898" t="str">
            <v>MIRABEL 1101688780</v>
          </cell>
          <cell r="C1898">
            <v>42091101</v>
          </cell>
          <cell r="D1898" t="str">
            <v>MIRABEL 1101</v>
          </cell>
          <cell r="E1898">
            <v>688780</v>
          </cell>
          <cell r="F1898" t="b">
            <v>1</v>
          </cell>
          <cell r="G1898">
            <v>2079.7156381126802</v>
          </cell>
          <cell r="H1898">
            <v>922.89584729636897</v>
          </cell>
        </row>
        <row r="1899">
          <cell r="B1899" t="str">
            <v>MIRABEL 1101781318</v>
          </cell>
          <cell r="C1899">
            <v>42091101</v>
          </cell>
          <cell r="D1899" t="str">
            <v>MIRABEL 1101</v>
          </cell>
          <cell r="E1899">
            <v>781318</v>
          </cell>
          <cell r="F1899" t="b">
            <v>1</v>
          </cell>
          <cell r="G1899">
            <v>172.13770954059501</v>
          </cell>
          <cell r="H1899">
            <v>172.13770954059501</v>
          </cell>
        </row>
        <row r="1900">
          <cell r="B1900" t="str">
            <v>MIRABEL 1101CB</v>
          </cell>
          <cell r="C1900">
            <v>42091101</v>
          </cell>
          <cell r="D1900" t="str">
            <v>MIRABEL 1101</v>
          </cell>
          <cell r="E1900" t="str">
            <v>CB</v>
          </cell>
          <cell r="F1900" t="b">
            <v>1</v>
          </cell>
          <cell r="G1900">
            <v>8192.7884906313902</v>
          </cell>
          <cell r="H1900">
            <v>792.34478947594005</v>
          </cell>
        </row>
        <row r="1901">
          <cell r="B1901" t="str">
            <v>MIRABEL 11021139</v>
          </cell>
          <cell r="C1901">
            <v>42091102</v>
          </cell>
          <cell r="D1901" t="str">
            <v>MIRABEL 1102</v>
          </cell>
          <cell r="E1901">
            <v>1139</v>
          </cell>
          <cell r="F1901" t="b">
            <v>0</v>
          </cell>
          <cell r="G1901">
            <v>3291.1127531327902</v>
          </cell>
          <cell r="H1901">
            <v>3291.1127531327902</v>
          </cell>
        </row>
        <row r="1902">
          <cell r="B1902" t="str">
            <v>MIRABEL 110213597</v>
          </cell>
          <cell r="C1902">
            <v>42091102</v>
          </cell>
          <cell r="D1902" t="str">
            <v>MIRABEL 1102</v>
          </cell>
          <cell r="E1902">
            <v>13597</v>
          </cell>
          <cell r="F1902" t="b">
            <v>1</v>
          </cell>
          <cell r="G1902">
            <v>751.81596492147105</v>
          </cell>
          <cell r="H1902">
            <v>751.81596492147105</v>
          </cell>
        </row>
        <row r="1903">
          <cell r="B1903" t="str">
            <v>MIRABEL 11022043</v>
          </cell>
          <cell r="C1903">
            <v>42091102</v>
          </cell>
          <cell r="D1903" t="str">
            <v>MIRABEL 1102</v>
          </cell>
          <cell r="E1903">
            <v>2043</v>
          </cell>
          <cell r="F1903" t="b">
            <v>1</v>
          </cell>
          <cell r="G1903">
            <v>902.22380418133901</v>
          </cell>
          <cell r="H1903">
            <v>902.22380418133901</v>
          </cell>
        </row>
        <row r="1904">
          <cell r="B1904" t="str">
            <v>MIRABEL 1102332</v>
          </cell>
          <cell r="C1904">
            <v>42091102</v>
          </cell>
          <cell r="D1904" t="str">
            <v>MIRABEL 1102</v>
          </cell>
          <cell r="E1904">
            <v>332</v>
          </cell>
          <cell r="F1904" t="b">
            <v>0</v>
          </cell>
          <cell r="G1904">
            <v>9174.8237783758195</v>
          </cell>
          <cell r="H1904">
            <v>9174.8237783758195</v>
          </cell>
        </row>
        <row r="1905">
          <cell r="B1905" t="str">
            <v>MIRABEL 1102334</v>
          </cell>
          <cell r="C1905">
            <v>42091102</v>
          </cell>
          <cell r="D1905" t="str">
            <v>MIRABEL 1102</v>
          </cell>
          <cell r="E1905">
            <v>334</v>
          </cell>
          <cell r="F1905" t="b">
            <v>0</v>
          </cell>
          <cell r="G1905">
            <v>14855.851360787299</v>
          </cell>
          <cell r="H1905">
            <v>9584.4637133830493</v>
          </cell>
        </row>
        <row r="1906">
          <cell r="B1906" t="str">
            <v>MIRABEL 110238514</v>
          </cell>
          <cell r="C1906">
            <v>42091102</v>
          </cell>
          <cell r="D1906" t="str">
            <v>MIRABEL 1102</v>
          </cell>
          <cell r="E1906">
            <v>38514</v>
          </cell>
          <cell r="F1906" t="b">
            <v>0</v>
          </cell>
          <cell r="G1906">
            <v>17257.247272192999</v>
          </cell>
          <cell r="H1906">
            <v>17257.247272192999</v>
          </cell>
        </row>
        <row r="1907">
          <cell r="B1907" t="str">
            <v>MIRABEL 1102503000</v>
          </cell>
          <cell r="C1907">
            <v>42091102</v>
          </cell>
          <cell r="D1907" t="str">
            <v>MIRABEL 1102</v>
          </cell>
          <cell r="E1907">
            <v>503000</v>
          </cell>
          <cell r="F1907" t="b">
            <v>0</v>
          </cell>
          <cell r="G1907">
            <v>7554.2207743116496</v>
          </cell>
          <cell r="H1907">
            <v>7373.1309885546598</v>
          </cell>
        </row>
        <row r="1908">
          <cell r="B1908" t="str">
            <v>MIRABEL 1102524356</v>
          </cell>
          <cell r="C1908">
            <v>42091102</v>
          </cell>
          <cell r="D1908" t="str">
            <v>MIRABEL 1102</v>
          </cell>
          <cell r="E1908">
            <v>524356</v>
          </cell>
          <cell r="F1908" t="b">
            <v>0</v>
          </cell>
          <cell r="G1908">
            <v>4107.6805226397501</v>
          </cell>
          <cell r="H1908">
            <v>2088.1165687395301</v>
          </cell>
        </row>
        <row r="1909">
          <cell r="B1909" t="str">
            <v>MIRABEL 110257840</v>
          </cell>
          <cell r="C1909">
            <v>42091102</v>
          </cell>
          <cell r="D1909" t="str">
            <v>MIRABEL 1102</v>
          </cell>
          <cell r="E1909">
            <v>57840</v>
          </cell>
          <cell r="F1909" t="b">
            <v>0</v>
          </cell>
          <cell r="G1909">
            <v>4238.9330689785902</v>
          </cell>
          <cell r="H1909">
            <v>4238.9330689785902</v>
          </cell>
        </row>
        <row r="1910">
          <cell r="B1910" t="str">
            <v>MIRABEL 11027347</v>
          </cell>
          <cell r="C1910">
            <v>42091102</v>
          </cell>
          <cell r="D1910" t="str">
            <v>MIRABEL 1102</v>
          </cell>
          <cell r="E1910">
            <v>7347</v>
          </cell>
          <cell r="F1910" t="b">
            <v>0</v>
          </cell>
          <cell r="G1910">
            <v>1315.37576732873</v>
          </cell>
          <cell r="H1910">
            <v>1315.37576732873</v>
          </cell>
        </row>
        <row r="1911">
          <cell r="B1911" t="str">
            <v>MIRABEL 11027401</v>
          </cell>
          <cell r="C1911">
            <v>42091102</v>
          </cell>
          <cell r="D1911" t="str">
            <v>MIRABEL 1102</v>
          </cell>
          <cell r="E1911">
            <v>7401</v>
          </cell>
          <cell r="F1911" t="b">
            <v>0</v>
          </cell>
          <cell r="G1911">
            <v>1710.0335816248601</v>
          </cell>
          <cell r="H1911">
            <v>1710.0335816248601</v>
          </cell>
        </row>
        <row r="1912">
          <cell r="B1912" t="str">
            <v>MIRABEL 1102841</v>
          </cell>
          <cell r="C1912">
            <v>42091102</v>
          </cell>
          <cell r="D1912" t="str">
            <v>MIRABEL 1102</v>
          </cell>
          <cell r="E1912">
            <v>841</v>
          </cell>
          <cell r="F1912" t="b">
            <v>0</v>
          </cell>
          <cell r="G1912">
            <v>1307.0395766721399</v>
          </cell>
          <cell r="H1912">
            <v>1307.0395766721399</v>
          </cell>
        </row>
        <row r="1913">
          <cell r="B1913" t="str">
            <v>MIRABEL 110286326</v>
          </cell>
          <cell r="C1913">
            <v>42091102</v>
          </cell>
          <cell r="D1913" t="str">
            <v>MIRABEL 1102</v>
          </cell>
          <cell r="E1913">
            <v>86326</v>
          </cell>
          <cell r="F1913" t="b">
            <v>0</v>
          </cell>
          <cell r="G1913">
            <v>1145.9959879656201</v>
          </cell>
          <cell r="H1913">
            <v>1133.0955485008301</v>
          </cell>
        </row>
        <row r="1914">
          <cell r="B1914" t="str">
            <v>MIRABEL 1102CB</v>
          </cell>
          <cell r="C1914">
            <v>42091102</v>
          </cell>
          <cell r="D1914" t="str">
            <v>MIRABEL 1102</v>
          </cell>
          <cell r="E1914" t="str">
            <v>CB</v>
          </cell>
          <cell r="F1914" t="b">
            <v>1</v>
          </cell>
          <cell r="G1914">
            <v>10759.640985115801</v>
          </cell>
          <cell r="H1914">
            <v>358.85566272717199</v>
          </cell>
        </row>
        <row r="1915">
          <cell r="B1915" t="str">
            <v>MIWUK 170110600</v>
          </cell>
          <cell r="C1915">
            <v>163661701</v>
          </cell>
          <cell r="D1915" t="str">
            <v>MIWUK 1701</v>
          </cell>
          <cell r="E1915">
            <v>10600</v>
          </cell>
          <cell r="F1915" t="b">
            <v>0</v>
          </cell>
          <cell r="G1915">
            <v>21367.068809303299</v>
          </cell>
          <cell r="H1915">
            <v>21367.068809303299</v>
          </cell>
        </row>
        <row r="1916">
          <cell r="B1916" t="str">
            <v>MIWUK 170111800</v>
          </cell>
          <cell r="C1916">
            <v>163661701</v>
          </cell>
          <cell r="D1916" t="str">
            <v>MIWUK 1701</v>
          </cell>
          <cell r="E1916">
            <v>11800</v>
          </cell>
          <cell r="F1916" t="b">
            <v>0</v>
          </cell>
          <cell r="G1916">
            <v>15325.446792848799</v>
          </cell>
          <cell r="H1916">
            <v>15325.446792848799</v>
          </cell>
        </row>
        <row r="1917">
          <cell r="B1917" t="str">
            <v>MIWUK 170153038</v>
          </cell>
          <cell r="C1917">
            <v>163661701</v>
          </cell>
          <cell r="D1917" t="str">
            <v>MIWUK 1701</v>
          </cell>
          <cell r="E1917">
            <v>53038</v>
          </cell>
          <cell r="F1917" t="b">
            <v>0</v>
          </cell>
          <cell r="G1917">
            <v>10729.355460065901</v>
          </cell>
          <cell r="H1917">
            <v>10729.355460065901</v>
          </cell>
        </row>
        <row r="1918">
          <cell r="B1918" t="str">
            <v>MIWUK 170179118</v>
          </cell>
          <cell r="C1918">
            <v>163661701</v>
          </cell>
          <cell r="D1918" t="str">
            <v>MIWUK 1701</v>
          </cell>
          <cell r="E1918">
            <v>79118</v>
          </cell>
          <cell r="F1918" t="b">
            <v>1</v>
          </cell>
          <cell r="G1918">
            <v>31.156363681287999</v>
          </cell>
          <cell r="H1918">
            <v>31.156363681287999</v>
          </cell>
        </row>
        <row r="1919">
          <cell r="B1919" t="str">
            <v>MIWUK 17018050</v>
          </cell>
          <cell r="C1919">
            <v>163661701</v>
          </cell>
          <cell r="D1919" t="str">
            <v>MIWUK 1701</v>
          </cell>
          <cell r="E1919">
            <v>8050</v>
          </cell>
          <cell r="F1919" t="b">
            <v>0</v>
          </cell>
          <cell r="G1919">
            <v>19488.304518601701</v>
          </cell>
          <cell r="H1919">
            <v>19488.304518601701</v>
          </cell>
        </row>
        <row r="1920">
          <cell r="B1920" t="str">
            <v>MIWUK 170193062</v>
          </cell>
          <cell r="C1920">
            <v>163661701</v>
          </cell>
          <cell r="D1920" t="str">
            <v>MIWUK 1701</v>
          </cell>
          <cell r="E1920">
            <v>93062</v>
          </cell>
          <cell r="F1920" t="b">
            <v>0</v>
          </cell>
          <cell r="G1920">
            <v>13326.255928608</v>
          </cell>
          <cell r="H1920">
            <v>13326.255928608</v>
          </cell>
        </row>
        <row r="1921">
          <cell r="B1921" t="str">
            <v>MIWUK 1701953336</v>
          </cell>
          <cell r="C1921">
            <v>163661701</v>
          </cell>
          <cell r="D1921" t="str">
            <v>MIWUK 1701</v>
          </cell>
          <cell r="E1921">
            <v>953336</v>
          </cell>
          <cell r="F1921" t="b">
            <v>0</v>
          </cell>
          <cell r="G1921">
            <v>19079.613635157701</v>
          </cell>
          <cell r="H1921">
            <v>19079.613635157701</v>
          </cell>
        </row>
        <row r="1922">
          <cell r="B1922" t="str">
            <v>MIWUK 1701CB</v>
          </cell>
          <cell r="C1922">
            <v>163661701</v>
          </cell>
          <cell r="D1922" t="str">
            <v>MIWUK 1701</v>
          </cell>
          <cell r="E1922" t="str">
            <v>CB</v>
          </cell>
          <cell r="F1922" t="b">
            <v>0</v>
          </cell>
          <cell r="G1922">
            <v>26145.298182643401</v>
          </cell>
          <cell r="H1922">
            <v>26145.298182643401</v>
          </cell>
        </row>
        <row r="1923">
          <cell r="B1923" t="str">
            <v>MIWUK 17021808</v>
          </cell>
          <cell r="C1923">
            <v>163661702</v>
          </cell>
          <cell r="D1923" t="str">
            <v>MIWUK 1702</v>
          </cell>
          <cell r="E1923">
            <v>1808</v>
          </cell>
          <cell r="F1923" t="b">
            <v>0</v>
          </cell>
          <cell r="G1923">
            <v>2949.8139390165302</v>
          </cell>
          <cell r="H1923">
            <v>2949.8139390165302</v>
          </cell>
        </row>
        <row r="1924">
          <cell r="B1924" t="str">
            <v>MIWUK 170219772</v>
          </cell>
          <cell r="C1924">
            <v>163661702</v>
          </cell>
          <cell r="D1924" t="str">
            <v>MIWUK 1702</v>
          </cell>
          <cell r="E1924">
            <v>19772</v>
          </cell>
          <cell r="F1924" t="b">
            <v>0</v>
          </cell>
          <cell r="G1924">
            <v>6198.5937904535904</v>
          </cell>
          <cell r="H1924">
            <v>6198.5937904535904</v>
          </cell>
        </row>
        <row r="1925">
          <cell r="B1925" t="str">
            <v>MIWUK 170236888</v>
          </cell>
          <cell r="C1925">
            <v>163661702</v>
          </cell>
          <cell r="D1925" t="str">
            <v>MIWUK 1702</v>
          </cell>
          <cell r="E1925">
            <v>36888</v>
          </cell>
          <cell r="F1925" t="b">
            <v>1</v>
          </cell>
          <cell r="G1925">
            <v>977.91209146243398</v>
          </cell>
          <cell r="H1925">
            <v>977.91209146243398</v>
          </cell>
        </row>
        <row r="1926">
          <cell r="B1926" t="str">
            <v>MIWUK 170238218</v>
          </cell>
          <cell r="C1926">
            <v>163661702</v>
          </cell>
          <cell r="D1926" t="str">
            <v>MIWUK 1702</v>
          </cell>
          <cell r="E1926">
            <v>38218</v>
          </cell>
          <cell r="F1926" t="b">
            <v>0</v>
          </cell>
          <cell r="G1926">
            <v>17605.056373927098</v>
          </cell>
          <cell r="H1926">
            <v>17605.056373927098</v>
          </cell>
        </row>
        <row r="1927">
          <cell r="B1927" t="str">
            <v>MIWUK 170247143</v>
          </cell>
          <cell r="C1927">
            <v>163661702</v>
          </cell>
          <cell r="D1927" t="str">
            <v>MIWUK 1702</v>
          </cell>
          <cell r="E1927">
            <v>47143</v>
          </cell>
          <cell r="F1927" t="b">
            <v>0</v>
          </cell>
          <cell r="G1927">
            <v>7882.6346189655796</v>
          </cell>
          <cell r="H1927">
            <v>7882.6346189655796</v>
          </cell>
        </row>
        <row r="1928">
          <cell r="B1928" t="str">
            <v>MIWUK 1702531976</v>
          </cell>
          <cell r="C1928">
            <v>163661702</v>
          </cell>
          <cell r="D1928" t="str">
            <v>MIWUK 1702</v>
          </cell>
          <cell r="E1928">
            <v>531976</v>
          </cell>
          <cell r="F1928" t="b">
            <v>0</v>
          </cell>
          <cell r="G1928">
            <v>2102.4834504528499</v>
          </cell>
          <cell r="H1928">
            <v>2102.4834504528499</v>
          </cell>
        </row>
        <row r="1929">
          <cell r="B1929" t="str">
            <v>MIWUK 17028090</v>
          </cell>
          <cell r="C1929">
            <v>163661702</v>
          </cell>
          <cell r="D1929" t="str">
            <v>MIWUK 1702</v>
          </cell>
          <cell r="E1929">
            <v>8090</v>
          </cell>
          <cell r="F1929" t="b">
            <v>0</v>
          </cell>
          <cell r="G1929">
            <v>6501.5337750959397</v>
          </cell>
          <cell r="H1929">
            <v>6501.5337750959397</v>
          </cell>
        </row>
        <row r="1930">
          <cell r="B1930" t="str">
            <v>MIWUK 17028130</v>
          </cell>
          <cell r="C1930">
            <v>163661702</v>
          </cell>
          <cell r="D1930" t="str">
            <v>MIWUK 1702</v>
          </cell>
          <cell r="E1930">
            <v>8130</v>
          </cell>
          <cell r="F1930" t="b">
            <v>0</v>
          </cell>
          <cell r="G1930">
            <v>15961.135875529</v>
          </cell>
          <cell r="H1930">
            <v>15961.135875529</v>
          </cell>
        </row>
        <row r="1931">
          <cell r="B1931" t="str">
            <v>MIWUK 1702823548</v>
          </cell>
          <cell r="C1931">
            <v>163661702</v>
          </cell>
          <cell r="D1931" t="str">
            <v>MIWUK 1702</v>
          </cell>
          <cell r="E1931">
            <v>823548</v>
          </cell>
          <cell r="F1931" t="b">
            <v>0</v>
          </cell>
          <cell r="G1931">
            <v>31748.539902628301</v>
          </cell>
          <cell r="H1931">
            <v>31748.539902628301</v>
          </cell>
        </row>
        <row r="1932">
          <cell r="B1932" t="str">
            <v>MIWUK 17029270</v>
          </cell>
          <cell r="C1932">
            <v>163661702</v>
          </cell>
          <cell r="D1932" t="str">
            <v>MIWUK 1702</v>
          </cell>
          <cell r="E1932">
            <v>9270</v>
          </cell>
          <cell r="F1932" t="b">
            <v>0</v>
          </cell>
          <cell r="G1932">
            <v>9370.6932647172998</v>
          </cell>
          <cell r="H1932">
            <v>9370.6932647172998</v>
          </cell>
        </row>
        <row r="1933">
          <cell r="B1933" t="str">
            <v>MIWUK 1702CB</v>
          </cell>
          <cell r="C1933">
            <v>163661702</v>
          </cell>
          <cell r="D1933" t="str">
            <v>MIWUK 1702</v>
          </cell>
          <cell r="E1933" t="str">
            <v>CB</v>
          </cell>
          <cell r="F1933" t="b">
            <v>0</v>
          </cell>
          <cell r="G1933">
            <v>14569.4695553202</v>
          </cell>
          <cell r="H1933">
            <v>14569.4695553202</v>
          </cell>
        </row>
        <row r="1934">
          <cell r="B1934" t="str">
            <v>MIWUK 1702S1547</v>
          </cell>
          <cell r="C1934">
            <v>163661702</v>
          </cell>
          <cell r="D1934" t="str">
            <v>MIWUK 1702</v>
          </cell>
          <cell r="E1934" t="str">
            <v>S1547</v>
          </cell>
          <cell r="F1934" t="b">
            <v>0</v>
          </cell>
          <cell r="G1934">
            <v>4459.8848280256898</v>
          </cell>
          <cell r="H1934">
            <v>4459.8848280256898</v>
          </cell>
        </row>
        <row r="1935">
          <cell r="B1935" t="str">
            <v>MIWUK 1702S2247</v>
          </cell>
          <cell r="C1935">
            <v>163661702</v>
          </cell>
          <cell r="D1935" t="str">
            <v>MIWUK 1702</v>
          </cell>
          <cell r="E1935" t="str">
            <v>S2247</v>
          </cell>
          <cell r="F1935" t="b">
            <v>0</v>
          </cell>
          <cell r="G1935">
            <v>2394.0013592718501</v>
          </cell>
          <cell r="H1935">
            <v>2394.0013592718501</v>
          </cell>
        </row>
        <row r="1936">
          <cell r="B1936" t="str">
            <v>MOLINO 1101152</v>
          </cell>
          <cell r="C1936">
            <v>42571101</v>
          </cell>
          <cell r="D1936" t="str">
            <v>MOLINO 1101</v>
          </cell>
          <cell r="E1936">
            <v>152</v>
          </cell>
          <cell r="F1936" t="b">
            <v>0</v>
          </cell>
          <cell r="G1936">
            <v>16493.229782154202</v>
          </cell>
          <cell r="H1936">
            <v>2668.6976984247599</v>
          </cell>
        </row>
        <row r="1937">
          <cell r="B1937" t="str">
            <v>MOLINO 1101322</v>
          </cell>
          <cell r="C1937">
            <v>42571101</v>
          </cell>
          <cell r="D1937" t="str">
            <v>MOLINO 1101</v>
          </cell>
          <cell r="E1937">
            <v>322</v>
          </cell>
          <cell r="F1937" t="b">
            <v>0</v>
          </cell>
          <cell r="G1937">
            <v>23201.981262092198</v>
          </cell>
          <cell r="H1937">
            <v>22860.764564305198</v>
          </cell>
        </row>
        <row r="1938">
          <cell r="B1938" t="str">
            <v>MOLINO 1101338</v>
          </cell>
          <cell r="C1938">
            <v>42571101</v>
          </cell>
          <cell r="D1938" t="str">
            <v>MOLINO 1101</v>
          </cell>
          <cell r="E1938">
            <v>338</v>
          </cell>
          <cell r="F1938" t="b">
            <v>0</v>
          </cell>
          <cell r="G1938">
            <v>23338.410728336399</v>
          </cell>
          <cell r="H1938">
            <v>12496.882949791499</v>
          </cell>
        </row>
        <row r="1939">
          <cell r="B1939" t="str">
            <v>MOLINO 1101472660</v>
          </cell>
          <cell r="C1939">
            <v>42571101</v>
          </cell>
          <cell r="D1939" t="str">
            <v>MOLINO 1101</v>
          </cell>
          <cell r="E1939">
            <v>472660</v>
          </cell>
          <cell r="F1939" t="b">
            <v>0</v>
          </cell>
          <cell r="G1939">
            <v>2333.6936893674801</v>
          </cell>
          <cell r="H1939">
            <v>2333.6936893674801</v>
          </cell>
        </row>
        <row r="1940">
          <cell r="B1940" t="str">
            <v>MOLINO 11015042</v>
          </cell>
          <cell r="C1940">
            <v>42571101</v>
          </cell>
          <cell r="D1940" t="str">
            <v>MOLINO 1101</v>
          </cell>
          <cell r="E1940">
            <v>5042</v>
          </cell>
          <cell r="F1940" t="b">
            <v>0</v>
          </cell>
          <cell r="G1940">
            <v>11222.6237120937</v>
          </cell>
          <cell r="H1940">
            <v>9737.3632988090994</v>
          </cell>
        </row>
        <row r="1941">
          <cell r="B1941" t="str">
            <v>MOLINO 1101600112</v>
          </cell>
          <cell r="C1941">
            <v>42571101</v>
          </cell>
          <cell r="D1941" t="str">
            <v>MOLINO 1101</v>
          </cell>
          <cell r="E1941">
            <v>600112</v>
          </cell>
          <cell r="F1941" t="b">
            <v>0</v>
          </cell>
          <cell r="G1941">
            <v>2016.20562478889</v>
          </cell>
          <cell r="H1941">
            <v>1283.9759044221601</v>
          </cell>
        </row>
        <row r="1942">
          <cell r="B1942" t="str">
            <v>MOLINO 1101891</v>
          </cell>
          <cell r="C1942">
            <v>42571101</v>
          </cell>
          <cell r="D1942" t="str">
            <v>MOLINO 1101</v>
          </cell>
          <cell r="E1942">
            <v>891</v>
          </cell>
          <cell r="F1942" t="b">
            <v>0</v>
          </cell>
          <cell r="G1942">
            <v>5070.4899216803897</v>
          </cell>
          <cell r="H1942">
            <v>5070.4899216803897</v>
          </cell>
        </row>
        <row r="1943">
          <cell r="B1943" t="str">
            <v>MOLINO 1102104</v>
          </cell>
          <cell r="C1943">
            <v>42571102</v>
          </cell>
          <cell r="D1943" t="str">
            <v>MOLINO 1102</v>
          </cell>
          <cell r="E1943">
            <v>104</v>
          </cell>
          <cell r="F1943" t="b">
            <v>0</v>
          </cell>
          <cell r="G1943">
            <v>34991.649994747502</v>
          </cell>
          <cell r="H1943">
            <v>34991.649994747502</v>
          </cell>
        </row>
        <row r="1944">
          <cell r="B1944" t="str">
            <v>MOLINO 1102111666</v>
          </cell>
          <cell r="C1944">
            <v>42571102</v>
          </cell>
          <cell r="D1944" t="str">
            <v>MOLINO 1102</v>
          </cell>
          <cell r="E1944">
            <v>111666</v>
          </cell>
          <cell r="F1944" t="b">
            <v>1</v>
          </cell>
          <cell r="G1944">
            <v>1605.55481819037</v>
          </cell>
          <cell r="H1944">
            <v>182.602261450789</v>
          </cell>
        </row>
        <row r="1945">
          <cell r="B1945" t="str">
            <v>MOLINO 1102178</v>
          </cell>
          <cell r="C1945">
            <v>42571102</v>
          </cell>
          <cell r="D1945" t="str">
            <v>MOLINO 1102</v>
          </cell>
          <cell r="E1945">
            <v>178</v>
          </cell>
          <cell r="F1945" t="b">
            <v>0</v>
          </cell>
          <cell r="G1945">
            <v>21896.762977783001</v>
          </cell>
          <cell r="H1945">
            <v>19626.440967765</v>
          </cell>
        </row>
        <row r="1946">
          <cell r="B1946" t="str">
            <v>MOLINO 1102189602</v>
          </cell>
          <cell r="C1946">
            <v>42571102</v>
          </cell>
          <cell r="D1946" t="str">
            <v>MOLINO 1102</v>
          </cell>
          <cell r="E1946">
            <v>189602</v>
          </cell>
          <cell r="F1946" t="b">
            <v>0</v>
          </cell>
          <cell r="G1946">
            <v>1011.22081482046</v>
          </cell>
          <cell r="H1946">
            <v>1011.22081482046</v>
          </cell>
        </row>
        <row r="1947">
          <cell r="B1947" t="str">
            <v>MOLINO 1102318</v>
          </cell>
          <cell r="C1947">
            <v>42571102</v>
          </cell>
          <cell r="D1947" t="str">
            <v>MOLINO 1102</v>
          </cell>
          <cell r="E1947">
            <v>318</v>
          </cell>
          <cell r="F1947" t="b">
            <v>0</v>
          </cell>
          <cell r="G1947">
            <v>31114.0365262017</v>
          </cell>
          <cell r="H1947">
            <v>31114.0365262017</v>
          </cell>
        </row>
        <row r="1948">
          <cell r="B1948" t="str">
            <v>MOLINO 1102344</v>
          </cell>
          <cell r="C1948">
            <v>42571102</v>
          </cell>
          <cell r="D1948" t="str">
            <v>MOLINO 1102</v>
          </cell>
          <cell r="E1948">
            <v>344</v>
          </cell>
          <cell r="F1948" t="b">
            <v>0</v>
          </cell>
          <cell r="G1948">
            <v>9676.0468723208596</v>
          </cell>
          <cell r="H1948">
            <v>2427.24525466248</v>
          </cell>
        </row>
        <row r="1949">
          <cell r="B1949" t="str">
            <v>MOLINO 1102396</v>
          </cell>
          <cell r="C1949">
            <v>42571102</v>
          </cell>
          <cell r="D1949" t="str">
            <v>MOLINO 1102</v>
          </cell>
          <cell r="E1949">
            <v>396</v>
          </cell>
          <cell r="F1949" t="b">
            <v>0</v>
          </cell>
          <cell r="G1949">
            <v>25908.189529416901</v>
          </cell>
          <cell r="H1949">
            <v>25908.189529416901</v>
          </cell>
        </row>
        <row r="1950">
          <cell r="B1950" t="str">
            <v>MOLINO 110241392</v>
          </cell>
          <cell r="C1950">
            <v>42571102</v>
          </cell>
          <cell r="D1950" t="str">
            <v>MOLINO 1102</v>
          </cell>
          <cell r="E1950">
            <v>41392</v>
          </cell>
          <cell r="F1950" t="b">
            <v>0</v>
          </cell>
          <cell r="G1950">
            <v>23588.4350344331</v>
          </cell>
          <cell r="H1950">
            <v>7062.7077113742198</v>
          </cell>
        </row>
        <row r="1951">
          <cell r="B1951" t="str">
            <v>MOLINO 110251788</v>
          </cell>
          <cell r="C1951">
            <v>42571102</v>
          </cell>
          <cell r="D1951" t="str">
            <v>MOLINO 1102</v>
          </cell>
          <cell r="E1951">
            <v>51788</v>
          </cell>
          <cell r="F1951" t="b">
            <v>0</v>
          </cell>
          <cell r="G1951">
            <v>20901.694533651</v>
          </cell>
          <cell r="H1951">
            <v>8188.5747586265497</v>
          </cell>
        </row>
        <row r="1952">
          <cell r="B1952" t="str">
            <v>MOLINO 1102658</v>
          </cell>
          <cell r="C1952">
            <v>42571102</v>
          </cell>
          <cell r="D1952" t="str">
            <v>MOLINO 1102</v>
          </cell>
          <cell r="E1952">
            <v>658</v>
          </cell>
          <cell r="F1952" t="b">
            <v>0</v>
          </cell>
          <cell r="G1952">
            <v>17510.519957617002</v>
          </cell>
          <cell r="H1952">
            <v>17510.519957617002</v>
          </cell>
        </row>
        <row r="1953">
          <cell r="B1953" t="str">
            <v>MOLINO 110266006</v>
          </cell>
          <cell r="C1953">
            <v>42571102</v>
          </cell>
          <cell r="D1953" t="str">
            <v>MOLINO 1102</v>
          </cell>
          <cell r="E1953">
            <v>66006</v>
          </cell>
          <cell r="F1953" t="b">
            <v>0</v>
          </cell>
          <cell r="G1953">
            <v>14550.705563426</v>
          </cell>
          <cell r="H1953">
            <v>14550.705563426</v>
          </cell>
        </row>
        <row r="1954">
          <cell r="B1954" t="str">
            <v>MOLINO 11026917</v>
          </cell>
          <cell r="C1954">
            <v>42571102</v>
          </cell>
          <cell r="D1954" t="str">
            <v>MOLINO 1102</v>
          </cell>
          <cell r="E1954">
            <v>6917</v>
          </cell>
          <cell r="F1954" t="b">
            <v>0</v>
          </cell>
          <cell r="G1954">
            <v>11229.1016576438</v>
          </cell>
          <cell r="H1954">
            <v>11229.1016576438</v>
          </cell>
        </row>
        <row r="1955">
          <cell r="B1955" t="str">
            <v>MOLINO 110279306</v>
          </cell>
          <cell r="C1955">
            <v>42571102</v>
          </cell>
          <cell r="D1955" t="str">
            <v>MOLINO 1102</v>
          </cell>
          <cell r="E1955">
            <v>79306</v>
          </cell>
          <cell r="F1955" t="b">
            <v>0</v>
          </cell>
          <cell r="G1955">
            <v>13157.010827418801</v>
          </cell>
          <cell r="H1955">
            <v>6087.9659218537699</v>
          </cell>
        </row>
        <row r="1956">
          <cell r="B1956" t="str">
            <v>MOLINO 1102982462</v>
          </cell>
          <cell r="C1956">
            <v>42571102</v>
          </cell>
          <cell r="D1956" t="str">
            <v>MOLINO 1102</v>
          </cell>
          <cell r="E1956">
            <v>982462</v>
          </cell>
          <cell r="F1956" t="b">
            <v>0</v>
          </cell>
          <cell r="G1956">
            <v>2320.5593148511698</v>
          </cell>
          <cell r="H1956">
            <v>2320.5593148511698</v>
          </cell>
        </row>
        <row r="1957">
          <cell r="B1957" t="str">
            <v>MOLINO 1104368158</v>
          </cell>
          <cell r="C1957">
            <v>42571104</v>
          </cell>
          <cell r="D1957" t="str">
            <v>MOLINO 1104</v>
          </cell>
          <cell r="E1957">
            <v>368158</v>
          </cell>
          <cell r="F1957" t="b">
            <v>0</v>
          </cell>
          <cell r="G1957">
            <v>14121.5306774169</v>
          </cell>
          <cell r="H1957">
            <v>4484.8757935759904</v>
          </cell>
        </row>
        <row r="1958">
          <cell r="B1958" t="str">
            <v>MONROE 2103848530</v>
          </cell>
          <cell r="C1958">
            <v>43302103</v>
          </cell>
          <cell r="D1958" t="str">
            <v>MONROE 2103</v>
          </cell>
          <cell r="E1958">
            <v>848530</v>
          </cell>
          <cell r="F1958" t="b">
            <v>1</v>
          </cell>
          <cell r="G1958">
            <v>2567.2359441398298</v>
          </cell>
          <cell r="H1958">
            <v>715.37060884592302</v>
          </cell>
        </row>
        <row r="1959">
          <cell r="B1959" t="str">
            <v>MONROE 210392868</v>
          </cell>
          <cell r="C1959">
            <v>43302103</v>
          </cell>
          <cell r="D1959" t="str">
            <v>MONROE 2103</v>
          </cell>
          <cell r="E1959">
            <v>92868</v>
          </cell>
          <cell r="F1959" t="b">
            <v>1</v>
          </cell>
          <cell r="G1959">
            <v>1050.35160720984</v>
          </cell>
          <cell r="H1959">
            <v>203.53627099801099</v>
          </cell>
        </row>
        <row r="1960">
          <cell r="B1960" t="str">
            <v>MONROE 2107380760</v>
          </cell>
          <cell r="C1960">
            <v>43302107</v>
          </cell>
          <cell r="D1960" t="str">
            <v>MONROE 2107</v>
          </cell>
          <cell r="E1960">
            <v>380760</v>
          </cell>
          <cell r="F1960" t="b">
            <v>0</v>
          </cell>
          <cell r="G1960">
            <v>1136.5362442125199</v>
          </cell>
          <cell r="H1960">
            <v>1053.0261659417099</v>
          </cell>
        </row>
        <row r="1961">
          <cell r="B1961" t="str">
            <v>MONTE RIO 1111140</v>
          </cell>
          <cell r="C1961">
            <v>42811111</v>
          </cell>
          <cell r="D1961" t="str">
            <v>MONTE RIO 1111</v>
          </cell>
          <cell r="E1961">
            <v>140</v>
          </cell>
          <cell r="F1961" t="b">
            <v>0</v>
          </cell>
          <cell r="G1961">
            <v>13525.9250224016</v>
          </cell>
          <cell r="H1961">
            <v>13525.9250224016</v>
          </cell>
        </row>
        <row r="1962">
          <cell r="B1962" t="str">
            <v>MONTE RIO 11111701</v>
          </cell>
          <cell r="C1962">
            <v>42811111</v>
          </cell>
          <cell r="D1962" t="str">
            <v>MONTE RIO 1111</v>
          </cell>
          <cell r="E1962">
            <v>1701</v>
          </cell>
          <cell r="F1962" t="b">
            <v>0</v>
          </cell>
          <cell r="G1962">
            <v>2248.9875596696202</v>
          </cell>
          <cell r="H1962">
            <v>2248.9875596696202</v>
          </cell>
        </row>
        <row r="1963">
          <cell r="B1963" t="str">
            <v>MONTE RIO 11111703</v>
          </cell>
          <cell r="C1963">
            <v>42811111</v>
          </cell>
          <cell r="D1963" t="str">
            <v>MONTE RIO 1111</v>
          </cell>
          <cell r="E1963">
            <v>1703</v>
          </cell>
          <cell r="F1963" t="b">
            <v>0</v>
          </cell>
          <cell r="G1963">
            <v>2213.99464872106</v>
          </cell>
          <cell r="H1963">
            <v>2213.99464872106</v>
          </cell>
        </row>
        <row r="1964">
          <cell r="B1964" t="str">
            <v>MONTE RIO 1111240</v>
          </cell>
          <cell r="C1964">
            <v>42811111</v>
          </cell>
          <cell r="D1964" t="str">
            <v>MONTE RIO 1111</v>
          </cell>
          <cell r="E1964">
            <v>240</v>
          </cell>
          <cell r="F1964" t="b">
            <v>0</v>
          </cell>
          <cell r="G1964">
            <v>4953.3762481641697</v>
          </cell>
          <cell r="H1964">
            <v>4953.3762481641697</v>
          </cell>
        </row>
        <row r="1965">
          <cell r="B1965" t="str">
            <v>MONTE RIO 1111256</v>
          </cell>
          <cell r="C1965">
            <v>42811111</v>
          </cell>
          <cell r="D1965" t="str">
            <v>MONTE RIO 1111</v>
          </cell>
          <cell r="E1965">
            <v>256</v>
          </cell>
          <cell r="F1965" t="b">
            <v>0</v>
          </cell>
          <cell r="G1965">
            <v>2415.6318726556801</v>
          </cell>
          <cell r="H1965">
            <v>2415.6318726556801</v>
          </cell>
        </row>
        <row r="1966">
          <cell r="B1966" t="str">
            <v>MONTE RIO 1111292</v>
          </cell>
          <cell r="C1966">
            <v>42811111</v>
          </cell>
          <cell r="D1966" t="str">
            <v>MONTE RIO 1111</v>
          </cell>
          <cell r="E1966">
            <v>292</v>
          </cell>
          <cell r="F1966" t="b">
            <v>0</v>
          </cell>
          <cell r="G1966">
            <v>31568.673870813898</v>
          </cell>
          <cell r="H1966">
            <v>25055.046538333099</v>
          </cell>
        </row>
        <row r="1967">
          <cell r="B1967" t="str">
            <v>MONTE RIO 111137520</v>
          </cell>
          <cell r="C1967">
            <v>42811111</v>
          </cell>
          <cell r="D1967" t="str">
            <v>MONTE RIO 1111</v>
          </cell>
          <cell r="E1967">
            <v>37520</v>
          </cell>
          <cell r="F1967" t="b">
            <v>0</v>
          </cell>
          <cell r="G1967">
            <v>3437.9631293253201</v>
          </cell>
          <cell r="H1967">
            <v>3437.9631293253201</v>
          </cell>
        </row>
        <row r="1968">
          <cell r="B1968" t="str">
            <v>MONTE RIO 11113891</v>
          </cell>
          <cell r="C1968">
            <v>42811111</v>
          </cell>
          <cell r="D1968" t="str">
            <v>MONTE RIO 1111</v>
          </cell>
          <cell r="E1968">
            <v>3891</v>
          </cell>
          <cell r="F1968" t="b">
            <v>0</v>
          </cell>
          <cell r="G1968">
            <v>5583.0951473037703</v>
          </cell>
          <cell r="H1968">
            <v>5583.0951473037703</v>
          </cell>
        </row>
        <row r="1969">
          <cell r="B1969" t="str">
            <v>MONTE RIO 1111506</v>
          </cell>
          <cell r="C1969">
            <v>42811111</v>
          </cell>
          <cell r="D1969" t="str">
            <v>MONTE RIO 1111</v>
          </cell>
          <cell r="E1969">
            <v>506</v>
          </cell>
          <cell r="F1969" t="b">
            <v>0</v>
          </cell>
          <cell r="G1969">
            <v>2021.7881752061101</v>
          </cell>
          <cell r="H1969">
            <v>2021.7881752061101</v>
          </cell>
        </row>
        <row r="1970">
          <cell r="B1970" t="str">
            <v>MONTE RIO 111153477</v>
          </cell>
          <cell r="C1970">
            <v>42811111</v>
          </cell>
          <cell r="D1970" t="str">
            <v>MONTE RIO 1111</v>
          </cell>
          <cell r="E1970">
            <v>53477</v>
          </cell>
          <cell r="F1970" t="b">
            <v>0</v>
          </cell>
          <cell r="G1970">
            <v>3295.7871162084498</v>
          </cell>
          <cell r="H1970">
            <v>3295.7871162084498</v>
          </cell>
        </row>
        <row r="1971">
          <cell r="B1971" t="str">
            <v>MONTE RIO 111159046</v>
          </cell>
          <cell r="C1971">
            <v>42811111</v>
          </cell>
          <cell r="D1971" t="str">
            <v>MONTE RIO 1111</v>
          </cell>
          <cell r="E1971">
            <v>59046</v>
          </cell>
          <cell r="F1971" t="b">
            <v>0</v>
          </cell>
          <cell r="G1971">
            <v>6015.5461654661103</v>
          </cell>
          <cell r="H1971">
            <v>5641.1575523382198</v>
          </cell>
        </row>
        <row r="1972">
          <cell r="B1972" t="str">
            <v>MONTE RIO 111164758</v>
          </cell>
          <cell r="C1972">
            <v>42811111</v>
          </cell>
          <cell r="D1972" t="str">
            <v>MONTE RIO 1111</v>
          </cell>
          <cell r="E1972">
            <v>64758</v>
          </cell>
          <cell r="F1972" t="b">
            <v>0</v>
          </cell>
          <cell r="G1972">
            <v>16840.119681384502</v>
          </cell>
          <cell r="H1972">
            <v>16840.119681384502</v>
          </cell>
        </row>
        <row r="1973">
          <cell r="B1973" t="str">
            <v>MONTE RIO 1111969182</v>
          </cell>
          <cell r="C1973">
            <v>42811111</v>
          </cell>
          <cell r="D1973" t="str">
            <v>MONTE RIO 1111</v>
          </cell>
          <cell r="E1973">
            <v>969182</v>
          </cell>
          <cell r="F1973" t="b">
            <v>0</v>
          </cell>
          <cell r="G1973">
            <v>8578.2653864168606</v>
          </cell>
          <cell r="H1973">
            <v>8578.2653864168606</v>
          </cell>
        </row>
        <row r="1974">
          <cell r="B1974" t="str">
            <v>MONTE RIO 1111CB</v>
          </cell>
          <cell r="C1974">
            <v>42811111</v>
          </cell>
          <cell r="D1974" t="str">
            <v>MONTE RIO 1111</v>
          </cell>
          <cell r="E1974" t="str">
            <v>CB</v>
          </cell>
          <cell r="F1974" t="b">
            <v>1</v>
          </cell>
          <cell r="G1974">
            <v>408.90653540014898</v>
          </cell>
          <cell r="H1974">
            <v>408.90653540014898</v>
          </cell>
        </row>
        <row r="1975">
          <cell r="B1975" t="str">
            <v>MONTE RIO 1112120</v>
          </cell>
          <cell r="C1975">
            <v>42811112</v>
          </cell>
          <cell r="D1975" t="str">
            <v>MONTE RIO 1112</v>
          </cell>
          <cell r="E1975">
            <v>120</v>
          </cell>
          <cell r="F1975" t="b">
            <v>0</v>
          </cell>
          <cell r="G1975">
            <v>10326.186835992899</v>
          </cell>
          <cell r="H1975">
            <v>10326.186835992899</v>
          </cell>
        </row>
        <row r="1976">
          <cell r="B1976" t="str">
            <v>MONTE RIO 111215401</v>
          </cell>
          <cell r="C1976">
            <v>42811112</v>
          </cell>
          <cell r="D1976" t="str">
            <v>MONTE RIO 1112</v>
          </cell>
          <cell r="E1976">
            <v>15401</v>
          </cell>
          <cell r="F1976" t="b">
            <v>0</v>
          </cell>
          <cell r="G1976">
            <v>1388.1732024610801</v>
          </cell>
          <cell r="H1976">
            <v>1388.1732024610801</v>
          </cell>
        </row>
        <row r="1977">
          <cell r="B1977" t="str">
            <v>MONTE RIO 1112212</v>
          </cell>
          <cell r="C1977">
            <v>42811112</v>
          </cell>
          <cell r="D1977" t="str">
            <v>MONTE RIO 1112</v>
          </cell>
          <cell r="E1977">
            <v>212</v>
          </cell>
          <cell r="F1977" t="b">
            <v>0</v>
          </cell>
          <cell r="G1977">
            <v>3618.1725168695102</v>
          </cell>
          <cell r="H1977">
            <v>3618.1725168695102</v>
          </cell>
        </row>
        <row r="1978">
          <cell r="B1978" t="str">
            <v>MONTE RIO 11125040</v>
          </cell>
          <cell r="C1978">
            <v>42811112</v>
          </cell>
          <cell r="D1978" t="str">
            <v>MONTE RIO 1112</v>
          </cell>
          <cell r="E1978">
            <v>5040</v>
          </cell>
          <cell r="F1978" t="b">
            <v>0</v>
          </cell>
          <cell r="G1978">
            <v>6507.5662137838699</v>
          </cell>
          <cell r="H1978">
            <v>6507.5662137838699</v>
          </cell>
        </row>
        <row r="1979">
          <cell r="B1979" t="str">
            <v>MONTE RIO 111264682</v>
          </cell>
          <cell r="C1979">
            <v>42811112</v>
          </cell>
          <cell r="D1979" t="str">
            <v>MONTE RIO 1112</v>
          </cell>
          <cell r="E1979">
            <v>64682</v>
          </cell>
          <cell r="F1979" t="b">
            <v>0</v>
          </cell>
          <cell r="G1979">
            <v>2835.1135296316902</v>
          </cell>
          <cell r="H1979">
            <v>2835.1135296316902</v>
          </cell>
        </row>
        <row r="1980">
          <cell r="B1980" t="str">
            <v>MONTE RIO 1112999</v>
          </cell>
          <cell r="C1980">
            <v>42811112</v>
          </cell>
          <cell r="D1980" t="str">
            <v>MONTE RIO 1112</v>
          </cell>
          <cell r="E1980">
            <v>999</v>
          </cell>
          <cell r="F1980" t="b">
            <v>0</v>
          </cell>
          <cell r="G1980">
            <v>1412.37549646194</v>
          </cell>
          <cell r="H1980">
            <v>1412.37549646194</v>
          </cell>
        </row>
        <row r="1981">
          <cell r="B1981" t="str">
            <v>MONTE RIO 1112CB</v>
          </cell>
          <cell r="C1981">
            <v>42811112</v>
          </cell>
          <cell r="D1981" t="str">
            <v>MONTE RIO 1112</v>
          </cell>
          <cell r="E1981" t="str">
            <v>CB</v>
          </cell>
          <cell r="F1981" t="b">
            <v>0</v>
          </cell>
          <cell r="G1981">
            <v>5679.6302034888804</v>
          </cell>
          <cell r="H1981">
            <v>5679.6302034888804</v>
          </cell>
        </row>
        <row r="1982">
          <cell r="B1982" t="str">
            <v>MONTE RIO 11131067</v>
          </cell>
          <cell r="C1982">
            <v>42811113</v>
          </cell>
          <cell r="D1982" t="str">
            <v>MONTE RIO 1113</v>
          </cell>
          <cell r="E1982">
            <v>1067</v>
          </cell>
          <cell r="F1982" t="b">
            <v>0</v>
          </cell>
          <cell r="G1982">
            <v>1306.3843330064001</v>
          </cell>
          <cell r="H1982">
            <v>1306.3843330064001</v>
          </cell>
        </row>
        <row r="1983">
          <cell r="B1983" t="str">
            <v>MONTE RIO 11131313</v>
          </cell>
          <cell r="C1983">
            <v>42811113</v>
          </cell>
          <cell r="D1983" t="str">
            <v>MONTE RIO 1113</v>
          </cell>
          <cell r="E1983">
            <v>1313</v>
          </cell>
          <cell r="F1983" t="b">
            <v>0</v>
          </cell>
          <cell r="G1983">
            <v>1996.4297801591399</v>
          </cell>
          <cell r="H1983">
            <v>1996.4297801591399</v>
          </cell>
        </row>
        <row r="1984">
          <cell r="B1984" t="str">
            <v>MONTE RIO 1113180</v>
          </cell>
          <cell r="C1984">
            <v>42811113</v>
          </cell>
          <cell r="D1984" t="str">
            <v>MONTE RIO 1113</v>
          </cell>
          <cell r="E1984">
            <v>180</v>
          </cell>
          <cell r="F1984" t="b">
            <v>0</v>
          </cell>
          <cell r="G1984">
            <v>3158.1165346001999</v>
          </cell>
          <cell r="H1984">
            <v>3158.1165346001999</v>
          </cell>
        </row>
        <row r="1985">
          <cell r="B1985" t="str">
            <v>MONTE RIO 11131989</v>
          </cell>
          <cell r="C1985">
            <v>42811113</v>
          </cell>
          <cell r="D1985" t="str">
            <v>MONTE RIO 1113</v>
          </cell>
          <cell r="E1985">
            <v>1989</v>
          </cell>
          <cell r="F1985" t="b">
            <v>0</v>
          </cell>
          <cell r="G1985">
            <v>1195.1935913366599</v>
          </cell>
          <cell r="H1985">
            <v>1195.1935913366599</v>
          </cell>
        </row>
        <row r="1986">
          <cell r="B1986" t="str">
            <v>MONTE RIO 11131991</v>
          </cell>
          <cell r="C1986">
            <v>42811113</v>
          </cell>
          <cell r="D1986" t="str">
            <v>MONTE RIO 1113</v>
          </cell>
          <cell r="E1986">
            <v>1991</v>
          </cell>
          <cell r="F1986" t="b">
            <v>0</v>
          </cell>
          <cell r="G1986">
            <v>11465.3295437326</v>
          </cell>
          <cell r="H1986">
            <v>11465.3295437326</v>
          </cell>
        </row>
        <row r="1987">
          <cell r="B1987" t="str">
            <v>MONTE RIO 1113202</v>
          </cell>
          <cell r="C1987">
            <v>42811113</v>
          </cell>
          <cell r="D1987" t="str">
            <v>MONTE RIO 1113</v>
          </cell>
          <cell r="E1987">
            <v>202</v>
          </cell>
          <cell r="F1987" t="b">
            <v>0</v>
          </cell>
          <cell r="G1987">
            <v>8481.1425291470696</v>
          </cell>
          <cell r="H1987">
            <v>8481.1425291470696</v>
          </cell>
        </row>
        <row r="1988">
          <cell r="B1988" t="str">
            <v>MONTE RIO 1113250</v>
          </cell>
          <cell r="C1988">
            <v>42811113</v>
          </cell>
          <cell r="D1988" t="str">
            <v>MONTE RIO 1113</v>
          </cell>
          <cell r="E1988">
            <v>250</v>
          </cell>
          <cell r="F1988" t="b">
            <v>0</v>
          </cell>
          <cell r="G1988">
            <v>1985.3413707116799</v>
          </cell>
          <cell r="H1988">
            <v>1985.3413707116799</v>
          </cell>
        </row>
        <row r="1989">
          <cell r="B1989" t="str">
            <v>MONTE RIO 1113320</v>
          </cell>
          <cell r="C1989">
            <v>42811113</v>
          </cell>
          <cell r="D1989" t="str">
            <v>MONTE RIO 1113</v>
          </cell>
          <cell r="E1989">
            <v>320</v>
          </cell>
          <cell r="F1989" t="b">
            <v>0</v>
          </cell>
          <cell r="G1989">
            <v>4467.4960423329303</v>
          </cell>
          <cell r="H1989">
            <v>4467.4960423329303</v>
          </cell>
        </row>
        <row r="1990">
          <cell r="B1990" t="str">
            <v>MONTE RIO 1113346</v>
          </cell>
          <cell r="C1990">
            <v>42811113</v>
          </cell>
          <cell r="D1990" t="str">
            <v>MONTE RIO 1113</v>
          </cell>
          <cell r="E1990">
            <v>346</v>
          </cell>
          <cell r="F1990" t="b">
            <v>0</v>
          </cell>
          <cell r="G1990">
            <v>16160.3416784579</v>
          </cell>
          <cell r="H1990">
            <v>16160.3416784579</v>
          </cell>
        </row>
        <row r="1991">
          <cell r="B1991" t="str">
            <v>MONTE RIO 11133970</v>
          </cell>
          <cell r="C1991">
            <v>42811113</v>
          </cell>
          <cell r="D1991" t="str">
            <v>MONTE RIO 1113</v>
          </cell>
          <cell r="E1991">
            <v>3970</v>
          </cell>
          <cell r="F1991" t="b">
            <v>0</v>
          </cell>
          <cell r="G1991">
            <v>11750.7223742965</v>
          </cell>
          <cell r="H1991">
            <v>11750.7223742965</v>
          </cell>
        </row>
        <row r="1992">
          <cell r="B1992" t="str">
            <v>MONTE RIO 1113477</v>
          </cell>
          <cell r="C1992">
            <v>42811113</v>
          </cell>
          <cell r="D1992" t="str">
            <v>MONTE RIO 1113</v>
          </cell>
          <cell r="E1992">
            <v>477</v>
          </cell>
          <cell r="F1992" t="b">
            <v>0</v>
          </cell>
          <cell r="G1992">
            <v>2946.6356440862</v>
          </cell>
          <cell r="H1992">
            <v>2946.6356440862</v>
          </cell>
        </row>
        <row r="1993">
          <cell r="B1993" t="str">
            <v>MONTE RIO 11135024</v>
          </cell>
          <cell r="C1993">
            <v>42811113</v>
          </cell>
          <cell r="D1993" t="str">
            <v>MONTE RIO 1113</v>
          </cell>
          <cell r="E1993">
            <v>5024</v>
          </cell>
          <cell r="F1993" t="b">
            <v>1</v>
          </cell>
          <cell r="G1993">
            <v>526.61112544858497</v>
          </cell>
          <cell r="H1993">
            <v>526.61112544858497</v>
          </cell>
        </row>
        <row r="1994">
          <cell r="B1994" t="str">
            <v>MONTE RIO 11135026</v>
          </cell>
          <cell r="C1994">
            <v>42811113</v>
          </cell>
          <cell r="D1994" t="str">
            <v>MONTE RIO 1113</v>
          </cell>
          <cell r="E1994">
            <v>5026</v>
          </cell>
          <cell r="F1994" t="b">
            <v>0</v>
          </cell>
          <cell r="G1994">
            <v>2967.0616468905801</v>
          </cell>
          <cell r="H1994">
            <v>2967.0616468905801</v>
          </cell>
        </row>
        <row r="1995">
          <cell r="B1995" t="str">
            <v>MONTE RIO 1113524</v>
          </cell>
          <cell r="C1995">
            <v>42811113</v>
          </cell>
          <cell r="D1995" t="str">
            <v>MONTE RIO 1113</v>
          </cell>
          <cell r="E1995">
            <v>524</v>
          </cell>
          <cell r="F1995" t="b">
            <v>0</v>
          </cell>
          <cell r="G1995">
            <v>10078.6837310419</v>
          </cell>
          <cell r="H1995">
            <v>10078.6837310419</v>
          </cell>
        </row>
        <row r="1996">
          <cell r="B1996" t="str">
            <v>MONTE RIO 1113532</v>
          </cell>
          <cell r="C1996">
            <v>42811113</v>
          </cell>
          <cell r="D1996" t="str">
            <v>MONTE RIO 1113</v>
          </cell>
          <cell r="E1996">
            <v>532</v>
          </cell>
          <cell r="F1996" t="b">
            <v>1</v>
          </cell>
          <cell r="G1996">
            <v>844.32605672808995</v>
          </cell>
          <cell r="H1996">
            <v>844.32605672808995</v>
          </cell>
        </row>
        <row r="1997">
          <cell r="B1997" t="str">
            <v>MONTE RIO 1113539938</v>
          </cell>
          <cell r="C1997">
            <v>42811113</v>
          </cell>
          <cell r="D1997" t="str">
            <v>MONTE RIO 1113</v>
          </cell>
          <cell r="E1997">
            <v>539938</v>
          </cell>
          <cell r="F1997" t="b">
            <v>0</v>
          </cell>
          <cell r="G1997">
            <v>4460.2370364718299</v>
          </cell>
          <cell r="H1997">
            <v>4460.2370364718299</v>
          </cell>
        </row>
        <row r="1998">
          <cell r="B1998" t="str">
            <v>MONTE RIO 1113652</v>
          </cell>
          <cell r="C1998">
            <v>42811113</v>
          </cell>
          <cell r="D1998" t="str">
            <v>MONTE RIO 1113</v>
          </cell>
          <cell r="E1998">
            <v>652</v>
          </cell>
          <cell r="F1998" t="b">
            <v>0</v>
          </cell>
          <cell r="G1998">
            <v>2607.8717113858602</v>
          </cell>
          <cell r="H1998">
            <v>2607.8717113858602</v>
          </cell>
        </row>
        <row r="1999">
          <cell r="B1999" t="str">
            <v>MONTE RIO 1113678</v>
          </cell>
          <cell r="C1999">
            <v>42811113</v>
          </cell>
          <cell r="D1999" t="str">
            <v>MONTE RIO 1113</v>
          </cell>
          <cell r="E1999">
            <v>678</v>
          </cell>
          <cell r="F1999" t="b">
            <v>0</v>
          </cell>
          <cell r="G1999">
            <v>3004.0039510675801</v>
          </cell>
          <cell r="H1999">
            <v>3004.0039510675801</v>
          </cell>
        </row>
        <row r="2000">
          <cell r="B2000" t="str">
            <v>MONTE RIO 11138299</v>
          </cell>
          <cell r="C2000">
            <v>42811113</v>
          </cell>
          <cell r="D2000" t="str">
            <v>MONTE RIO 1113</v>
          </cell>
          <cell r="E2000">
            <v>8299</v>
          </cell>
          <cell r="F2000" t="b">
            <v>0</v>
          </cell>
          <cell r="G2000">
            <v>1934.21690716383</v>
          </cell>
          <cell r="H2000">
            <v>1934.21690716383</v>
          </cell>
        </row>
        <row r="2001">
          <cell r="B2001" t="str">
            <v>MONTE RIO 1113CB</v>
          </cell>
          <cell r="C2001">
            <v>42811113</v>
          </cell>
          <cell r="D2001" t="str">
            <v>MONTE RIO 1113</v>
          </cell>
          <cell r="E2001" t="str">
            <v>CB</v>
          </cell>
          <cell r="F2001" t="b">
            <v>0</v>
          </cell>
          <cell r="G2001">
            <v>7286.2365663084402</v>
          </cell>
          <cell r="H2001">
            <v>7286.2365663084402</v>
          </cell>
        </row>
        <row r="2002">
          <cell r="B2002" t="str">
            <v>MONTEREY 04012642</v>
          </cell>
          <cell r="C2002">
            <v>182090401</v>
          </cell>
          <cell r="D2002" t="str">
            <v>MONTEREY 0401</v>
          </cell>
          <cell r="E2002">
            <v>2642</v>
          </cell>
          <cell r="F2002" t="b">
            <v>1</v>
          </cell>
          <cell r="G2002">
            <v>3637.2616469095201</v>
          </cell>
          <cell r="H2002">
            <v>0</v>
          </cell>
        </row>
        <row r="2003">
          <cell r="B2003" t="str">
            <v>MONTEREY 04022644</v>
          </cell>
          <cell r="C2003">
            <v>182090402</v>
          </cell>
          <cell r="D2003" t="str">
            <v>MONTEREY 0402</v>
          </cell>
          <cell r="E2003">
            <v>2644</v>
          </cell>
          <cell r="F2003" t="b">
            <v>0</v>
          </cell>
          <cell r="G2003">
            <v>2922.7748283743399</v>
          </cell>
          <cell r="H2003">
            <v>1828.12176923108</v>
          </cell>
        </row>
        <row r="2004">
          <cell r="B2004" t="str">
            <v>MONTICELLO 11011589</v>
          </cell>
          <cell r="C2004">
            <v>43051101</v>
          </cell>
          <cell r="D2004" t="str">
            <v>MONTICELLO 1101</v>
          </cell>
          <cell r="E2004">
            <v>1589</v>
          </cell>
          <cell r="F2004" t="b">
            <v>0</v>
          </cell>
          <cell r="G2004">
            <v>6873.0950661316701</v>
          </cell>
          <cell r="H2004">
            <v>6873.0950661316701</v>
          </cell>
        </row>
        <row r="2005">
          <cell r="B2005" t="str">
            <v>MONTICELLO 11011780</v>
          </cell>
          <cell r="C2005">
            <v>43051101</v>
          </cell>
          <cell r="D2005" t="str">
            <v>MONTICELLO 1101</v>
          </cell>
          <cell r="E2005">
            <v>1780</v>
          </cell>
          <cell r="F2005" t="b">
            <v>1</v>
          </cell>
          <cell r="G2005">
            <v>115.32972505125301</v>
          </cell>
          <cell r="H2005">
            <v>115.32972505125301</v>
          </cell>
        </row>
        <row r="2006">
          <cell r="B2006" t="str">
            <v>MONTICELLO 110137384</v>
          </cell>
          <cell r="C2006">
            <v>43051101</v>
          </cell>
          <cell r="D2006" t="str">
            <v>MONTICELLO 1101</v>
          </cell>
          <cell r="E2006">
            <v>37384</v>
          </cell>
          <cell r="F2006" t="b">
            <v>0</v>
          </cell>
          <cell r="G2006">
            <v>15082.1186827074</v>
          </cell>
          <cell r="H2006">
            <v>15082.1186827074</v>
          </cell>
        </row>
        <row r="2007">
          <cell r="B2007" t="str">
            <v>MONTICELLO 11014360</v>
          </cell>
          <cell r="C2007">
            <v>43051101</v>
          </cell>
          <cell r="D2007" t="str">
            <v>MONTICELLO 1101</v>
          </cell>
          <cell r="E2007">
            <v>4360</v>
          </cell>
          <cell r="F2007" t="b">
            <v>0</v>
          </cell>
          <cell r="G2007">
            <v>14899.004343901501</v>
          </cell>
          <cell r="H2007">
            <v>12170.4858216545</v>
          </cell>
        </row>
        <row r="2008">
          <cell r="B2008" t="str">
            <v>MONTICELLO 110152910</v>
          </cell>
          <cell r="C2008">
            <v>43051101</v>
          </cell>
          <cell r="D2008" t="str">
            <v>MONTICELLO 1101</v>
          </cell>
          <cell r="E2008">
            <v>52910</v>
          </cell>
          <cell r="F2008" t="b">
            <v>0</v>
          </cell>
          <cell r="G2008">
            <v>5038.2048187267801</v>
          </cell>
          <cell r="H2008">
            <v>3510.8304949645599</v>
          </cell>
        </row>
        <row r="2009">
          <cell r="B2009" t="str">
            <v>MONTICELLO 1101630</v>
          </cell>
          <cell r="C2009">
            <v>43051101</v>
          </cell>
          <cell r="D2009" t="str">
            <v>MONTICELLO 1101</v>
          </cell>
          <cell r="E2009">
            <v>630</v>
          </cell>
          <cell r="F2009" t="b">
            <v>0</v>
          </cell>
          <cell r="G2009">
            <v>31341.2102615271</v>
          </cell>
          <cell r="H2009">
            <v>30113.0466479198</v>
          </cell>
        </row>
        <row r="2010">
          <cell r="B2010" t="str">
            <v>MONTICELLO 1101654</v>
          </cell>
          <cell r="C2010">
            <v>43051101</v>
          </cell>
          <cell r="D2010" t="str">
            <v>MONTICELLO 1101</v>
          </cell>
          <cell r="E2010">
            <v>654</v>
          </cell>
          <cell r="F2010" t="b">
            <v>0</v>
          </cell>
          <cell r="G2010">
            <v>14047.931410454599</v>
          </cell>
          <cell r="H2010">
            <v>13220.1574455218</v>
          </cell>
        </row>
        <row r="2011">
          <cell r="B2011" t="str">
            <v>MONTICELLO 110165454</v>
          </cell>
          <cell r="C2011">
            <v>43051101</v>
          </cell>
          <cell r="D2011" t="str">
            <v>MONTICELLO 1101</v>
          </cell>
          <cell r="E2011">
            <v>65454</v>
          </cell>
          <cell r="F2011" t="b">
            <v>0</v>
          </cell>
          <cell r="G2011">
            <v>3114.2100708334401</v>
          </cell>
          <cell r="H2011">
            <v>2176.3171956775</v>
          </cell>
        </row>
        <row r="2012">
          <cell r="B2012" t="str">
            <v>MONTICELLO 1101666</v>
          </cell>
          <cell r="C2012">
            <v>43051101</v>
          </cell>
          <cell r="D2012" t="str">
            <v>MONTICELLO 1101</v>
          </cell>
          <cell r="E2012">
            <v>666</v>
          </cell>
          <cell r="F2012" t="b">
            <v>0</v>
          </cell>
          <cell r="G2012">
            <v>21923.706324533199</v>
          </cell>
          <cell r="H2012">
            <v>19462.335000821</v>
          </cell>
        </row>
        <row r="2013">
          <cell r="B2013" t="str">
            <v>MONTICELLO 1101718</v>
          </cell>
          <cell r="C2013">
            <v>43051101</v>
          </cell>
          <cell r="D2013" t="str">
            <v>MONTICELLO 1101</v>
          </cell>
          <cell r="E2013">
            <v>718</v>
          </cell>
          <cell r="F2013" t="b">
            <v>0</v>
          </cell>
          <cell r="G2013">
            <v>47250.422549930801</v>
          </cell>
          <cell r="H2013">
            <v>43463.404119153201</v>
          </cell>
        </row>
        <row r="2014">
          <cell r="B2014" t="str">
            <v>MONTICELLO 1101720</v>
          </cell>
          <cell r="C2014">
            <v>43051101</v>
          </cell>
          <cell r="D2014" t="str">
            <v>MONTICELLO 1101</v>
          </cell>
          <cell r="E2014">
            <v>720</v>
          </cell>
          <cell r="F2014" t="b">
            <v>0</v>
          </cell>
          <cell r="G2014">
            <v>13087.774533563001</v>
          </cell>
          <cell r="H2014">
            <v>10923.657455357999</v>
          </cell>
        </row>
        <row r="2015">
          <cell r="B2015" t="str">
            <v>MONTICELLO 110193384</v>
          </cell>
          <cell r="C2015">
            <v>43051101</v>
          </cell>
          <cell r="D2015" t="str">
            <v>MONTICELLO 1101</v>
          </cell>
          <cell r="E2015">
            <v>93384</v>
          </cell>
          <cell r="F2015" t="b">
            <v>0</v>
          </cell>
          <cell r="G2015">
            <v>27406.032179394701</v>
          </cell>
          <cell r="H2015">
            <v>25967.219748544499</v>
          </cell>
        </row>
        <row r="2016">
          <cell r="B2016" t="str">
            <v>MONTICELLO 1101CB</v>
          </cell>
          <cell r="C2016">
            <v>43051101</v>
          </cell>
          <cell r="D2016" t="str">
            <v>MONTICELLO 1101</v>
          </cell>
          <cell r="E2016" t="str">
            <v>CB</v>
          </cell>
          <cell r="F2016" t="b">
            <v>1</v>
          </cell>
          <cell r="G2016">
            <v>859.90075846996103</v>
          </cell>
          <cell r="H2016">
            <v>859.90075846996103</v>
          </cell>
        </row>
        <row r="2017">
          <cell r="B2017" t="str">
            <v>MORAGA 1101108540</v>
          </cell>
          <cell r="C2017">
            <v>13801101</v>
          </cell>
          <cell r="D2017" t="str">
            <v>MORAGA 1101</v>
          </cell>
          <cell r="E2017">
            <v>108540</v>
          </cell>
          <cell r="F2017" t="b">
            <v>0</v>
          </cell>
          <cell r="G2017">
            <v>7751.40899790208</v>
          </cell>
          <cell r="H2017">
            <v>7751.40899790208</v>
          </cell>
        </row>
        <row r="2018">
          <cell r="B2018" t="str">
            <v>MORAGA 1101669542</v>
          </cell>
          <cell r="C2018">
            <v>13801101</v>
          </cell>
          <cell r="D2018" t="str">
            <v>MORAGA 1101</v>
          </cell>
          <cell r="E2018">
            <v>669542</v>
          </cell>
          <cell r="F2018" t="b">
            <v>0</v>
          </cell>
          <cell r="G2018">
            <v>5668.7589384612302</v>
          </cell>
          <cell r="H2018">
            <v>5668.7589384612302</v>
          </cell>
        </row>
        <row r="2019">
          <cell r="B2019" t="str">
            <v>MORAGA 1101772781</v>
          </cell>
          <cell r="C2019">
            <v>13801101</v>
          </cell>
          <cell r="D2019" t="str">
            <v>MORAGA 1101</v>
          </cell>
          <cell r="E2019">
            <v>772781</v>
          </cell>
          <cell r="F2019" t="b">
            <v>0</v>
          </cell>
          <cell r="G2019">
            <v>2316.7744683083502</v>
          </cell>
          <cell r="H2019">
            <v>2316.7744683083502</v>
          </cell>
        </row>
        <row r="2020">
          <cell r="B2020" t="str">
            <v>MORAGA 110183424</v>
          </cell>
          <cell r="C2020">
            <v>13801101</v>
          </cell>
          <cell r="D2020" t="str">
            <v>MORAGA 1101</v>
          </cell>
          <cell r="E2020">
            <v>83424</v>
          </cell>
          <cell r="F2020" t="b">
            <v>0</v>
          </cell>
          <cell r="G2020">
            <v>2603.9122173250698</v>
          </cell>
          <cell r="H2020">
            <v>2600.44856102521</v>
          </cell>
        </row>
        <row r="2021">
          <cell r="B2021" t="str">
            <v>MORAGA 1101CB</v>
          </cell>
          <cell r="C2021">
            <v>13801101</v>
          </cell>
          <cell r="D2021" t="str">
            <v>MORAGA 1101</v>
          </cell>
          <cell r="E2021" t="str">
            <v>CB</v>
          </cell>
          <cell r="F2021" t="b">
            <v>0</v>
          </cell>
          <cell r="G2021">
            <v>14345.057296802101</v>
          </cell>
          <cell r="H2021">
            <v>13611.4013669914</v>
          </cell>
        </row>
        <row r="2022">
          <cell r="B2022" t="str">
            <v>MORAGA 1102CB</v>
          </cell>
          <cell r="C2022">
            <v>13801102</v>
          </cell>
          <cell r="D2022" t="str">
            <v>MORAGA 1102</v>
          </cell>
          <cell r="E2022" t="str">
            <v>CB</v>
          </cell>
          <cell r="F2022" t="b">
            <v>0</v>
          </cell>
          <cell r="G2022">
            <v>14982.407597809</v>
          </cell>
          <cell r="H2022">
            <v>8539.8299840359305</v>
          </cell>
        </row>
        <row r="2023">
          <cell r="B2023" t="str">
            <v>MORAGA 110381146</v>
          </cell>
          <cell r="C2023">
            <v>13801103</v>
          </cell>
          <cell r="D2023" t="str">
            <v>MORAGA 1103</v>
          </cell>
          <cell r="E2023">
            <v>81146</v>
          </cell>
          <cell r="F2023" t="b">
            <v>0</v>
          </cell>
          <cell r="G2023">
            <v>9033.4152027880391</v>
          </cell>
          <cell r="H2023">
            <v>1226.8592804810701</v>
          </cell>
        </row>
        <row r="2024">
          <cell r="B2024" t="str">
            <v>MORAGA 1103CB</v>
          </cell>
          <cell r="C2024">
            <v>13801103</v>
          </cell>
          <cell r="D2024" t="str">
            <v>MORAGA 1103</v>
          </cell>
          <cell r="E2024" t="str">
            <v>CB</v>
          </cell>
          <cell r="F2024" t="b">
            <v>0</v>
          </cell>
          <cell r="G2024">
            <v>10346.1129425166</v>
          </cell>
          <cell r="H2024">
            <v>2141.37084340301</v>
          </cell>
        </row>
        <row r="2025">
          <cell r="B2025" t="str">
            <v>MORAGA 1103E510R</v>
          </cell>
          <cell r="C2025">
            <v>13801103</v>
          </cell>
          <cell r="D2025" t="str">
            <v>MORAGA 1103</v>
          </cell>
          <cell r="E2025" t="str">
            <v>E510R</v>
          </cell>
          <cell r="F2025" t="b">
            <v>1</v>
          </cell>
          <cell r="G2025">
            <v>9824.4750186295296</v>
          </cell>
          <cell r="H2025">
            <v>807.83648473134099</v>
          </cell>
        </row>
        <row r="2026">
          <cell r="B2026" t="str">
            <v>MORAGA 1104750618</v>
          </cell>
          <cell r="C2026">
            <v>13801104</v>
          </cell>
          <cell r="D2026" t="str">
            <v>MORAGA 1104</v>
          </cell>
          <cell r="E2026">
            <v>750618</v>
          </cell>
          <cell r="F2026" t="b">
            <v>0</v>
          </cell>
          <cell r="G2026">
            <v>1583.7148578542101</v>
          </cell>
          <cell r="H2026">
            <v>1538.3917155240599</v>
          </cell>
        </row>
        <row r="2027">
          <cell r="B2027" t="str">
            <v>MORAGA 1104CB</v>
          </cell>
          <cell r="C2027">
            <v>13801104</v>
          </cell>
          <cell r="D2027" t="str">
            <v>MORAGA 1104</v>
          </cell>
          <cell r="E2027" t="str">
            <v>CB</v>
          </cell>
          <cell r="F2027" t="b">
            <v>0</v>
          </cell>
          <cell r="G2027">
            <v>25157.692285708901</v>
          </cell>
          <cell r="H2027">
            <v>15741.034417058199</v>
          </cell>
        </row>
        <row r="2028">
          <cell r="B2028" t="str">
            <v>MORAGA 1104N532R</v>
          </cell>
          <cell r="C2028">
            <v>13801104</v>
          </cell>
          <cell r="D2028" t="str">
            <v>MORAGA 1104</v>
          </cell>
          <cell r="E2028" t="str">
            <v>N532R</v>
          </cell>
          <cell r="F2028" t="b">
            <v>0</v>
          </cell>
          <cell r="G2028">
            <v>7429.2795537099601</v>
          </cell>
          <cell r="H2028">
            <v>5942.76202451274</v>
          </cell>
        </row>
        <row r="2029">
          <cell r="B2029" t="str">
            <v>MORAGA 1105116034</v>
          </cell>
          <cell r="C2029">
            <v>13801105</v>
          </cell>
          <cell r="D2029" t="str">
            <v>MORAGA 1105</v>
          </cell>
          <cell r="E2029">
            <v>116034</v>
          </cell>
          <cell r="F2029" t="b">
            <v>1</v>
          </cell>
          <cell r="G2029">
            <v>4982.0058788891001</v>
          </cell>
          <cell r="H2029">
            <v>539.50911870541597</v>
          </cell>
        </row>
        <row r="2030">
          <cell r="B2030" t="str">
            <v>MORAGA 110518396</v>
          </cell>
          <cell r="C2030">
            <v>13801105</v>
          </cell>
          <cell r="D2030" t="str">
            <v>MORAGA 1105</v>
          </cell>
          <cell r="E2030">
            <v>18396</v>
          </cell>
          <cell r="F2030" t="b">
            <v>1</v>
          </cell>
          <cell r="G2030">
            <v>1851.73267994208</v>
          </cell>
          <cell r="H2030">
            <v>293.28890890449799</v>
          </cell>
        </row>
        <row r="2031">
          <cell r="B2031" t="str">
            <v>MORAGA 110531512</v>
          </cell>
          <cell r="C2031">
            <v>13801105</v>
          </cell>
          <cell r="D2031" t="str">
            <v>MORAGA 1105</v>
          </cell>
          <cell r="E2031">
            <v>31512</v>
          </cell>
          <cell r="F2031" t="b">
            <v>1</v>
          </cell>
          <cell r="G2031">
            <v>3255.99308394527</v>
          </cell>
          <cell r="H2031">
            <v>0</v>
          </cell>
        </row>
        <row r="2032">
          <cell r="B2032" t="str">
            <v>MORAGA 1105829530</v>
          </cell>
          <cell r="C2032">
            <v>13801105</v>
          </cell>
          <cell r="D2032" t="str">
            <v>MORAGA 1105</v>
          </cell>
          <cell r="E2032">
            <v>829530</v>
          </cell>
          <cell r="F2032" t="b">
            <v>0</v>
          </cell>
          <cell r="G2032">
            <v>4171.4476668314001</v>
          </cell>
          <cell r="H2032">
            <v>2687.7051070992802</v>
          </cell>
        </row>
        <row r="2033">
          <cell r="B2033" t="str">
            <v>MORAGA 1105CB</v>
          </cell>
          <cell r="C2033">
            <v>13801105</v>
          </cell>
          <cell r="D2033" t="str">
            <v>MORAGA 1105</v>
          </cell>
          <cell r="E2033" t="str">
            <v>CB</v>
          </cell>
          <cell r="F2033" t="b">
            <v>0</v>
          </cell>
          <cell r="G2033">
            <v>17419.950571784801</v>
          </cell>
          <cell r="H2033">
            <v>9244.2641538707503</v>
          </cell>
        </row>
        <row r="2034">
          <cell r="B2034" t="str">
            <v>MORGAN HILL 2104152774</v>
          </cell>
          <cell r="C2034">
            <v>83242104</v>
          </cell>
          <cell r="D2034" t="str">
            <v>MORGAN HILL 2104</v>
          </cell>
          <cell r="E2034">
            <v>152774</v>
          </cell>
          <cell r="F2034" t="b">
            <v>0</v>
          </cell>
          <cell r="G2034">
            <v>12406.0754363416</v>
          </cell>
          <cell r="H2034">
            <v>10319.2603118633</v>
          </cell>
        </row>
        <row r="2035">
          <cell r="B2035" t="str">
            <v>MORGAN HILL 2105345099</v>
          </cell>
          <cell r="C2035">
            <v>83242105</v>
          </cell>
          <cell r="D2035" t="str">
            <v>MORGAN HILL 2105</v>
          </cell>
          <cell r="E2035">
            <v>345099</v>
          </cell>
          <cell r="F2035" t="b">
            <v>1</v>
          </cell>
          <cell r="G2035">
            <v>497.39953073428597</v>
          </cell>
          <cell r="H2035">
            <v>293.32618546669897</v>
          </cell>
        </row>
        <row r="2036">
          <cell r="B2036" t="str">
            <v>MORGAN HILL 2105375239</v>
          </cell>
          <cell r="C2036">
            <v>83242105</v>
          </cell>
          <cell r="D2036" t="str">
            <v>MORGAN HILL 2105</v>
          </cell>
          <cell r="E2036">
            <v>375239</v>
          </cell>
          <cell r="F2036" t="b">
            <v>1</v>
          </cell>
          <cell r="G2036">
            <v>343.54999442997001</v>
          </cell>
          <cell r="H2036">
            <v>145.16238001354401</v>
          </cell>
        </row>
        <row r="2037">
          <cell r="B2037" t="str">
            <v>MORGAN HILL 210542348</v>
          </cell>
          <cell r="C2037">
            <v>83242105</v>
          </cell>
          <cell r="D2037" t="str">
            <v>MORGAN HILL 2105</v>
          </cell>
          <cell r="E2037">
            <v>42348</v>
          </cell>
          <cell r="F2037" t="b">
            <v>0</v>
          </cell>
          <cell r="G2037">
            <v>5997.9979680525003</v>
          </cell>
          <cell r="H2037">
            <v>2160.8095681615901</v>
          </cell>
        </row>
        <row r="2038">
          <cell r="B2038" t="str">
            <v>MORGAN HILL 2105975388</v>
          </cell>
          <cell r="C2038">
            <v>83242105</v>
          </cell>
          <cell r="D2038" t="str">
            <v>MORGAN HILL 2105</v>
          </cell>
          <cell r="E2038">
            <v>975388</v>
          </cell>
          <cell r="F2038" t="b">
            <v>1</v>
          </cell>
          <cell r="G2038">
            <v>2101.0589197201002</v>
          </cell>
          <cell r="H2038">
            <v>775.22644985703903</v>
          </cell>
        </row>
        <row r="2039">
          <cell r="B2039" t="str">
            <v>MORGAN HILL 2105XR070</v>
          </cell>
          <cell r="C2039">
            <v>83242105</v>
          </cell>
          <cell r="D2039" t="str">
            <v>MORGAN HILL 2105</v>
          </cell>
          <cell r="E2039" t="str">
            <v>XR070</v>
          </cell>
          <cell r="F2039" t="b">
            <v>0</v>
          </cell>
          <cell r="G2039">
            <v>13972.8613976695</v>
          </cell>
          <cell r="H2039">
            <v>10519.5514339938</v>
          </cell>
        </row>
        <row r="2040">
          <cell r="B2040" t="str">
            <v>MORGAN HILL 2105XR152</v>
          </cell>
          <cell r="C2040">
            <v>83242105</v>
          </cell>
          <cell r="D2040" t="str">
            <v>MORGAN HILL 2105</v>
          </cell>
          <cell r="E2040" t="str">
            <v>XR152</v>
          </cell>
          <cell r="F2040" t="b">
            <v>0</v>
          </cell>
          <cell r="G2040">
            <v>20635.504793623601</v>
          </cell>
          <cell r="H2040">
            <v>14045.9027955235</v>
          </cell>
        </row>
        <row r="2041">
          <cell r="B2041" t="str">
            <v>MORGAN HILL 2105XR176</v>
          </cell>
          <cell r="C2041">
            <v>83242105</v>
          </cell>
          <cell r="D2041" t="str">
            <v>MORGAN HILL 2105</v>
          </cell>
          <cell r="E2041" t="str">
            <v>XR176</v>
          </cell>
          <cell r="F2041" t="b">
            <v>0</v>
          </cell>
          <cell r="G2041">
            <v>44222.289793792501</v>
          </cell>
          <cell r="H2041">
            <v>36252.585192517603</v>
          </cell>
        </row>
        <row r="2042">
          <cell r="B2042" t="str">
            <v>MORGAN HILL 2105XR268</v>
          </cell>
          <cell r="C2042">
            <v>83242105</v>
          </cell>
          <cell r="D2042" t="str">
            <v>MORGAN HILL 2105</v>
          </cell>
          <cell r="E2042" t="str">
            <v>XR268</v>
          </cell>
          <cell r="F2042" t="b">
            <v>0</v>
          </cell>
          <cell r="G2042">
            <v>12802.593650879</v>
          </cell>
          <cell r="H2042">
            <v>12802.593650879</v>
          </cell>
        </row>
        <row r="2043">
          <cell r="B2043" t="str">
            <v>MORGAN HILL 2105XR494</v>
          </cell>
          <cell r="C2043">
            <v>83242105</v>
          </cell>
          <cell r="D2043" t="str">
            <v>MORGAN HILL 2105</v>
          </cell>
          <cell r="E2043" t="str">
            <v>XR494</v>
          </cell>
          <cell r="F2043" t="b">
            <v>1</v>
          </cell>
          <cell r="G2043">
            <v>11814.5496388135</v>
          </cell>
          <cell r="H2043">
            <v>737.50515990983001</v>
          </cell>
        </row>
        <row r="2044">
          <cell r="B2044" t="str">
            <v>MORGAN HILL 2105XR564</v>
          </cell>
          <cell r="C2044">
            <v>83242105</v>
          </cell>
          <cell r="D2044" t="str">
            <v>MORGAN HILL 2105</v>
          </cell>
          <cell r="E2044" t="str">
            <v>XR564</v>
          </cell>
          <cell r="F2044" t="b">
            <v>0</v>
          </cell>
          <cell r="G2044">
            <v>11653.800561690399</v>
          </cell>
          <cell r="H2044">
            <v>9126.85724415402</v>
          </cell>
        </row>
        <row r="2045">
          <cell r="B2045" t="str">
            <v>MORGAN HILL 2105XR578</v>
          </cell>
          <cell r="C2045">
            <v>83242105</v>
          </cell>
          <cell r="D2045" t="str">
            <v>MORGAN HILL 2105</v>
          </cell>
          <cell r="E2045" t="str">
            <v>XR578</v>
          </cell>
          <cell r="F2045" t="b">
            <v>1</v>
          </cell>
          <cell r="G2045">
            <v>1108.6731683348501</v>
          </cell>
          <cell r="H2045">
            <v>261.06022077954702</v>
          </cell>
        </row>
        <row r="2046">
          <cell r="B2046" t="str">
            <v>MORGAN HILL 2105XR602</v>
          </cell>
          <cell r="C2046">
            <v>83242105</v>
          </cell>
          <cell r="D2046" t="str">
            <v>MORGAN HILL 2105</v>
          </cell>
          <cell r="E2046" t="str">
            <v>XR602</v>
          </cell>
          <cell r="F2046" t="b">
            <v>1</v>
          </cell>
          <cell r="G2046">
            <v>1368.27783622174</v>
          </cell>
          <cell r="H2046">
            <v>391.36666132354901</v>
          </cell>
        </row>
        <row r="2047">
          <cell r="B2047" t="str">
            <v>MORGAN HILL 2106CB</v>
          </cell>
          <cell r="C2047">
            <v>83242106</v>
          </cell>
          <cell r="D2047" t="str">
            <v>MORGAN HILL 2106</v>
          </cell>
          <cell r="E2047" t="str">
            <v>CB</v>
          </cell>
          <cell r="F2047" t="b">
            <v>0</v>
          </cell>
          <cell r="G2047">
            <v>6247.2514366261203</v>
          </cell>
          <cell r="H2047">
            <v>1003.19797703545</v>
          </cell>
        </row>
        <row r="2048">
          <cell r="B2048" t="str">
            <v>MORGAN HILL 2109145998</v>
          </cell>
          <cell r="C2048">
            <v>83242109</v>
          </cell>
          <cell r="D2048" t="str">
            <v>MORGAN HILL 2109</v>
          </cell>
          <cell r="E2048">
            <v>145998</v>
          </cell>
          <cell r="F2048" t="b">
            <v>0</v>
          </cell>
          <cell r="G2048">
            <v>4112.6068926620901</v>
          </cell>
          <cell r="H2048">
            <v>4027.9660231469402</v>
          </cell>
        </row>
        <row r="2049">
          <cell r="B2049" t="str">
            <v>MORGAN HILL 2109XR246</v>
          </cell>
          <cell r="C2049">
            <v>83242109</v>
          </cell>
          <cell r="D2049" t="str">
            <v>MORGAN HILL 2109</v>
          </cell>
          <cell r="E2049" t="str">
            <v>XR246</v>
          </cell>
          <cell r="F2049" t="b">
            <v>1</v>
          </cell>
          <cell r="G2049">
            <v>6374.5348413114598</v>
          </cell>
          <cell r="H2049">
            <v>71.593249778761901</v>
          </cell>
        </row>
        <row r="2050">
          <cell r="B2050" t="str">
            <v>MORGAN HILL 2110654924</v>
          </cell>
          <cell r="C2050">
            <v>83242110</v>
          </cell>
          <cell r="D2050" t="str">
            <v>MORGAN HILL 2110</v>
          </cell>
          <cell r="E2050">
            <v>654924</v>
          </cell>
          <cell r="F2050" t="b">
            <v>0</v>
          </cell>
          <cell r="G2050">
            <v>8067.2123122864996</v>
          </cell>
          <cell r="H2050">
            <v>4423.0700685218098</v>
          </cell>
        </row>
        <row r="2051">
          <cell r="B2051" t="str">
            <v>MORGAN HILL 2110814616</v>
          </cell>
          <cell r="C2051">
            <v>83242110</v>
          </cell>
          <cell r="D2051" t="str">
            <v>MORGAN HILL 2110</v>
          </cell>
          <cell r="E2051">
            <v>814616</v>
          </cell>
          <cell r="F2051" t="b">
            <v>1</v>
          </cell>
          <cell r="G2051">
            <v>3902.69214436836</v>
          </cell>
          <cell r="H2051">
            <v>157.40148162527501</v>
          </cell>
        </row>
        <row r="2052">
          <cell r="B2052" t="str">
            <v>MORGAN HILL 2110XR326</v>
          </cell>
          <cell r="C2052">
            <v>83242110</v>
          </cell>
          <cell r="D2052" t="str">
            <v>MORGAN HILL 2110</v>
          </cell>
          <cell r="E2052" t="str">
            <v>XR326</v>
          </cell>
          <cell r="F2052" t="b">
            <v>1</v>
          </cell>
          <cell r="G2052">
            <v>21948.0156132064</v>
          </cell>
          <cell r="H2052">
            <v>0</v>
          </cell>
        </row>
        <row r="2053">
          <cell r="B2053" t="str">
            <v>MORGAN HILL 2111419718</v>
          </cell>
          <cell r="C2053">
            <v>83242111</v>
          </cell>
          <cell r="D2053" t="str">
            <v>MORGAN HILL 2111</v>
          </cell>
          <cell r="E2053">
            <v>419718</v>
          </cell>
          <cell r="F2053" t="b">
            <v>0</v>
          </cell>
          <cell r="G2053">
            <v>3649.8042301493601</v>
          </cell>
          <cell r="H2053">
            <v>3649.8042301493601</v>
          </cell>
        </row>
        <row r="2054">
          <cell r="B2054" t="str">
            <v>MORGAN HILL 2111477914</v>
          </cell>
          <cell r="C2054">
            <v>83242111</v>
          </cell>
          <cell r="D2054" t="str">
            <v>MORGAN HILL 2111</v>
          </cell>
          <cell r="E2054">
            <v>477914</v>
          </cell>
          <cell r="F2054" t="b">
            <v>1</v>
          </cell>
          <cell r="G2054">
            <v>388.28831929898001</v>
          </cell>
          <cell r="H2054">
            <v>307.82905798506499</v>
          </cell>
        </row>
        <row r="2055">
          <cell r="B2055" t="str">
            <v>MORGAN HILL 2111940112</v>
          </cell>
          <cell r="C2055">
            <v>83242111</v>
          </cell>
          <cell r="D2055" t="str">
            <v>MORGAN HILL 2111</v>
          </cell>
          <cell r="E2055">
            <v>940112</v>
          </cell>
          <cell r="F2055" t="b">
            <v>1</v>
          </cell>
          <cell r="G2055">
            <v>489.73850478630402</v>
          </cell>
          <cell r="H2055">
            <v>455.02529330985999</v>
          </cell>
        </row>
        <row r="2056">
          <cell r="B2056" t="str">
            <v>MORGAN HILL 2111CB</v>
          </cell>
          <cell r="C2056">
            <v>83242111</v>
          </cell>
          <cell r="D2056" t="str">
            <v>MORGAN HILL 2111</v>
          </cell>
          <cell r="E2056" t="str">
            <v>CB</v>
          </cell>
          <cell r="F2056" t="b">
            <v>1</v>
          </cell>
          <cell r="G2056">
            <v>3629.55446066481</v>
          </cell>
          <cell r="H2056">
            <v>353.00823908293597</v>
          </cell>
        </row>
        <row r="2057">
          <cell r="B2057" t="str">
            <v>MORGAN HILL 2111XR186</v>
          </cell>
          <cell r="C2057">
            <v>83242111</v>
          </cell>
          <cell r="D2057" t="str">
            <v>MORGAN HILL 2111</v>
          </cell>
          <cell r="E2057" t="str">
            <v>XR186</v>
          </cell>
          <cell r="F2057" t="b">
            <v>0</v>
          </cell>
          <cell r="G2057">
            <v>25721.350486205902</v>
          </cell>
          <cell r="H2057">
            <v>4651.2538387840104</v>
          </cell>
        </row>
        <row r="2058">
          <cell r="B2058" t="str">
            <v>MORGAN HILL 2111XR292</v>
          </cell>
          <cell r="C2058">
            <v>83242111</v>
          </cell>
          <cell r="D2058" t="str">
            <v>MORGAN HILL 2111</v>
          </cell>
          <cell r="E2058" t="str">
            <v>XR292</v>
          </cell>
          <cell r="F2058" t="b">
            <v>0</v>
          </cell>
          <cell r="G2058">
            <v>19536.814679201299</v>
          </cell>
          <cell r="H2058">
            <v>17975.922055343301</v>
          </cell>
        </row>
        <row r="2059">
          <cell r="B2059" t="str">
            <v>MORGAN HILL 2111XR398</v>
          </cell>
          <cell r="C2059">
            <v>83242111</v>
          </cell>
          <cell r="D2059" t="str">
            <v>MORGAN HILL 2111</v>
          </cell>
          <cell r="E2059" t="str">
            <v>XR398</v>
          </cell>
          <cell r="F2059" t="b">
            <v>0</v>
          </cell>
          <cell r="G2059">
            <v>63835.514717926701</v>
          </cell>
          <cell r="H2059">
            <v>60665.529203835598</v>
          </cell>
        </row>
        <row r="2060">
          <cell r="B2060" t="str">
            <v>MORRO BAY 11013487</v>
          </cell>
          <cell r="C2060">
            <v>183011101</v>
          </cell>
          <cell r="D2060" t="str">
            <v>MORRO BAY 1101</v>
          </cell>
          <cell r="E2060">
            <v>3487</v>
          </cell>
          <cell r="F2060" t="b">
            <v>1</v>
          </cell>
          <cell r="G2060">
            <v>2909.5779610925301</v>
          </cell>
          <cell r="H2060">
            <v>0</v>
          </cell>
        </row>
        <row r="2061">
          <cell r="B2061" t="str">
            <v>MORRO BAY 1101CB</v>
          </cell>
          <cell r="C2061">
            <v>183011101</v>
          </cell>
          <cell r="D2061" t="str">
            <v>MORRO BAY 1101</v>
          </cell>
          <cell r="E2061" t="str">
            <v>CB</v>
          </cell>
          <cell r="F2061" t="b">
            <v>1</v>
          </cell>
          <cell r="G2061">
            <v>3472.0335005428001</v>
          </cell>
          <cell r="H2061">
            <v>0</v>
          </cell>
        </row>
        <row r="2062">
          <cell r="B2062" t="str">
            <v>MORRO BAY 1101V66</v>
          </cell>
          <cell r="C2062">
            <v>183011101</v>
          </cell>
          <cell r="D2062" t="str">
            <v>MORRO BAY 1101</v>
          </cell>
          <cell r="E2062" t="str">
            <v>V66</v>
          </cell>
          <cell r="F2062" t="b">
            <v>0</v>
          </cell>
          <cell r="G2062">
            <v>26099.454053356199</v>
          </cell>
          <cell r="H2062">
            <v>5840.0699637446696</v>
          </cell>
        </row>
        <row r="2063">
          <cell r="B2063" t="str">
            <v>MORRO BAY 1101W04</v>
          </cell>
          <cell r="C2063">
            <v>183011101</v>
          </cell>
          <cell r="D2063" t="str">
            <v>MORRO BAY 1101</v>
          </cell>
          <cell r="E2063" t="str">
            <v>W04</v>
          </cell>
          <cell r="F2063" t="b">
            <v>1</v>
          </cell>
          <cell r="G2063">
            <v>3941.4804352301999</v>
          </cell>
          <cell r="H2063">
            <v>437.24412801648498</v>
          </cell>
        </row>
        <row r="2064">
          <cell r="B2064" t="str">
            <v>MORRO BAY 1101W20</v>
          </cell>
          <cell r="C2064">
            <v>183011101</v>
          </cell>
          <cell r="D2064" t="str">
            <v>MORRO BAY 1101</v>
          </cell>
          <cell r="E2064" t="str">
            <v>W20</v>
          </cell>
          <cell r="F2064" t="b">
            <v>0</v>
          </cell>
          <cell r="G2064">
            <v>6313.36059208388</v>
          </cell>
          <cell r="H2064">
            <v>3551.7375521917102</v>
          </cell>
        </row>
        <row r="2065">
          <cell r="B2065" t="str">
            <v>MORRO BAY 1102868170</v>
          </cell>
          <cell r="C2065">
            <v>183011102</v>
          </cell>
          <cell r="D2065" t="str">
            <v>MORRO BAY 1102</v>
          </cell>
          <cell r="E2065">
            <v>868170</v>
          </cell>
          <cell r="F2065" t="b">
            <v>0</v>
          </cell>
          <cell r="G2065">
            <v>15451.707116703499</v>
          </cell>
          <cell r="H2065">
            <v>14595.2194287853</v>
          </cell>
        </row>
        <row r="2066">
          <cell r="B2066" t="str">
            <v>MORRO BAY 1102CB</v>
          </cell>
          <cell r="C2066">
            <v>183011102</v>
          </cell>
          <cell r="D2066" t="str">
            <v>MORRO BAY 1102</v>
          </cell>
          <cell r="E2066" t="str">
            <v>CB</v>
          </cell>
          <cell r="F2066" t="b">
            <v>0</v>
          </cell>
          <cell r="G2066">
            <v>8911.8997424348199</v>
          </cell>
          <cell r="H2066">
            <v>7279.8497564120898</v>
          </cell>
        </row>
        <row r="2067">
          <cell r="B2067" t="str">
            <v>MORRO BAY 1102V80</v>
          </cell>
          <cell r="C2067">
            <v>183011102</v>
          </cell>
          <cell r="D2067" t="str">
            <v>MORRO BAY 1102</v>
          </cell>
          <cell r="E2067" t="str">
            <v>V80</v>
          </cell>
          <cell r="F2067" t="b">
            <v>1</v>
          </cell>
          <cell r="G2067">
            <v>3197.8947619872301</v>
          </cell>
          <cell r="H2067">
            <v>222.75189376570299</v>
          </cell>
        </row>
        <row r="2068">
          <cell r="B2068" t="str">
            <v>MORRO BAY 1102V84</v>
          </cell>
          <cell r="C2068">
            <v>183011102</v>
          </cell>
          <cell r="D2068" t="str">
            <v>MORRO BAY 1102</v>
          </cell>
          <cell r="E2068" t="str">
            <v>V84</v>
          </cell>
          <cell r="F2068" t="b">
            <v>1</v>
          </cell>
          <cell r="G2068">
            <v>15879.952102384799</v>
          </cell>
          <cell r="H2068">
            <v>369.78367936873798</v>
          </cell>
        </row>
        <row r="2069">
          <cell r="B2069" t="str">
            <v>MORRO BAY 1102W22</v>
          </cell>
          <cell r="C2069">
            <v>183011102</v>
          </cell>
          <cell r="D2069" t="str">
            <v>MORRO BAY 1102</v>
          </cell>
          <cell r="E2069" t="str">
            <v>W22</v>
          </cell>
          <cell r="F2069" t="b">
            <v>0</v>
          </cell>
          <cell r="G2069">
            <v>10106.459832111699</v>
          </cell>
          <cell r="H2069">
            <v>4174.22893922603</v>
          </cell>
        </row>
        <row r="2070">
          <cell r="B2070" t="str">
            <v>MORRO BAY 1102W34</v>
          </cell>
          <cell r="C2070">
            <v>183011102</v>
          </cell>
          <cell r="D2070" t="str">
            <v>MORRO BAY 1102</v>
          </cell>
          <cell r="E2070" t="str">
            <v>W34</v>
          </cell>
          <cell r="F2070" t="b">
            <v>0</v>
          </cell>
          <cell r="G2070">
            <v>15456.5207812966</v>
          </cell>
          <cell r="H2070">
            <v>12223.0154371073</v>
          </cell>
        </row>
        <row r="2071">
          <cell r="B2071" t="str">
            <v>MOUNTAIN QUARRIES 21011102</v>
          </cell>
          <cell r="C2071">
            <v>152282101</v>
          </cell>
          <cell r="D2071" t="str">
            <v>MOUNTAIN QUARRIES 2101</v>
          </cell>
          <cell r="E2071">
            <v>1102</v>
          </cell>
          <cell r="F2071" t="b">
            <v>0</v>
          </cell>
          <cell r="G2071">
            <v>69889.601505907704</v>
          </cell>
          <cell r="H2071">
            <v>69889.601505907704</v>
          </cell>
        </row>
        <row r="2072">
          <cell r="B2072" t="str">
            <v>MOUNTAIN QUARRIES 21011130</v>
          </cell>
          <cell r="C2072">
            <v>152282101</v>
          </cell>
          <cell r="D2072" t="str">
            <v>MOUNTAIN QUARRIES 2101</v>
          </cell>
          <cell r="E2072">
            <v>1130</v>
          </cell>
          <cell r="F2072" t="b">
            <v>0</v>
          </cell>
          <cell r="G2072">
            <v>32234.929431376699</v>
          </cell>
          <cell r="H2072">
            <v>32234.929431376699</v>
          </cell>
        </row>
        <row r="2073">
          <cell r="B2073" t="str">
            <v>MOUNTAIN QUARRIES 21011180</v>
          </cell>
          <cell r="C2073">
            <v>152282101</v>
          </cell>
          <cell r="D2073" t="str">
            <v>MOUNTAIN QUARRIES 2101</v>
          </cell>
          <cell r="E2073">
            <v>1180</v>
          </cell>
          <cell r="F2073" t="b">
            <v>0</v>
          </cell>
          <cell r="G2073">
            <v>20847.2085962899</v>
          </cell>
          <cell r="H2073">
            <v>20847.2085962899</v>
          </cell>
        </row>
        <row r="2074">
          <cell r="B2074" t="str">
            <v>MOUNTAIN QUARRIES 21011184</v>
          </cell>
          <cell r="C2074">
            <v>152282101</v>
          </cell>
          <cell r="D2074" t="str">
            <v>MOUNTAIN QUARRIES 2101</v>
          </cell>
          <cell r="E2074">
            <v>1184</v>
          </cell>
          <cell r="F2074" t="b">
            <v>0</v>
          </cell>
          <cell r="G2074">
            <v>18935.634053086</v>
          </cell>
          <cell r="H2074">
            <v>18820.606832601901</v>
          </cell>
        </row>
        <row r="2075">
          <cell r="B2075" t="str">
            <v>MOUNTAIN QUARRIES 21011346</v>
          </cell>
          <cell r="C2075">
            <v>152282101</v>
          </cell>
          <cell r="D2075" t="str">
            <v>MOUNTAIN QUARRIES 2101</v>
          </cell>
          <cell r="E2075">
            <v>1346</v>
          </cell>
          <cell r="F2075" t="b">
            <v>0</v>
          </cell>
          <cell r="G2075">
            <v>49591.662236873897</v>
          </cell>
          <cell r="H2075">
            <v>49591.662236873897</v>
          </cell>
        </row>
        <row r="2076">
          <cell r="B2076" t="str">
            <v>MOUNTAIN QUARRIES 21011350</v>
          </cell>
          <cell r="C2076">
            <v>152282101</v>
          </cell>
          <cell r="D2076" t="str">
            <v>MOUNTAIN QUARRIES 2101</v>
          </cell>
          <cell r="E2076">
            <v>1350</v>
          </cell>
          <cell r="F2076" t="b">
            <v>0</v>
          </cell>
          <cell r="G2076">
            <v>34999.9270745143</v>
          </cell>
          <cell r="H2076">
            <v>34999.9270745143</v>
          </cell>
        </row>
        <row r="2077">
          <cell r="B2077" t="str">
            <v>MOUNTAIN QUARRIES 21012422</v>
          </cell>
          <cell r="C2077">
            <v>152282101</v>
          </cell>
          <cell r="D2077" t="str">
            <v>MOUNTAIN QUARRIES 2101</v>
          </cell>
          <cell r="E2077">
            <v>2422</v>
          </cell>
          <cell r="F2077" t="b">
            <v>0</v>
          </cell>
          <cell r="G2077">
            <v>13951.5772444876</v>
          </cell>
          <cell r="H2077">
            <v>13951.5772444876</v>
          </cell>
        </row>
        <row r="2078">
          <cell r="B2078" t="str">
            <v>MOUNTAIN QUARRIES 210135466</v>
          </cell>
          <cell r="C2078">
            <v>152282101</v>
          </cell>
          <cell r="D2078" t="str">
            <v>MOUNTAIN QUARRIES 2101</v>
          </cell>
          <cell r="E2078">
            <v>35466</v>
          </cell>
          <cell r="F2078" t="b">
            <v>0</v>
          </cell>
          <cell r="G2078">
            <v>11836.661808823101</v>
          </cell>
          <cell r="H2078">
            <v>11836.661808823101</v>
          </cell>
        </row>
        <row r="2079">
          <cell r="B2079" t="str">
            <v>MOUNTAIN QUARRIES 210151584</v>
          </cell>
          <cell r="C2079">
            <v>152282101</v>
          </cell>
          <cell r="D2079" t="str">
            <v>MOUNTAIN QUARRIES 2101</v>
          </cell>
          <cell r="E2079">
            <v>51584</v>
          </cell>
          <cell r="F2079" t="b">
            <v>0</v>
          </cell>
          <cell r="G2079">
            <v>35041.553426966799</v>
          </cell>
          <cell r="H2079">
            <v>35041.553426966799</v>
          </cell>
        </row>
        <row r="2080">
          <cell r="B2080" t="str">
            <v>MOUNTAIN QUARRIES 21016953</v>
          </cell>
          <cell r="C2080">
            <v>152282101</v>
          </cell>
          <cell r="D2080" t="str">
            <v>MOUNTAIN QUARRIES 2101</v>
          </cell>
          <cell r="E2080">
            <v>6953</v>
          </cell>
          <cell r="F2080" t="b">
            <v>0</v>
          </cell>
          <cell r="G2080">
            <v>9187.9729740039693</v>
          </cell>
          <cell r="H2080">
            <v>9187.9729740039693</v>
          </cell>
        </row>
        <row r="2081">
          <cell r="B2081" t="str">
            <v>MOUNTAIN QUARRIES 210192474</v>
          </cell>
          <cell r="C2081">
            <v>152282101</v>
          </cell>
          <cell r="D2081" t="str">
            <v>MOUNTAIN QUARRIES 2101</v>
          </cell>
          <cell r="E2081">
            <v>92474</v>
          </cell>
          <cell r="F2081" t="b">
            <v>0</v>
          </cell>
          <cell r="G2081">
            <v>25104.647719305001</v>
          </cell>
          <cell r="H2081">
            <v>24305.418103475102</v>
          </cell>
        </row>
        <row r="2082">
          <cell r="B2082" t="str">
            <v>MOUNTAIN QUARRIES 2101CB</v>
          </cell>
          <cell r="C2082">
            <v>152282101</v>
          </cell>
          <cell r="D2082" t="str">
            <v>MOUNTAIN QUARRIES 2101</v>
          </cell>
          <cell r="E2082" t="str">
            <v>CB</v>
          </cell>
          <cell r="F2082" t="b">
            <v>0</v>
          </cell>
          <cell r="G2082">
            <v>40215.546732118601</v>
          </cell>
          <cell r="H2082">
            <v>40215.546732118601</v>
          </cell>
        </row>
        <row r="2083">
          <cell r="B2083" t="str">
            <v>NAPA 11025039</v>
          </cell>
          <cell r="C2083">
            <v>42021102</v>
          </cell>
          <cell r="D2083" t="str">
            <v>NAPA 1102</v>
          </cell>
          <cell r="E2083">
            <v>5039</v>
          </cell>
          <cell r="F2083" t="b">
            <v>1</v>
          </cell>
          <cell r="G2083">
            <v>4245.04624664107</v>
          </cell>
          <cell r="H2083">
            <v>0</v>
          </cell>
        </row>
        <row r="2084">
          <cell r="B2084" t="str">
            <v>NAPA 1102561208</v>
          </cell>
          <cell r="C2084">
            <v>42021102</v>
          </cell>
          <cell r="D2084" t="str">
            <v>NAPA 1102</v>
          </cell>
          <cell r="E2084">
            <v>561208</v>
          </cell>
          <cell r="F2084" t="b">
            <v>0</v>
          </cell>
          <cell r="G2084">
            <v>4547.6852448438303</v>
          </cell>
          <cell r="H2084">
            <v>1347.5453714067401</v>
          </cell>
        </row>
        <row r="2085">
          <cell r="B2085" t="str">
            <v>NAPA 11121302</v>
          </cell>
          <cell r="C2085">
            <v>42021112</v>
          </cell>
          <cell r="D2085" t="str">
            <v>NAPA 1112</v>
          </cell>
          <cell r="E2085">
            <v>1302</v>
          </cell>
          <cell r="F2085" t="b">
            <v>0</v>
          </cell>
          <cell r="G2085">
            <v>55353.029929693599</v>
          </cell>
          <cell r="H2085">
            <v>32333.736900328498</v>
          </cell>
        </row>
        <row r="2086">
          <cell r="B2086" t="str">
            <v>NAPA 1112CB</v>
          </cell>
          <cell r="C2086">
            <v>42021112</v>
          </cell>
          <cell r="D2086" t="str">
            <v>NAPA 1112</v>
          </cell>
          <cell r="E2086" t="str">
            <v>CB</v>
          </cell>
          <cell r="F2086" t="b">
            <v>1</v>
          </cell>
          <cell r="G2086">
            <v>26742.875334978598</v>
          </cell>
          <cell r="H2086">
            <v>940.99909734704204</v>
          </cell>
        </row>
        <row r="2087">
          <cell r="B2087" t="str">
            <v>NARROWS 21011202</v>
          </cell>
          <cell r="C2087">
            <v>153132101</v>
          </cell>
          <cell r="D2087" t="str">
            <v>NARROWS 2101</v>
          </cell>
          <cell r="E2087">
            <v>1202</v>
          </cell>
          <cell r="F2087" t="b">
            <v>0</v>
          </cell>
          <cell r="G2087">
            <v>73649.878866184998</v>
          </cell>
          <cell r="H2087">
            <v>73649.878866184998</v>
          </cell>
        </row>
        <row r="2088">
          <cell r="B2088" t="str">
            <v>NARROWS 2101CB</v>
          </cell>
          <cell r="C2088">
            <v>153132101</v>
          </cell>
          <cell r="D2088" t="str">
            <v>NARROWS 2101</v>
          </cell>
          <cell r="E2088" t="str">
            <v>CB</v>
          </cell>
          <cell r="F2088" t="b">
            <v>0</v>
          </cell>
          <cell r="G2088">
            <v>25047.844847753498</v>
          </cell>
          <cell r="H2088">
            <v>25047.844847753498</v>
          </cell>
        </row>
        <row r="2089">
          <cell r="B2089" t="str">
            <v>NARROWS 21022220</v>
          </cell>
          <cell r="C2089">
            <v>153132102</v>
          </cell>
          <cell r="D2089" t="str">
            <v>NARROWS 2102</v>
          </cell>
          <cell r="E2089">
            <v>2220</v>
          </cell>
          <cell r="F2089" t="b">
            <v>0</v>
          </cell>
          <cell r="G2089">
            <v>45533.947729464402</v>
          </cell>
          <cell r="H2089">
            <v>44226.437278342499</v>
          </cell>
        </row>
        <row r="2090">
          <cell r="B2090" t="str">
            <v>NARROWS 21022718</v>
          </cell>
          <cell r="C2090">
            <v>153132102</v>
          </cell>
          <cell r="D2090" t="str">
            <v>NARROWS 2102</v>
          </cell>
          <cell r="E2090">
            <v>2718</v>
          </cell>
          <cell r="F2090" t="b">
            <v>1</v>
          </cell>
          <cell r="G2090">
            <v>11657.4654013248</v>
          </cell>
          <cell r="H2090">
            <v>495.64222847970501</v>
          </cell>
        </row>
        <row r="2091">
          <cell r="B2091" t="str">
            <v>NARROWS 210248484</v>
          </cell>
          <cell r="C2091">
            <v>153132102</v>
          </cell>
          <cell r="D2091" t="str">
            <v>NARROWS 2102</v>
          </cell>
          <cell r="E2091">
            <v>48484</v>
          </cell>
          <cell r="F2091" t="b">
            <v>0</v>
          </cell>
          <cell r="G2091">
            <v>67054.867197721207</v>
          </cell>
          <cell r="H2091">
            <v>67054.867197721207</v>
          </cell>
        </row>
        <row r="2092">
          <cell r="B2092" t="str">
            <v>NARROWS 210276952</v>
          </cell>
          <cell r="C2092">
            <v>153132102</v>
          </cell>
          <cell r="D2092" t="str">
            <v>NARROWS 2102</v>
          </cell>
          <cell r="E2092">
            <v>76952</v>
          </cell>
          <cell r="F2092" t="b">
            <v>0</v>
          </cell>
          <cell r="G2092">
            <v>18206.8026400116</v>
          </cell>
          <cell r="H2092">
            <v>3648.44959459036</v>
          </cell>
        </row>
        <row r="2093">
          <cell r="B2093" t="str">
            <v>NARROWS 2102CB</v>
          </cell>
          <cell r="C2093">
            <v>153132102</v>
          </cell>
          <cell r="D2093" t="str">
            <v>NARROWS 2102</v>
          </cell>
          <cell r="E2093" t="str">
            <v>CB</v>
          </cell>
          <cell r="F2093" t="b">
            <v>0</v>
          </cell>
          <cell r="G2093">
            <v>39248.315256525602</v>
          </cell>
          <cell r="H2093">
            <v>36287.640288092698</v>
          </cell>
        </row>
        <row r="2094">
          <cell r="B2094" t="str">
            <v>NARROWS 2104CB</v>
          </cell>
          <cell r="C2094">
            <v>153132104</v>
          </cell>
          <cell r="D2094" t="str">
            <v>NARROWS 2104</v>
          </cell>
          <cell r="E2094" t="str">
            <v>CB</v>
          </cell>
          <cell r="F2094" t="b">
            <v>1</v>
          </cell>
          <cell r="G2094">
            <v>4.5719965862992797</v>
          </cell>
          <cell r="H2094">
            <v>4.5719965862992797</v>
          </cell>
        </row>
        <row r="2095">
          <cell r="B2095" t="str">
            <v>NARROWS 21052216</v>
          </cell>
          <cell r="C2095">
            <v>153132105</v>
          </cell>
          <cell r="D2095" t="str">
            <v>NARROWS 2105</v>
          </cell>
          <cell r="E2095">
            <v>2216</v>
          </cell>
          <cell r="F2095" t="b">
            <v>0</v>
          </cell>
          <cell r="G2095">
            <v>93046.013208628603</v>
          </cell>
          <cell r="H2095">
            <v>91192.076764327503</v>
          </cell>
        </row>
        <row r="2096">
          <cell r="B2096" t="str">
            <v>NARROWS 21052228</v>
          </cell>
          <cell r="C2096">
            <v>153132105</v>
          </cell>
          <cell r="D2096" t="str">
            <v>NARROWS 2105</v>
          </cell>
          <cell r="E2096">
            <v>2228</v>
          </cell>
          <cell r="F2096" t="b">
            <v>0</v>
          </cell>
          <cell r="G2096">
            <v>34201.724138163503</v>
          </cell>
          <cell r="H2096">
            <v>33727.147124967101</v>
          </cell>
        </row>
        <row r="2097">
          <cell r="B2097" t="str">
            <v>NARROWS 21052426</v>
          </cell>
          <cell r="C2097">
            <v>153132105</v>
          </cell>
          <cell r="D2097" t="str">
            <v>NARROWS 2105</v>
          </cell>
          <cell r="E2097">
            <v>2426</v>
          </cell>
          <cell r="F2097" t="b">
            <v>0</v>
          </cell>
          <cell r="G2097">
            <v>27934.498925169999</v>
          </cell>
          <cell r="H2097">
            <v>13782.7728152216</v>
          </cell>
        </row>
        <row r="2098">
          <cell r="B2098" t="str">
            <v>NARROWS 21052748</v>
          </cell>
          <cell r="C2098">
            <v>153132105</v>
          </cell>
          <cell r="D2098" t="str">
            <v>NARROWS 2105</v>
          </cell>
          <cell r="E2098">
            <v>2748</v>
          </cell>
          <cell r="F2098" t="b">
            <v>0</v>
          </cell>
          <cell r="G2098">
            <v>31538.407634040599</v>
          </cell>
          <cell r="H2098">
            <v>20831.4864473333</v>
          </cell>
        </row>
        <row r="2099">
          <cell r="B2099" t="str">
            <v>NARROWS 210534069</v>
          </cell>
          <cell r="C2099">
            <v>153132105</v>
          </cell>
          <cell r="D2099" t="str">
            <v>NARROWS 2105</v>
          </cell>
          <cell r="E2099">
            <v>34069</v>
          </cell>
          <cell r="F2099" t="b">
            <v>0</v>
          </cell>
          <cell r="G2099">
            <v>25331.847305003099</v>
          </cell>
          <cell r="H2099">
            <v>25331.847305003099</v>
          </cell>
        </row>
        <row r="2100">
          <cell r="B2100" t="str">
            <v>NARROWS 210551582</v>
          </cell>
          <cell r="C2100">
            <v>153132105</v>
          </cell>
          <cell r="D2100" t="str">
            <v>NARROWS 2105</v>
          </cell>
          <cell r="E2100">
            <v>51582</v>
          </cell>
          <cell r="F2100" t="b">
            <v>0</v>
          </cell>
          <cell r="G2100">
            <v>15330.267117533</v>
          </cell>
          <cell r="H2100">
            <v>15330.267117533</v>
          </cell>
        </row>
        <row r="2101">
          <cell r="B2101" t="str">
            <v>NARROWS 21057203</v>
          </cell>
          <cell r="C2101">
            <v>153132105</v>
          </cell>
          <cell r="D2101" t="str">
            <v>NARROWS 2105</v>
          </cell>
          <cell r="E2101">
            <v>7203</v>
          </cell>
          <cell r="F2101" t="b">
            <v>0</v>
          </cell>
          <cell r="G2101">
            <v>30305.2229144306</v>
          </cell>
          <cell r="H2101">
            <v>29904.6732687078</v>
          </cell>
        </row>
        <row r="2102">
          <cell r="B2102" t="str">
            <v>NARROWS 2105CB</v>
          </cell>
          <cell r="C2102">
            <v>153132105</v>
          </cell>
          <cell r="D2102" t="str">
            <v>NARROWS 2105</v>
          </cell>
          <cell r="E2102" t="str">
            <v>CB</v>
          </cell>
          <cell r="F2102" t="b">
            <v>0</v>
          </cell>
          <cell r="G2102">
            <v>58448.722746324202</v>
          </cell>
          <cell r="H2102">
            <v>58073.640204797499</v>
          </cell>
        </row>
        <row r="2103">
          <cell r="B2103" t="str">
            <v>NARROWS PH 1151CB</v>
          </cell>
          <cell r="C2103">
            <v>153131151</v>
          </cell>
          <cell r="D2103" t="str">
            <v>NARROWS PH 1151</v>
          </cell>
          <cell r="E2103" t="str">
            <v>CB</v>
          </cell>
          <cell r="F2103" t="b">
            <v>1</v>
          </cell>
          <cell r="G2103">
            <v>286.989068642012</v>
          </cell>
          <cell r="H2103">
            <v>286.989068642012</v>
          </cell>
        </row>
        <row r="2104">
          <cell r="B2104" t="str">
            <v>NEWBURG 11313446</v>
          </cell>
          <cell r="C2104">
            <v>192151131</v>
          </cell>
          <cell r="D2104" t="str">
            <v>NEWBURG 1131</v>
          </cell>
          <cell r="E2104">
            <v>3446</v>
          </cell>
          <cell r="F2104" t="b">
            <v>1</v>
          </cell>
          <cell r="G2104">
            <v>13148.5405296032</v>
          </cell>
          <cell r="H2104">
            <v>475.01262233861399</v>
          </cell>
        </row>
        <row r="2105">
          <cell r="B2105" t="str">
            <v>NEWBURG 1131380686</v>
          </cell>
          <cell r="C2105">
            <v>192151131</v>
          </cell>
          <cell r="D2105" t="str">
            <v>NEWBURG 1131</v>
          </cell>
          <cell r="E2105">
            <v>380686</v>
          </cell>
          <cell r="F2105" t="b">
            <v>0</v>
          </cell>
          <cell r="G2105">
            <v>4931.6119295636199</v>
          </cell>
          <cell r="H2105">
            <v>3014.5330959911498</v>
          </cell>
        </row>
        <row r="2106">
          <cell r="B2106" t="str">
            <v>NEWBURG 1131557468</v>
          </cell>
          <cell r="C2106">
            <v>192151131</v>
          </cell>
          <cell r="D2106" t="str">
            <v>NEWBURG 1131</v>
          </cell>
          <cell r="E2106">
            <v>557468</v>
          </cell>
          <cell r="F2106" t="b">
            <v>0</v>
          </cell>
          <cell r="G2106">
            <v>3768.3144026042301</v>
          </cell>
          <cell r="H2106">
            <v>1423.67318422686</v>
          </cell>
        </row>
        <row r="2107">
          <cell r="B2107" t="str">
            <v>NEWBURG 113190242</v>
          </cell>
          <cell r="C2107">
            <v>192151131</v>
          </cell>
          <cell r="D2107" t="str">
            <v>NEWBURG 1131</v>
          </cell>
          <cell r="E2107">
            <v>90242</v>
          </cell>
          <cell r="F2107" t="b">
            <v>0</v>
          </cell>
          <cell r="G2107">
            <v>7016.5204255860799</v>
          </cell>
          <cell r="H2107">
            <v>6652.6427316052996</v>
          </cell>
        </row>
        <row r="2108">
          <cell r="B2108" t="str">
            <v>NEWBURG 1131987158</v>
          </cell>
          <cell r="C2108">
            <v>192151131</v>
          </cell>
          <cell r="D2108" t="str">
            <v>NEWBURG 1131</v>
          </cell>
          <cell r="E2108">
            <v>987158</v>
          </cell>
          <cell r="F2108" t="b">
            <v>1</v>
          </cell>
          <cell r="G2108">
            <v>443.41394702120999</v>
          </cell>
          <cell r="H2108">
            <v>397.68307839467502</v>
          </cell>
        </row>
        <row r="2109">
          <cell r="B2109" t="str">
            <v>NEWBURG 1131CB</v>
          </cell>
          <cell r="C2109">
            <v>192151131</v>
          </cell>
          <cell r="D2109" t="str">
            <v>NEWBURG 1131</v>
          </cell>
          <cell r="E2109" t="str">
            <v>CB</v>
          </cell>
          <cell r="F2109" t="b">
            <v>1</v>
          </cell>
          <cell r="G2109">
            <v>10978.5427758691</v>
          </cell>
          <cell r="H2109">
            <v>257.32328498610201</v>
          </cell>
        </row>
        <row r="2110">
          <cell r="B2110" t="str">
            <v>NEWBURG 1132665674</v>
          </cell>
          <cell r="C2110">
            <v>192151132</v>
          </cell>
          <cell r="D2110" t="str">
            <v>NEWBURG 1132</v>
          </cell>
          <cell r="E2110">
            <v>665674</v>
          </cell>
          <cell r="F2110" t="b">
            <v>1</v>
          </cell>
          <cell r="G2110">
            <v>2469.7606202855</v>
          </cell>
          <cell r="H2110">
            <v>698.79825229523203</v>
          </cell>
        </row>
        <row r="2111">
          <cell r="B2111" t="str">
            <v>NEWBURG 1132910230</v>
          </cell>
          <cell r="C2111">
            <v>192151132</v>
          </cell>
          <cell r="D2111" t="str">
            <v>NEWBURG 1132</v>
          </cell>
          <cell r="E2111">
            <v>910230</v>
          </cell>
          <cell r="F2111" t="b">
            <v>0</v>
          </cell>
          <cell r="G2111">
            <v>3166.5297195425201</v>
          </cell>
          <cell r="H2111">
            <v>1560.5068819688699</v>
          </cell>
        </row>
        <row r="2112">
          <cell r="B2112" t="str">
            <v>NEWBURG 1133CB</v>
          </cell>
          <cell r="C2112">
            <v>192151133</v>
          </cell>
          <cell r="D2112" t="str">
            <v>NEWBURG 1133</v>
          </cell>
          <cell r="E2112" t="str">
            <v>CB</v>
          </cell>
          <cell r="F2112" t="b">
            <v>0</v>
          </cell>
          <cell r="G2112">
            <v>14786.855477933101</v>
          </cell>
          <cell r="H2112">
            <v>5089.2485035080299</v>
          </cell>
        </row>
        <row r="2113">
          <cell r="B2113" t="str">
            <v>NORTH BRANCH 110111158</v>
          </cell>
          <cell r="C2113">
            <v>163231101</v>
          </cell>
          <cell r="D2113" t="str">
            <v>NORTH BRANCH 1101</v>
          </cell>
          <cell r="E2113">
            <v>11158</v>
          </cell>
          <cell r="F2113" t="b">
            <v>0</v>
          </cell>
          <cell r="G2113">
            <v>47609.492899980301</v>
          </cell>
          <cell r="H2113">
            <v>20499.893494219199</v>
          </cell>
        </row>
        <row r="2114">
          <cell r="B2114" t="str">
            <v>NORTH BRANCH 110111206</v>
          </cell>
          <cell r="C2114">
            <v>163231101</v>
          </cell>
          <cell r="D2114" t="str">
            <v>NORTH BRANCH 1101</v>
          </cell>
          <cell r="E2114">
            <v>11206</v>
          </cell>
          <cell r="F2114" t="b">
            <v>0</v>
          </cell>
          <cell r="G2114">
            <v>28786.4552265276</v>
          </cell>
          <cell r="H2114">
            <v>28782.167776861701</v>
          </cell>
        </row>
        <row r="2115">
          <cell r="B2115" t="str">
            <v>NORTH BRANCH 110113496</v>
          </cell>
          <cell r="C2115">
            <v>163231101</v>
          </cell>
          <cell r="D2115" t="str">
            <v>NORTH BRANCH 1101</v>
          </cell>
          <cell r="E2115">
            <v>13496</v>
          </cell>
          <cell r="F2115" t="b">
            <v>0</v>
          </cell>
          <cell r="G2115">
            <v>8111.7844879552704</v>
          </cell>
          <cell r="H2115">
            <v>3211.8845450173299</v>
          </cell>
        </row>
        <row r="2116">
          <cell r="B2116" t="str">
            <v>NORTH BRANCH 1101CB</v>
          </cell>
          <cell r="C2116">
            <v>163231101</v>
          </cell>
          <cell r="D2116" t="str">
            <v>NORTH BRANCH 1101</v>
          </cell>
          <cell r="E2116" t="str">
            <v>CB</v>
          </cell>
          <cell r="F2116" t="b">
            <v>0</v>
          </cell>
          <cell r="G2116">
            <v>32934.795715166103</v>
          </cell>
          <cell r="H2116">
            <v>25410.311875499501</v>
          </cell>
        </row>
        <row r="2117">
          <cell r="B2117" t="str">
            <v>NORTH BRANCH 1101TS1115</v>
          </cell>
          <cell r="C2117">
            <v>163231101</v>
          </cell>
          <cell r="D2117" t="str">
            <v>NORTH BRANCH 1101</v>
          </cell>
          <cell r="E2117" t="str">
            <v>TS1115</v>
          </cell>
          <cell r="F2117" t="b">
            <v>0</v>
          </cell>
          <cell r="G2117">
            <v>28340.508263332798</v>
          </cell>
          <cell r="H2117">
            <v>28340.508263332798</v>
          </cell>
        </row>
        <row r="2118">
          <cell r="B2118" t="str">
            <v>NORTH DUBLIN 2101CB</v>
          </cell>
          <cell r="C2118">
            <v>14052101</v>
          </cell>
          <cell r="D2118" t="str">
            <v>NORTH DUBLIN 2101</v>
          </cell>
          <cell r="E2118" t="str">
            <v>CB</v>
          </cell>
          <cell r="F2118" t="b">
            <v>0</v>
          </cell>
          <cell r="G2118">
            <v>2942.9352105880698</v>
          </cell>
          <cell r="H2118">
            <v>2836.5864163709698</v>
          </cell>
        </row>
        <row r="2119">
          <cell r="B2119" t="str">
            <v>NORTH DUBLIN 2101MR765</v>
          </cell>
          <cell r="C2119">
            <v>14052101</v>
          </cell>
          <cell r="D2119" t="str">
            <v>NORTH DUBLIN 2101</v>
          </cell>
          <cell r="E2119" t="str">
            <v>MR765</v>
          </cell>
          <cell r="F2119" t="b">
            <v>0</v>
          </cell>
          <cell r="G2119">
            <v>3411.70786375753</v>
          </cell>
          <cell r="H2119">
            <v>3330.9197097032902</v>
          </cell>
        </row>
        <row r="2120">
          <cell r="B2120" t="str">
            <v>NORTH DUBLIN 210311101</v>
          </cell>
          <cell r="C2120">
            <v>14052103</v>
          </cell>
          <cell r="D2120" t="str">
            <v>NORTH DUBLIN 2103</v>
          </cell>
          <cell r="E2120">
            <v>11101</v>
          </cell>
          <cell r="F2120" t="b">
            <v>0</v>
          </cell>
          <cell r="G2120">
            <v>5931.2677788132596</v>
          </cell>
          <cell r="H2120">
            <v>5931.2677788132596</v>
          </cell>
        </row>
        <row r="2121">
          <cell r="B2121" t="str">
            <v>NORTH DUBLIN 21039473</v>
          </cell>
          <cell r="C2121">
            <v>14052103</v>
          </cell>
          <cell r="D2121" t="str">
            <v>NORTH DUBLIN 2103</v>
          </cell>
          <cell r="E2121">
            <v>9473</v>
          </cell>
          <cell r="F2121" t="b">
            <v>0</v>
          </cell>
          <cell r="G2121">
            <v>4735.3385953027</v>
          </cell>
          <cell r="H2121">
            <v>3890.4789532640598</v>
          </cell>
        </row>
        <row r="2122">
          <cell r="B2122" t="str">
            <v>NORTH DUBLIN 2103CB</v>
          </cell>
          <cell r="C2122">
            <v>14052103</v>
          </cell>
          <cell r="D2122" t="str">
            <v>NORTH DUBLIN 2103</v>
          </cell>
          <cell r="E2122" t="str">
            <v>CB</v>
          </cell>
          <cell r="F2122" t="b">
            <v>0</v>
          </cell>
          <cell r="G2122">
            <v>24190.4570541746</v>
          </cell>
          <cell r="H2122">
            <v>22339.311726953401</v>
          </cell>
        </row>
        <row r="2123">
          <cell r="B2123" t="str">
            <v>NORTH TOWER 2101CB</v>
          </cell>
          <cell r="C2123">
            <v>42042101</v>
          </cell>
          <cell r="D2123" t="str">
            <v>NORTH TOWER 2101</v>
          </cell>
          <cell r="E2123" t="str">
            <v>CB</v>
          </cell>
          <cell r="F2123" t="b">
            <v>0</v>
          </cell>
          <cell r="G2123">
            <v>7077.2532137504504</v>
          </cell>
          <cell r="H2123">
            <v>2179.35428005024</v>
          </cell>
        </row>
        <row r="2124">
          <cell r="B2124" t="str">
            <v>NOTRE DAME 1103317782</v>
          </cell>
          <cell r="C2124">
            <v>102041103</v>
          </cell>
          <cell r="D2124" t="str">
            <v>NOTRE DAME 1103</v>
          </cell>
          <cell r="E2124">
            <v>317782</v>
          </cell>
          <cell r="F2124" t="b">
            <v>1</v>
          </cell>
          <cell r="G2124">
            <v>6689.8141520583104</v>
          </cell>
          <cell r="H2124">
            <v>874.19289276571305</v>
          </cell>
        </row>
        <row r="2125">
          <cell r="B2125" t="str">
            <v>NOTRE DAME 11042028</v>
          </cell>
          <cell r="C2125">
            <v>102041104</v>
          </cell>
          <cell r="D2125" t="str">
            <v>NOTRE DAME 1104</v>
          </cell>
          <cell r="E2125">
            <v>2028</v>
          </cell>
          <cell r="F2125" t="b">
            <v>0</v>
          </cell>
          <cell r="G2125">
            <v>17437.718265256499</v>
          </cell>
          <cell r="H2125">
            <v>17437.718265256499</v>
          </cell>
        </row>
        <row r="2126">
          <cell r="B2126" t="str">
            <v>NOTRE DAME 11042408</v>
          </cell>
          <cell r="C2126">
            <v>102041104</v>
          </cell>
          <cell r="D2126" t="str">
            <v>NOTRE DAME 1104</v>
          </cell>
          <cell r="E2126">
            <v>2408</v>
          </cell>
          <cell r="F2126" t="b">
            <v>0</v>
          </cell>
          <cell r="G2126">
            <v>22439.086505777799</v>
          </cell>
          <cell r="H2126">
            <v>18541.241281960502</v>
          </cell>
        </row>
        <row r="2127">
          <cell r="B2127" t="str">
            <v>NOTRE DAME 11042537</v>
          </cell>
          <cell r="C2127">
            <v>102041104</v>
          </cell>
          <cell r="D2127" t="str">
            <v>NOTRE DAME 1104</v>
          </cell>
          <cell r="E2127">
            <v>2537</v>
          </cell>
          <cell r="F2127" t="b">
            <v>0</v>
          </cell>
          <cell r="G2127">
            <v>8030.1143441623299</v>
          </cell>
          <cell r="H2127">
            <v>8030.1143441623299</v>
          </cell>
        </row>
        <row r="2128">
          <cell r="B2128" t="str">
            <v>NOTRE DAME 1104937710</v>
          </cell>
          <cell r="C2128">
            <v>102041104</v>
          </cell>
          <cell r="D2128" t="str">
            <v>NOTRE DAME 1104</v>
          </cell>
          <cell r="E2128">
            <v>937710</v>
          </cell>
          <cell r="F2128" t="b">
            <v>0</v>
          </cell>
          <cell r="G2128">
            <v>2292.7758169434001</v>
          </cell>
          <cell r="H2128">
            <v>1372.1379392482199</v>
          </cell>
        </row>
        <row r="2129">
          <cell r="B2129" t="str">
            <v>NOVATO 11041282</v>
          </cell>
          <cell r="C2129">
            <v>42211104</v>
          </cell>
          <cell r="D2129" t="str">
            <v>NOVATO 1104</v>
          </cell>
          <cell r="E2129">
            <v>1282</v>
          </cell>
          <cell r="F2129" t="b">
            <v>1</v>
          </cell>
          <cell r="G2129">
            <v>5984.1771176648299</v>
          </cell>
          <cell r="H2129">
            <v>0</v>
          </cell>
        </row>
        <row r="2130">
          <cell r="B2130" t="str">
            <v>NOVATO 110455398</v>
          </cell>
          <cell r="C2130">
            <v>42211104</v>
          </cell>
          <cell r="D2130" t="str">
            <v>NOVATO 1104</v>
          </cell>
          <cell r="E2130">
            <v>55398</v>
          </cell>
          <cell r="F2130" t="b">
            <v>0</v>
          </cell>
          <cell r="G2130">
            <v>18355.850085463499</v>
          </cell>
          <cell r="H2130">
            <v>5879.4418289755204</v>
          </cell>
        </row>
        <row r="2131">
          <cell r="B2131" t="str">
            <v>NOVATO 1104676060</v>
          </cell>
          <cell r="C2131">
            <v>42211104</v>
          </cell>
          <cell r="D2131" t="str">
            <v>NOVATO 1104</v>
          </cell>
          <cell r="E2131">
            <v>676060</v>
          </cell>
          <cell r="F2131" t="b">
            <v>1</v>
          </cell>
          <cell r="G2131">
            <v>1407.16202532289</v>
          </cell>
          <cell r="H2131">
            <v>722.77707429730197</v>
          </cell>
        </row>
        <row r="2132">
          <cell r="B2132" t="str">
            <v>OAK 0401CB</v>
          </cell>
          <cell r="C2132">
            <v>12600401</v>
          </cell>
          <cell r="D2132" t="str">
            <v>OAK 0401</v>
          </cell>
          <cell r="E2132" t="str">
            <v>CB</v>
          </cell>
          <cell r="F2132" t="b">
            <v>0</v>
          </cell>
          <cell r="G2132">
            <v>8716.4726115673093</v>
          </cell>
          <cell r="H2132">
            <v>5585.5806229500704</v>
          </cell>
        </row>
        <row r="2133">
          <cell r="B2133" t="str">
            <v>OAKHURST 110110090</v>
          </cell>
          <cell r="C2133">
            <v>254421101</v>
          </cell>
          <cell r="D2133" t="str">
            <v>OAKHURST 1101</v>
          </cell>
          <cell r="E2133">
            <v>10090</v>
          </cell>
          <cell r="F2133" t="b">
            <v>0</v>
          </cell>
          <cell r="G2133">
            <v>70938.540557421802</v>
          </cell>
          <cell r="H2133">
            <v>70938.540557421802</v>
          </cell>
        </row>
        <row r="2134">
          <cell r="B2134" t="str">
            <v>OAKHURST 11015490</v>
          </cell>
          <cell r="C2134">
            <v>254421101</v>
          </cell>
          <cell r="D2134" t="str">
            <v>OAKHURST 1101</v>
          </cell>
          <cell r="E2134">
            <v>5490</v>
          </cell>
          <cell r="F2134" t="b">
            <v>0</v>
          </cell>
          <cell r="G2134">
            <v>40241.339141113902</v>
          </cell>
          <cell r="H2134">
            <v>40241.339141113902</v>
          </cell>
        </row>
        <row r="2135">
          <cell r="B2135" t="str">
            <v>OAKHURST 1101636114</v>
          </cell>
          <cell r="C2135">
            <v>254421101</v>
          </cell>
          <cell r="D2135" t="str">
            <v>OAKHURST 1101</v>
          </cell>
          <cell r="E2135">
            <v>636114</v>
          </cell>
          <cell r="F2135" t="b">
            <v>0</v>
          </cell>
          <cell r="G2135">
            <v>32974.164320361</v>
          </cell>
          <cell r="H2135">
            <v>32974.164320361</v>
          </cell>
        </row>
        <row r="2136">
          <cell r="B2136" t="str">
            <v>OAKHURST 1101CB</v>
          </cell>
          <cell r="C2136">
            <v>254421101</v>
          </cell>
          <cell r="D2136" t="str">
            <v>OAKHURST 1101</v>
          </cell>
          <cell r="E2136" t="str">
            <v>CB</v>
          </cell>
          <cell r="F2136" t="b">
            <v>0</v>
          </cell>
          <cell r="G2136">
            <v>4772.9739324101301</v>
          </cell>
          <cell r="H2136">
            <v>3724.6765585547901</v>
          </cell>
        </row>
        <row r="2137">
          <cell r="B2137" t="str">
            <v>OAKHURST 110210100</v>
          </cell>
          <cell r="C2137">
            <v>254421102</v>
          </cell>
          <cell r="D2137" t="str">
            <v>OAKHURST 1102</v>
          </cell>
          <cell r="E2137">
            <v>10100</v>
          </cell>
          <cell r="F2137" t="b">
            <v>0</v>
          </cell>
          <cell r="G2137">
            <v>18902.686907326999</v>
          </cell>
          <cell r="H2137">
            <v>16723.3035318566</v>
          </cell>
        </row>
        <row r="2138">
          <cell r="B2138" t="str">
            <v>OAKHURST 1102CB</v>
          </cell>
          <cell r="C2138">
            <v>254421102</v>
          </cell>
          <cell r="D2138" t="str">
            <v>OAKHURST 1102</v>
          </cell>
          <cell r="E2138" t="str">
            <v>CB</v>
          </cell>
          <cell r="F2138" t="b">
            <v>0</v>
          </cell>
          <cell r="G2138">
            <v>7703.93545220958</v>
          </cell>
          <cell r="H2138">
            <v>4253.8821942232598</v>
          </cell>
        </row>
        <row r="2139">
          <cell r="B2139" t="str">
            <v>OAKHURST 110310140</v>
          </cell>
          <cell r="C2139">
            <v>254421103</v>
          </cell>
          <cell r="D2139" t="str">
            <v>OAKHURST 1103</v>
          </cell>
          <cell r="E2139">
            <v>10140</v>
          </cell>
          <cell r="F2139" t="b">
            <v>0</v>
          </cell>
          <cell r="G2139">
            <v>26724.084181270999</v>
          </cell>
          <cell r="H2139">
            <v>26724.084181270999</v>
          </cell>
        </row>
        <row r="2140">
          <cell r="B2140" t="str">
            <v>OAKHURST 110310190</v>
          </cell>
          <cell r="C2140">
            <v>254421103</v>
          </cell>
          <cell r="D2140" t="str">
            <v>OAKHURST 1103</v>
          </cell>
          <cell r="E2140">
            <v>10190</v>
          </cell>
          <cell r="F2140" t="b">
            <v>0</v>
          </cell>
          <cell r="G2140">
            <v>13591.0884171087</v>
          </cell>
          <cell r="H2140">
            <v>13591.0884171087</v>
          </cell>
        </row>
        <row r="2141">
          <cell r="B2141" t="str">
            <v>OAKHURST 110310570</v>
          </cell>
          <cell r="C2141">
            <v>254421103</v>
          </cell>
          <cell r="D2141" t="str">
            <v>OAKHURST 1103</v>
          </cell>
          <cell r="E2141">
            <v>10570</v>
          </cell>
          <cell r="F2141" t="b">
            <v>0</v>
          </cell>
          <cell r="G2141">
            <v>15440.8056130641</v>
          </cell>
          <cell r="H2141">
            <v>15440.8056130641</v>
          </cell>
        </row>
        <row r="2142">
          <cell r="B2142" t="str">
            <v>OAKHURST 110310723</v>
          </cell>
          <cell r="C2142">
            <v>254421103</v>
          </cell>
          <cell r="D2142" t="str">
            <v>OAKHURST 1103</v>
          </cell>
          <cell r="E2142">
            <v>10723</v>
          </cell>
          <cell r="F2142" t="b">
            <v>1</v>
          </cell>
          <cell r="G2142">
            <v>6.3414572026027498</v>
          </cell>
          <cell r="H2142">
            <v>6.3414572026027498</v>
          </cell>
        </row>
        <row r="2143">
          <cell r="B2143" t="str">
            <v>OAKHURST 11035120</v>
          </cell>
          <cell r="C2143">
            <v>254421103</v>
          </cell>
          <cell r="D2143" t="str">
            <v>OAKHURST 1103</v>
          </cell>
          <cell r="E2143">
            <v>5120</v>
          </cell>
          <cell r="F2143" t="b">
            <v>0</v>
          </cell>
          <cell r="G2143">
            <v>9912.3897459800392</v>
          </cell>
          <cell r="H2143">
            <v>9912.3897459800392</v>
          </cell>
        </row>
        <row r="2144">
          <cell r="B2144" t="str">
            <v>OAKHURST 11035470</v>
          </cell>
          <cell r="C2144">
            <v>254421103</v>
          </cell>
          <cell r="D2144" t="str">
            <v>OAKHURST 1103</v>
          </cell>
          <cell r="E2144">
            <v>5470</v>
          </cell>
          <cell r="F2144" t="b">
            <v>0</v>
          </cell>
          <cell r="G2144">
            <v>14989.8273241802</v>
          </cell>
          <cell r="H2144">
            <v>14989.8273241802</v>
          </cell>
        </row>
        <row r="2145">
          <cell r="B2145" t="str">
            <v>OAKHURST 11035480</v>
          </cell>
          <cell r="C2145">
            <v>254421103</v>
          </cell>
          <cell r="D2145" t="str">
            <v>OAKHURST 1103</v>
          </cell>
          <cell r="E2145">
            <v>5480</v>
          </cell>
          <cell r="F2145" t="b">
            <v>0</v>
          </cell>
          <cell r="G2145">
            <v>27352.068709616098</v>
          </cell>
          <cell r="H2145">
            <v>27352.068709616098</v>
          </cell>
        </row>
        <row r="2146">
          <cell r="B2146" t="str">
            <v>OAKHURST 11035732</v>
          </cell>
          <cell r="C2146">
            <v>254421103</v>
          </cell>
          <cell r="D2146" t="str">
            <v>OAKHURST 1103</v>
          </cell>
          <cell r="E2146">
            <v>5732</v>
          </cell>
          <cell r="F2146" t="b">
            <v>0</v>
          </cell>
          <cell r="G2146">
            <v>5445.3198425173596</v>
          </cell>
          <cell r="H2146">
            <v>5445.3198425173596</v>
          </cell>
        </row>
        <row r="2147">
          <cell r="B2147" t="str">
            <v>OAKHURST 110363334</v>
          </cell>
          <cell r="C2147">
            <v>254421103</v>
          </cell>
          <cell r="D2147" t="str">
            <v>OAKHURST 1103</v>
          </cell>
          <cell r="E2147">
            <v>63334</v>
          </cell>
          <cell r="F2147" t="b">
            <v>0</v>
          </cell>
          <cell r="G2147">
            <v>27819.9713092735</v>
          </cell>
          <cell r="H2147">
            <v>27819.9713092735</v>
          </cell>
        </row>
        <row r="2148">
          <cell r="B2148" t="str">
            <v>OAKHURST 1103719490</v>
          </cell>
          <cell r="C2148">
            <v>254421103</v>
          </cell>
          <cell r="D2148" t="str">
            <v>OAKHURST 1103</v>
          </cell>
          <cell r="E2148">
            <v>719490</v>
          </cell>
          <cell r="F2148" t="b">
            <v>0</v>
          </cell>
          <cell r="G2148">
            <v>4856.6254064547802</v>
          </cell>
          <cell r="H2148">
            <v>4856.6254064547802</v>
          </cell>
        </row>
        <row r="2149">
          <cell r="B2149" t="str">
            <v>OAKHURST 110377384</v>
          </cell>
          <cell r="C2149">
            <v>254421103</v>
          </cell>
          <cell r="D2149" t="str">
            <v>OAKHURST 1103</v>
          </cell>
          <cell r="E2149">
            <v>77384</v>
          </cell>
          <cell r="F2149" t="b">
            <v>0</v>
          </cell>
          <cell r="G2149">
            <v>7595.6345520187397</v>
          </cell>
          <cell r="H2149">
            <v>7595.6345520187397</v>
          </cell>
        </row>
        <row r="2150">
          <cell r="B2150" t="str">
            <v>OAKHURST 1103CB</v>
          </cell>
          <cell r="C2150">
            <v>254421103</v>
          </cell>
          <cell r="D2150" t="str">
            <v>OAKHURST 1103</v>
          </cell>
          <cell r="E2150" t="str">
            <v>CB</v>
          </cell>
          <cell r="F2150" t="b">
            <v>0</v>
          </cell>
          <cell r="G2150">
            <v>53866.952763098998</v>
          </cell>
          <cell r="H2150">
            <v>51789.177672875398</v>
          </cell>
        </row>
        <row r="2151">
          <cell r="B2151" t="str">
            <v>OAKLAND D 1112CR192</v>
          </cell>
          <cell r="C2151">
            <v>12041112</v>
          </cell>
          <cell r="D2151" t="str">
            <v>OAKLAND D 1112</v>
          </cell>
          <cell r="E2151" t="str">
            <v>CR192</v>
          </cell>
          <cell r="F2151" t="b">
            <v>0</v>
          </cell>
          <cell r="G2151">
            <v>6810.4625329966602</v>
          </cell>
          <cell r="H2151">
            <v>3963.0316217447498</v>
          </cell>
        </row>
        <row r="2152">
          <cell r="B2152" t="str">
            <v>OAKLAND J 1102951816</v>
          </cell>
          <cell r="C2152">
            <v>12091102</v>
          </cell>
          <cell r="D2152" t="str">
            <v>OAKLAND J 1102</v>
          </cell>
          <cell r="E2152">
            <v>951816</v>
          </cell>
          <cell r="F2152" t="b">
            <v>1</v>
          </cell>
          <cell r="G2152">
            <v>539.17339382060402</v>
          </cell>
          <cell r="H2152">
            <v>539.17339382060402</v>
          </cell>
        </row>
        <row r="2153">
          <cell r="B2153" t="str">
            <v>OAKLAND J 1102CR102</v>
          </cell>
          <cell r="C2153">
            <v>12091102</v>
          </cell>
          <cell r="D2153" t="str">
            <v>OAKLAND J 1102</v>
          </cell>
          <cell r="E2153" t="str">
            <v>CR102</v>
          </cell>
          <cell r="F2153" t="b">
            <v>1</v>
          </cell>
          <cell r="G2153">
            <v>316.33221389850303</v>
          </cell>
          <cell r="H2153">
            <v>316.33221389850303</v>
          </cell>
        </row>
        <row r="2154">
          <cell r="B2154" t="str">
            <v>OAKLAND J 1102CR184</v>
          </cell>
          <cell r="C2154">
            <v>12091102</v>
          </cell>
          <cell r="D2154" t="str">
            <v>OAKLAND J 1102</v>
          </cell>
          <cell r="E2154" t="str">
            <v>CR184</v>
          </cell>
          <cell r="F2154" t="b">
            <v>0</v>
          </cell>
          <cell r="G2154">
            <v>5568.99059492996</v>
          </cell>
          <cell r="H2154">
            <v>5568.99059492996</v>
          </cell>
        </row>
        <row r="2155">
          <cell r="B2155" t="str">
            <v>OAKLAND J 1102CR252</v>
          </cell>
          <cell r="C2155">
            <v>12091102</v>
          </cell>
          <cell r="D2155" t="str">
            <v>OAKLAND J 1102</v>
          </cell>
          <cell r="E2155" t="str">
            <v>CR252</v>
          </cell>
          <cell r="F2155" t="b">
            <v>0</v>
          </cell>
          <cell r="G2155">
            <v>9962.6690132035892</v>
          </cell>
          <cell r="H2155">
            <v>1765.26038961474</v>
          </cell>
        </row>
        <row r="2156">
          <cell r="B2156" t="str">
            <v>OAKLAND J 1102CR254</v>
          </cell>
          <cell r="C2156">
            <v>12091102</v>
          </cell>
          <cell r="D2156" t="str">
            <v>OAKLAND J 1102</v>
          </cell>
          <cell r="E2156" t="str">
            <v>CR254</v>
          </cell>
          <cell r="F2156" t="b">
            <v>0</v>
          </cell>
          <cell r="G2156">
            <v>2477.3187370622099</v>
          </cell>
          <cell r="H2156">
            <v>1687.0283092581301</v>
          </cell>
        </row>
        <row r="2157">
          <cell r="B2157" t="str">
            <v>OAKLAND J 1105153228</v>
          </cell>
          <cell r="C2157">
            <v>12091105</v>
          </cell>
          <cell r="D2157" t="str">
            <v>OAKLAND J 1105</v>
          </cell>
          <cell r="E2157">
            <v>153228</v>
          </cell>
          <cell r="F2157" t="b">
            <v>1</v>
          </cell>
          <cell r="G2157">
            <v>6680.4391388328704</v>
          </cell>
          <cell r="H2157">
            <v>463.49596630912299</v>
          </cell>
        </row>
        <row r="2158">
          <cell r="B2158" t="str">
            <v>OAKLAND J 1105CR150</v>
          </cell>
          <cell r="C2158">
            <v>12091105</v>
          </cell>
          <cell r="D2158" t="str">
            <v>OAKLAND J 1105</v>
          </cell>
          <cell r="E2158" t="str">
            <v>CR150</v>
          </cell>
          <cell r="F2158" t="b">
            <v>1</v>
          </cell>
          <cell r="G2158">
            <v>755.18852510463898</v>
          </cell>
          <cell r="H2158">
            <v>348.54207652999798</v>
          </cell>
        </row>
        <row r="2159">
          <cell r="B2159" t="str">
            <v>OAKLAND J 1105CR256</v>
          </cell>
          <cell r="C2159">
            <v>12091105</v>
          </cell>
          <cell r="D2159" t="str">
            <v>OAKLAND J 1105</v>
          </cell>
          <cell r="E2159" t="str">
            <v>CR256</v>
          </cell>
          <cell r="F2159" t="b">
            <v>0</v>
          </cell>
          <cell r="G2159">
            <v>2967.1611621890802</v>
          </cell>
          <cell r="H2159">
            <v>1965.42241850499</v>
          </cell>
        </row>
        <row r="2160">
          <cell r="B2160" t="str">
            <v>OAKLAND J 1106CR164</v>
          </cell>
          <cell r="C2160">
            <v>12091106</v>
          </cell>
          <cell r="D2160" t="str">
            <v>OAKLAND J 1106</v>
          </cell>
          <cell r="E2160" t="str">
            <v>CR164</v>
          </cell>
          <cell r="F2160" t="b">
            <v>0</v>
          </cell>
          <cell r="G2160">
            <v>10563.043573978601</v>
          </cell>
          <cell r="H2160">
            <v>2405.3876785764801</v>
          </cell>
        </row>
        <row r="2161">
          <cell r="B2161" t="str">
            <v>OAKLAND J 1106CR330</v>
          </cell>
          <cell r="C2161">
            <v>12091106</v>
          </cell>
          <cell r="D2161" t="str">
            <v>OAKLAND J 1106</v>
          </cell>
          <cell r="E2161" t="str">
            <v>CR330</v>
          </cell>
          <cell r="F2161" t="b">
            <v>0</v>
          </cell>
          <cell r="G2161">
            <v>3874.5760355843399</v>
          </cell>
          <cell r="H2161">
            <v>1155.58377616651</v>
          </cell>
        </row>
        <row r="2162">
          <cell r="B2162" t="str">
            <v>OAKLAND J 1116CB</v>
          </cell>
          <cell r="C2162">
            <v>12091116</v>
          </cell>
          <cell r="D2162" t="str">
            <v>OAKLAND J 1116</v>
          </cell>
          <cell r="E2162" t="str">
            <v>CB</v>
          </cell>
          <cell r="F2162" t="b">
            <v>1</v>
          </cell>
          <cell r="G2162">
            <v>30164.894059856601</v>
          </cell>
          <cell r="H2162">
            <v>0</v>
          </cell>
        </row>
        <row r="2163">
          <cell r="B2163" t="str">
            <v>OAKLAND J 1116CR328</v>
          </cell>
          <cell r="C2163">
            <v>12091116</v>
          </cell>
          <cell r="D2163" t="str">
            <v>OAKLAND J 1116</v>
          </cell>
          <cell r="E2163" t="str">
            <v>CR328</v>
          </cell>
          <cell r="F2163" t="b">
            <v>1</v>
          </cell>
          <cell r="G2163">
            <v>7907.5060924281997</v>
          </cell>
          <cell r="H2163">
            <v>956.12414960717001</v>
          </cell>
        </row>
        <row r="2164">
          <cell r="B2164" t="str">
            <v>OAKLAND J 1118CR198</v>
          </cell>
          <cell r="C2164">
            <v>12091118</v>
          </cell>
          <cell r="D2164" t="str">
            <v>OAKLAND J 1118</v>
          </cell>
          <cell r="E2164" t="str">
            <v>CR198</v>
          </cell>
          <cell r="F2164" t="b">
            <v>1</v>
          </cell>
          <cell r="G2164">
            <v>8475.9686992848692</v>
          </cell>
          <cell r="H2164">
            <v>515.47709684972097</v>
          </cell>
        </row>
        <row r="2165">
          <cell r="B2165" t="str">
            <v>OAKLAND K 1101CB</v>
          </cell>
          <cell r="C2165">
            <v>12101101</v>
          </cell>
          <cell r="D2165" t="str">
            <v>OAKLAND K 1101</v>
          </cell>
          <cell r="E2165" t="str">
            <v>CB</v>
          </cell>
          <cell r="F2165" t="b">
            <v>1</v>
          </cell>
          <cell r="G2165">
            <v>3805.7328890733302</v>
          </cell>
          <cell r="H2165">
            <v>538.45976089693795</v>
          </cell>
        </row>
        <row r="2166">
          <cell r="B2166" t="str">
            <v>OAKLAND K 1101CR170</v>
          </cell>
          <cell r="C2166">
            <v>12101101</v>
          </cell>
          <cell r="D2166" t="str">
            <v>OAKLAND K 1101</v>
          </cell>
          <cell r="E2166" t="str">
            <v>CR170</v>
          </cell>
          <cell r="F2166" t="b">
            <v>0</v>
          </cell>
          <cell r="G2166">
            <v>2012.91749490846</v>
          </cell>
          <cell r="H2166">
            <v>2012.91749490846</v>
          </cell>
        </row>
        <row r="2167">
          <cell r="B2167" t="str">
            <v>OAKLAND K 1101CR172</v>
          </cell>
          <cell r="C2167">
            <v>12101101</v>
          </cell>
          <cell r="D2167" t="str">
            <v>OAKLAND K 1101</v>
          </cell>
          <cell r="E2167" t="str">
            <v>CR172</v>
          </cell>
          <cell r="F2167" t="b">
            <v>1</v>
          </cell>
          <cell r="G2167">
            <v>3350.0951214619899</v>
          </cell>
          <cell r="H2167">
            <v>904.96609470792396</v>
          </cell>
        </row>
        <row r="2168">
          <cell r="B2168" t="str">
            <v>OAKLAND K 1101CR178</v>
          </cell>
          <cell r="C2168">
            <v>12101101</v>
          </cell>
          <cell r="D2168" t="str">
            <v>OAKLAND K 1101</v>
          </cell>
          <cell r="E2168" t="str">
            <v>CR178</v>
          </cell>
          <cell r="F2168" t="b">
            <v>1</v>
          </cell>
          <cell r="G2168">
            <v>529.88615504294398</v>
          </cell>
          <cell r="H2168">
            <v>529.88615504294398</v>
          </cell>
        </row>
        <row r="2169">
          <cell r="B2169" t="str">
            <v>OAKLAND K 1101CR346</v>
          </cell>
          <cell r="C2169">
            <v>12101101</v>
          </cell>
          <cell r="D2169" t="str">
            <v>OAKLAND K 1101</v>
          </cell>
          <cell r="E2169" t="str">
            <v>CR346</v>
          </cell>
          <cell r="F2169" t="b">
            <v>1</v>
          </cell>
          <cell r="G2169">
            <v>330.94690651064599</v>
          </cell>
          <cell r="H2169">
            <v>330.94690651064599</v>
          </cell>
        </row>
        <row r="2170">
          <cell r="B2170" t="str">
            <v>OAKLAND K 110217430</v>
          </cell>
          <cell r="C2170">
            <v>12101102</v>
          </cell>
          <cell r="D2170" t="str">
            <v>OAKLAND K 1102</v>
          </cell>
          <cell r="E2170">
            <v>17430</v>
          </cell>
          <cell r="F2170" t="b">
            <v>0</v>
          </cell>
          <cell r="G2170">
            <v>2364.8216832334201</v>
          </cell>
          <cell r="H2170">
            <v>2364.8216832334201</v>
          </cell>
        </row>
        <row r="2171">
          <cell r="B2171" t="str">
            <v>OAKLAND K 1102CB</v>
          </cell>
          <cell r="C2171">
            <v>12101102</v>
          </cell>
          <cell r="D2171" t="str">
            <v>OAKLAND K 1102</v>
          </cell>
          <cell r="E2171" t="str">
            <v>CB</v>
          </cell>
          <cell r="F2171" t="b">
            <v>0</v>
          </cell>
          <cell r="G2171">
            <v>4816.3453076975702</v>
          </cell>
          <cell r="H2171">
            <v>4816.3453076975702</v>
          </cell>
        </row>
        <row r="2172">
          <cell r="B2172" t="str">
            <v>OAKLAND K 1102CR014</v>
          </cell>
          <cell r="C2172">
            <v>12101102</v>
          </cell>
          <cell r="D2172" t="str">
            <v>OAKLAND K 1102</v>
          </cell>
          <cell r="E2172" t="str">
            <v>CR014</v>
          </cell>
          <cell r="F2172" t="b">
            <v>0</v>
          </cell>
          <cell r="G2172">
            <v>16905.861897587802</v>
          </cell>
          <cell r="H2172">
            <v>16905.861897587802</v>
          </cell>
        </row>
        <row r="2173">
          <cell r="B2173" t="str">
            <v>OAKLAND K 1103CB</v>
          </cell>
          <cell r="C2173">
            <v>12101103</v>
          </cell>
          <cell r="D2173" t="str">
            <v>OAKLAND K 1103</v>
          </cell>
          <cell r="E2173" t="str">
            <v>CB</v>
          </cell>
          <cell r="F2173" t="b">
            <v>1</v>
          </cell>
          <cell r="G2173">
            <v>7954.9461890409802</v>
          </cell>
          <cell r="H2173">
            <v>769.16213479250098</v>
          </cell>
        </row>
        <row r="2174">
          <cell r="B2174" t="str">
            <v>OAKLAND K 1103CR188</v>
          </cell>
          <cell r="C2174">
            <v>12101103</v>
          </cell>
          <cell r="D2174" t="str">
            <v>OAKLAND K 1103</v>
          </cell>
          <cell r="E2174" t="str">
            <v>CR188</v>
          </cell>
          <cell r="F2174" t="b">
            <v>0</v>
          </cell>
          <cell r="G2174">
            <v>5760.2046993853501</v>
          </cell>
          <cell r="H2174">
            <v>5760.2046993853501</v>
          </cell>
        </row>
        <row r="2175">
          <cell r="B2175" t="str">
            <v>OAKLAND K 1103CR422</v>
          </cell>
          <cell r="C2175">
            <v>12101103</v>
          </cell>
          <cell r="D2175" t="str">
            <v>OAKLAND K 1103</v>
          </cell>
          <cell r="E2175" t="str">
            <v>CR422</v>
          </cell>
          <cell r="F2175" t="b">
            <v>0</v>
          </cell>
          <cell r="G2175">
            <v>3299.6108870572698</v>
          </cell>
          <cell r="H2175">
            <v>3238.2815901136901</v>
          </cell>
        </row>
        <row r="2176">
          <cell r="B2176" t="str">
            <v>OAKLAND K 1104432850</v>
          </cell>
          <cell r="C2176">
            <v>12101104</v>
          </cell>
          <cell r="D2176" t="str">
            <v>OAKLAND K 1104</v>
          </cell>
          <cell r="E2176">
            <v>432850</v>
          </cell>
          <cell r="F2176" t="b">
            <v>0</v>
          </cell>
          <cell r="G2176">
            <v>1988.32736443059</v>
          </cell>
          <cell r="H2176">
            <v>1988.32736443059</v>
          </cell>
        </row>
        <row r="2177">
          <cell r="B2177" t="str">
            <v>OAKLAND K 1104CB</v>
          </cell>
          <cell r="C2177">
            <v>12101104</v>
          </cell>
          <cell r="D2177" t="str">
            <v>OAKLAND K 1104</v>
          </cell>
          <cell r="E2177" t="str">
            <v>CB</v>
          </cell>
          <cell r="F2177" t="b">
            <v>0</v>
          </cell>
          <cell r="G2177">
            <v>2366.5049922045901</v>
          </cell>
          <cell r="H2177">
            <v>2366.5049922045901</v>
          </cell>
        </row>
        <row r="2178">
          <cell r="B2178" t="str">
            <v>OAKLAND K 1104CR204</v>
          </cell>
          <cell r="C2178">
            <v>12101104</v>
          </cell>
          <cell r="D2178" t="str">
            <v>OAKLAND K 1104</v>
          </cell>
          <cell r="E2178" t="str">
            <v>CR204</v>
          </cell>
          <cell r="F2178" t="b">
            <v>0</v>
          </cell>
          <cell r="G2178">
            <v>6639.5297933991797</v>
          </cell>
          <cell r="H2178">
            <v>6639.5297933991797</v>
          </cell>
        </row>
        <row r="2179">
          <cell r="B2179" t="str">
            <v>OAKLAND K 1104CR206</v>
          </cell>
          <cell r="C2179">
            <v>12101104</v>
          </cell>
          <cell r="D2179" t="str">
            <v>OAKLAND K 1104</v>
          </cell>
          <cell r="E2179" t="str">
            <v>CR206</v>
          </cell>
          <cell r="F2179" t="b">
            <v>0</v>
          </cell>
          <cell r="G2179">
            <v>2877.1567724705201</v>
          </cell>
          <cell r="H2179">
            <v>2877.1567724705201</v>
          </cell>
        </row>
        <row r="2180">
          <cell r="B2180" t="str">
            <v>OAKLAND K 1104CR208</v>
          </cell>
          <cell r="C2180">
            <v>12101104</v>
          </cell>
          <cell r="D2180" t="str">
            <v>OAKLAND K 1104</v>
          </cell>
          <cell r="E2180" t="str">
            <v>CR208</v>
          </cell>
          <cell r="F2180" t="b">
            <v>0</v>
          </cell>
          <cell r="G2180">
            <v>3895.4110708825401</v>
          </cell>
          <cell r="H2180">
            <v>3895.4110708825401</v>
          </cell>
        </row>
        <row r="2181">
          <cell r="B2181" t="str">
            <v>OAKLAND K 1104CR210</v>
          </cell>
          <cell r="C2181">
            <v>12101104</v>
          </cell>
          <cell r="D2181" t="str">
            <v>OAKLAND K 1104</v>
          </cell>
          <cell r="E2181" t="str">
            <v>CR210</v>
          </cell>
          <cell r="F2181" t="b">
            <v>0</v>
          </cell>
          <cell r="G2181">
            <v>4546.5469607453097</v>
          </cell>
          <cell r="H2181">
            <v>4546.5469607453097</v>
          </cell>
        </row>
        <row r="2182">
          <cell r="B2182" t="str">
            <v>OAKLAND K 1104CR326</v>
          </cell>
          <cell r="C2182">
            <v>12101104</v>
          </cell>
          <cell r="D2182" t="str">
            <v>OAKLAND K 1104</v>
          </cell>
          <cell r="E2182" t="str">
            <v>CR326</v>
          </cell>
          <cell r="F2182" t="b">
            <v>0</v>
          </cell>
          <cell r="G2182">
            <v>2098.9600836905602</v>
          </cell>
          <cell r="H2182">
            <v>2098.9600836905602</v>
          </cell>
        </row>
        <row r="2183">
          <cell r="B2183" t="str">
            <v>OAKLAND X 1101328808</v>
          </cell>
          <cell r="C2183">
            <v>12541101</v>
          </cell>
          <cell r="D2183" t="str">
            <v>OAKLAND X 1101</v>
          </cell>
          <cell r="E2183">
            <v>328808</v>
          </cell>
          <cell r="F2183" t="b">
            <v>1</v>
          </cell>
          <cell r="G2183">
            <v>186.46864229653099</v>
          </cell>
          <cell r="H2183">
            <v>186.46864229653099</v>
          </cell>
        </row>
        <row r="2184">
          <cell r="B2184" t="str">
            <v>OAKLAND X 1101CR224</v>
          </cell>
          <cell r="C2184">
            <v>12541101</v>
          </cell>
          <cell r="D2184" t="str">
            <v>OAKLAND X 1101</v>
          </cell>
          <cell r="E2184" t="str">
            <v>CR224</v>
          </cell>
          <cell r="F2184" t="b">
            <v>1</v>
          </cell>
          <cell r="G2184">
            <v>1656.0036509050999</v>
          </cell>
          <cell r="H2184">
            <v>656.35474249979302</v>
          </cell>
        </row>
        <row r="2185">
          <cell r="B2185" t="str">
            <v>OAKLAND X 1104391688</v>
          </cell>
          <cell r="C2185">
            <v>12541104</v>
          </cell>
          <cell r="D2185" t="str">
            <v>OAKLAND X 1104</v>
          </cell>
          <cell r="E2185">
            <v>391688</v>
          </cell>
          <cell r="F2185" t="b">
            <v>0</v>
          </cell>
          <cell r="G2185">
            <v>2071.7210353554001</v>
          </cell>
          <cell r="H2185">
            <v>2071.7210353554001</v>
          </cell>
        </row>
        <row r="2186">
          <cell r="B2186" t="str">
            <v>OAKLAND X 1104645092</v>
          </cell>
          <cell r="C2186">
            <v>12541104</v>
          </cell>
          <cell r="D2186" t="str">
            <v>OAKLAND X 1104</v>
          </cell>
          <cell r="E2186">
            <v>645092</v>
          </cell>
          <cell r="F2186" t="b">
            <v>0</v>
          </cell>
          <cell r="G2186">
            <v>2229.60216092769</v>
          </cell>
          <cell r="H2186">
            <v>2229.60216092769</v>
          </cell>
        </row>
        <row r="2187">
          <cell r="B2187" t="str">
            <v>OAKLAND X 1104CR022</v>
          </cell>
          <cell r="C2187">
            <v>12541104</v>
          </cell>
          <cell r="D2187" t="str">
            <v>OAKLAND X 1104</v>
          </cell>
          <cell r="E2187" t="str">
            <v>CR022</v>
          </cell>
          <cell r="F2187" t="b">
            <v>0</v>
          </cell>
          <cell r="G2187">
            <v>6467.1641792548198</v>
          </cell>
          <cell r="H2187">
            <v>6467.1641792548198</v>
          </cell>
        </row>
        <row r="2188">
          <cell r="B2188" t="str">
            <v>OAKLAND X 1104CR101</v>
          </cell>
          <cell r="C2188">
            <v>12541104</v>
          </cell>
          <cell r="D2188" t="str">
            <v>OAKLAND X 1104</v>
          </cell>
          <cell r="E2188" t="str">
            <v>CR101</v>
          </cell>
          <cell r="F2188" t="b">
            <v>1</v>
          </cell>
          <cell r="G2188">
            <v>28.3920809893872</v>
          </cell>
          <cell r="H2188">
            <v>28.3920809893872</v>
          </cell>
        </row>
        <row r="2189">
          <cell r="B2189" t="str">
            <v>OAKLAND X 1104CR214</v>
          </cell>
          <cell r="C2189">
            <v>12541104</v>
          </cell>
          <cell r="D2189" t="str">
            <v>OAKLAND X 1104</v>
          </cell>
          <cell r="E2189" t="str">
            <v>CR214</v>
          </cell>
          <cell r="F2189" t="b">
            <v>0</v>
          </cell>
          <cell r="G2189">
            <v>4637.14959287704</v>
          </cell>
          <cell r="H2189">
            <v>4637.14959287704</v>
          </cell>
        </row>
        <row r="2190">
          <cell r="B2190" t="str">
            <v>OAKLAND X 1104CR288</v>
          </cell>
          <cell r="C2190">
            <v>12541104</v>
          </cell>
          <cell r="D2190" t="str">
            <v>OAKLAND X 1104</v>
          </cell>
          <cell r="E2190" t="str">
            <v>CR288</v>
          </cell>
          <cell r="F2190" t="b">
            <v>0</v>
          </cell>
          <cell r="G2190">
            <v>4382.4987655769</v>
          </cell>
          <cell r="H2190">
            <v>4382.4987655769</v>
          </cell>
        </row>
        <row r="2191">
          <cell r="B2191" t="str">
            <v>OAKLAND X 1105184672</v>
          </cell>
          <cell r="C2191">
            <v>12541105</v>
          </cell>
          <cell r="D2191" t="str">
            <v>OAKLAND X 1105</v>
          </cell>
          <cell r="E2191">
            <v>184672</v>
          </cell>
          <cell r="F2191" t="b">
            <v>0</v>
          </cell>
          <cell r="G2191">
            <v>5259.1472975204697</v>
          </cell>
          <cell r="H2191">
            <v>2666.0436696567399</v>
          </cell>
        </row>
        <row r="2192">
          <cell r="B2192" t="str">
            <v>OAKLAND X 1105CB</v>
          </cell>
          <cell r="C2192">
            <v>12541105</v>
          </cell>
          <cell r="D2192" t="str">
            <v>OAKLAND X 1105</v>
          </cell>
          <cell r="E2192" t="str">
            <v>CB</v>
          </cell>
          <cell r="F2192" t="b">
            <v>0</v>
          </cell>
          <cell r="G2192">
            <v>18622.3449084311</v>
          </cell>
          <cell r="H2192">
            <v>1675.1277169867501</v>
          </cell>
        </row>
        <row r="2193">
          <cell r="B2193" t="str">
            <v>OAKLAND X 1106121588</v>
          </cell>
          <cell r="C2193">
            <v>12541106</v>
          </cell>
          <cell r="D2193" t="str">
            <v>OAKLAND X 1106</v>
          </cell>
          <cell r="E2193">
            <v>121588</v>
          </cell>
          <cell r="F2193" t="b">
            <v>0</v>
          </cell>
          <cell r="G2193">
            <v>3050.46268559485</v>
          </cell>
          <cell r="H2193">
            <v>1356.1967386132501</v>
          </cell>
        </row>
        <row r="2194">
          <cell r="B2194" t="str">
            <v>OAKLAND X 1106950688</v>
          </cell>
          <cell r="C2194">
            <v>12541106</v>
          </cell>
          <cell r="D2194" t="str">
            <v>OAKLAND X 1106</v>
          </cell>
          <cell r="E2194">
            <v>950688</v>
          </cell>
          <cell r="F2194" t="b">
            <v>0</v>
          </cell>
          <cell r="G2194">
            <v>5883.5053734729499</v>
          </cell>
          <cell r="H2194">
            <v>5883.5053734729499</v>
          </cell>
        </row>
        <row r="2195">
          <cell r="B2195" t="str">
            <v>OAKLAND X 1106CB</v>
          </cell>
          <cell r="C2195">
            <v>12541106</v>
          </cell>
          <cell r="D2195" t="str">
            <v>OAKLAND X 1106</v>
          </cell>
          <cell r="E2195" t="str">
            <v>CB</v>
          </cell>
          <cell r="F2195" t="b">
            <v>0</v>
          </cell>
          <cell r="G2195">
            <v>15907.2745746982</v>
          </cell>
          <cell r="H2195">
            <v>5284.9861137018697</v>
          </cell>
        </row>
        <row r="2196">
          <cell r="B2196" t="str">
            <v>OAKLAND X 1106CR008</v>
          </cell>
          <cell r="C2196">
            <v>12541106</v>
          </cell>
          <cell r="D2196" t="str">
            <v>OAKLAND X 1106</v>
          </cell>
          <cell r="E2196" t="str">
            <v>CR008</v>
          </cell>
          <cell r="F2196" t="b">
            <v>0</v>
          </cell>
          <cell r="G2196">
            <v>7178.61505525954</v>
          </cell>
          <cell r="H2196">
            <v>7178.61505525954</v>
          </cell>
        </row>
        <row r="2197">
          <cell r="B2197" t="str">
            <v>OAKLAND X 1106CR020</v>
          </cell>
          <cell r="C2197">
            <v>12541106</v>
          </cell>
          <cell r="D2197" t="str">
            <v>OAKLAND X 1106</v>
          </cell>
          <cell r="E2197" t="str">
            <v>CR020</v>
          </cell>
          <cell r="F2197" t="b">
            <v>0</v>
          </cell>
          <cell r="G2197">
            <v>3932.8973805121</v>
          </cell>
          <cell r="H2197">
            <v>3932.8973805121</v>
          </cell>
        </row>
        <row r="2198">
          <cell r="B2198" t="str">
            <v>OAKLAND X 1106CR266</v>
          </cell>
          <cell r="C2198">
            <v>12541106</v>
          </cell>
          <cell r="D2198" t="str">
            <v>OAKLAND X 1106</v>
          </cell>
          <cell r="E2198" t="str">
            <v>CR266</v>
          </cell>
          <cell r="F2198" t="b">
            <v>0</v>
          </cell>
          <cell r="G2198">
            <v>1901.6084191914499</v>
          </cell>
          <cell r="H2198">
            <v>1901.6084191914499</v>
          </cell>
        </row>
        <row r="2199">
          <cell r="B2199" t="str">
            <v>OCEANO 1102749231</v>
          </cell>
          <cell r="C2199">
            <v>182601102</v>
          </cell>
          <cell r="D2199" t="str">
            <v>OCEANO 1102</v>
          </cell>
          <cell r="E2199">
            <v>749231</v>
          </cell>
          <cell r="F2199" t="b">
            <v>0</v>
          </cell>
          <cell r="G2199">
            <v>18200.1936038725</v>
          </cell>
          <cell r="H2199">
            <v>8940.1081110319501</v>
          </cell>
        </row>
        <row r="2200">
          <cell r="B2200" t="str">
            <v>OCEANO 1102CB</v>
          </cell>
          <cell r="C2200">
            <v>182601102</v>
          </cell>
          <cell r="D2200" t="str">
            <v>OCEANO 1102</v>
          </cell>
          <cell r="E2200" t="str">
            <v>CB</v>
          </cell>
          <cell r="F2200" t="b">
            <v>0</v>
          </cell>
          <cell r="G2200">
            <v>26239.507899301399</v>
          </cell>
          <cell r="H2200">
            <v>25449.771613651399</v>
          </cell>
        </row>
        <row r="2201">
          <cell r="B2201" t="str">
            <v>OCEANO 1102V50</v>
          </cell>
          <cell r="C2201">
            <v>182601102</v>
          </cell>
          <cell r="D2201" t="str">
            <v>OCEANO 1102</v>
          </cell>
          <cell r="E2201" t="str">
            <v>V50</v>
          </cell>
          <cell r="F2201" t="b">
            <v>0</v>
          </cell>
          <cell r="G2201">
            <v>16840.539396715099</v>
          </cell>
          <cell r="H2201">
            <v>11517.5193103612</v>
          </cell>
        </row>
        <row r="2202">
          <cell r="B2202" t="str">
            <v>OCEANO 1102V56</v>
          </cell>
          <cell r="C2202">
            <v>182601102</v>
          </cell>
          <cell r="D2202" t="str">
            <v>OCEANO 1102</v>
          </cell>
          <cell r="E2202" t="str">
            <v>V56</v>
          </cell>
          <cell r="F2202" t="b">
            <v>0</v>
          </cell>
          <cell r="G2202">
            <v>15985.6627094672</v>
          </cell>
          <cell r="H2202">
            <v>15022.826381958699</v>
          </cell>
        </row>
        <row r="2203">
          <cell r="B2203" t="str">
            <v>OCEANO 110376678</v>
          </cell>
          <cell r="C2203">
            <v>182601103</v>
          </cell>
          <cell r="D2203" t="str">
            <v>OCEANO 1103</v>
          </cell>
          <cell r="E2203">
            <v>76678</v>
          </cell>
          <cell r="F2203" t="b">
            <v>1</v>
          </cell>
          <cell r="G2203">
            <v>597.85570216643998</v>
          </cell>
          <cell r="H2203">
            <v>88.752172951132906</v>
          </cell>
        </row>
        <row r="2204">
          <cell r="B2204" t="str">
            <v>OCEANO 1103839302</v>
          </cell>
          <cell r="C2204">
            <v>182601103</v>
          </cell>
          <cell r="D2204" t="str">
            <v>OCEANO 1103</v>
          </cell>
          <cell r="E2204">
            <v>839302</v>
          </cell>
          <cell r="F2204" t="b">
            <v>0</v>
          </cell>
          <cell r="G2204">
            <v>1806.4039245993999</v>
          </cell>
          <cell r="H2204">
            <v>1806.4039245993999</v>
          </cell>
        </row>
        <row r="2205">
          <cell r="B2205" t="str">
            <v>OCEANO 1103V22</v>
          </cell>
          <cell r="C2205">
            <v>182601103</v>
          </cell>
          <cell r="D2205" t="str">
            <v>OCEANO 1103</v>
          </cell>
          <cell r="E2205" t="str">
            <v>V22</v>
          </cell>
          <cell r="F2205" t="b">
            <v>1</v>
          </cell>
          <cell r="G2205">
            <v>810.59994616242795</v>
          </cell>
          <cell r="H2205">
            <v>50.491590692326199</v>
          </cell>
        </row>
        <row r="2206">
          <cell r="B2206" t="str">
            <v>OCEANO 1104104102</v>
          </cell>
          <cell r="C2206">
            <v>182601104</v>
          </cell>
          <cell r="D2206" t="str">
            <v>OCEANO 1104</v>
          </cell>
          <cell r="E2206">
            <v>104102</v>
          </cell>
          <cell r="F2206" t="b">
            <v>0</v>
          </cell>
          <cell r="G2206">
            <v>5954.6843392526598</v>
          </cell>
          <cell r="H2206">
            <v>5329.55837056778</v>
          </cell>
        </row>
        <row r="2207">
          <cell r="B2207" t="str">
            <v>OCEANO 1104337754</v>
          </cell>
          <cell r="C2207">
            <v>182601104</v>
          </cell>
          <cell r="D2207" t="str">
            <v>OCEANO 1104</v>
          </cell>
          <cell r="E2207">
            <v>337754</v>
          </cell>
          <cell r="F2207" t="b">
            <v>1</v>
          </cell>
          <cell r="G2207">
            <v>259.73149823851702</v>
          </cell>
          <cell r="H2207">
            <v>97.717719299821496</v>
          </cell>
        </row>
        <row r="2208">
          <cell r="B2208" t="str">
            <v>OCEANO 1104793774</v>
          </cell>
          <cell r="C2208">
            <v>182601104</v>
          </cell>
          <cell r="D2208" t="str">
            <v>OCEANO 1104</v>
          </cell>
          <cell r="E2208">
            <v>793774</v>
          </cell>
          <cell r="F2208" t="b">
            <v>1</v>
          </cell>
          <cell r="G2208">
            <v>378.86328800845303</v>
          </cell>
          <cell r="H2208">
            <v>111.888830923477</v>
          </cell>
        </row>
        <row r="2209">
          <cell r="B2209" t="str">
            <v>OCEANO 1104CB</v>
          </cell>
          <cell r="C2209">
            <v>182601104</v>
          </cell>
          <cell r="D2209" t="str">
            <v>OCEANO 1104</v>
          </cell>
          <cell r="E2209" t="str">
            <v>CB</v>
          </cell>
          <cell r="F2209" t="b">
            <v>0</v>
          </cell>
          <cell r="G2209">
            <v>17856.3948404781</v>
          </cell>
          <cell r="H2209">
            <v>7352.5882910973596</v>
          </cell>
        </row>
        <row r="2210">
          <cell r="B2210" t="str">
            <v>OCEANO 1104Q06</v>
          </cell>
          <cell r="C2210">
            <v>182601104</v>
          </cell>
          <cell r="D2210" t="str">
            <v>OCEANO 1104</v>
          </cell>
          <cell r="E2210" t="str">
            <v>Q06</v>
          </cell>
          <cell r="F2210" t="b">
            <v>0</v>
          </cell>
          <cell r="G2210">
            <v>20064.338486065</v>
          </cell>
          <cell r="H2210">
            <v>20064.338486065</v>
          </cell>
        </row>
        <row r="2211">
          <cell r="B2211" t="str">
            <v>OCEANO 1104Q08</v>
          </cell>
          <cell r="C2211">
            <v>182601104</v>
          </cell>
          <cell r="D2211" t="str">
            <v>OCEANO 1104</v>
          </cell>
          <cell r="E2211" t="str">
            <v>Q08</v>
          </cell>
          <cell r="F2211" t="b">
            <v>0</v>
          </cell>
          <cell r="G2211">
            <v>19981.627957668399</v>
          </cell>
          <cell r="H2211">
            <v>19981.627957668399</v>
          </cell>
        </row>
        <row r="2212">
          <cell r="B2212" t="str">
            <v>OCEANO 1104Q10</v>
          </cell>
          <cell r="C2212">
            <v>182601104</v>
          </cell>
          <cell r="D2212" t="str">
            <v>OCEANO 1104</v>
          </cell>
          <cell r="E2212" t="str">
            <v>Q10</v>
          </cell>
          <cell r="F2212" t="b">
            <v>0</v>
          </cell>
          <cell r="G2212">
            <v>38031.000562188099</v>
          </cell>
          <cell r="H2212">
            <v>38031.000562188099</v>
          </cell>
        </row>
        <row r="2213">
          <cell r="B2213" t="str">
            <v>OCEANO 1104Q12</v>
          </cell>
          <cell r="C2213">
            <v>182601104</v>
          </cell>
          <cell r="D2213" t="str">
            <v>OCEANO 1104</v>
          </cell>
          <cell r="E2213" t="str">
            <v>Q12</v>
          </cell>
          <cell r="F2213" t="b">
            <v>0</v>
          </cell>
          <cell r="G2213">
            <v>25798.2458430888</v>
          </cell>
          <cell r="H2213">
            <v>18203.047847610502</v>
          </cell>
        </row>
        <row r="2214">
          <cell r="B2214" t="str">
            <v>OCEANO 1104V36</v>
          </cell>
          <cell r="C2214">
            <v>182601104</v>
          </cell>
          <cell r="D2214" t="str">
            <v>OCEANO 1104</v>
          </cell>
          <cell r="E2214" t="str">
            <v>V36</v>
          </cell>
          <cell r="F2214" t="b">
            <v>0</v>
          </cell>
          <cell r="G2214">
            <v>21377.0625326882</v>
          </cell>
          <cell r="H2214">
            <v>18028.895042292999</v>
          </cell>
        </row>
        <row r="2215">
          <cell r="B2215" t="str">
            <v>OCEANO 1104V38</v>
          </cell>
          <cell r="C2215">
            <v>182601104</v>
          </cell>
          <cell r="D2215" t="str">
            <v>OCEANO 1104</v>
          </cell>
          <cell r="E2215" t="str">
            <v>V38</v>
          </cell>
          <cell r="F2215" t="b">
            <v>0</v>
          </cell>
          <cell r="G2215">
            <v>27926.3563782358</v>
          </cell>
          <cell r="H2215">
            <v>19405.532105800299</v>
          </cell>
        </row>
        <row r="2216">
          <cell r="B2216" t="str">
            <v>OCEANO 1105V44</v>
          </cell>
          <cell r="C2216">
            <v>182601105</v>
          </cell>
          <cell r="D2216" t="str">
            <v>OCEANO 1105</v>
          </cell>
          <cell r="E2216" t="str">
            <v>V44</v>
          </cell>
          <cell r="F2216" t="b">
            <v>0</v>
          </cell>
          <cell r="G2216">
            <v>1767.9987870639</v>
          </cell>
          <cell r="H2216">
            <v>1259.7645249065299</v>
          </cell>
        </row>
        <row r="2217">
          <cell r="B2217" t="str">
            <v>OCEANO 1105V48</v>
          </cell>
          <cell r="C2217">
            <v>182601105</v>
          </cell>
          <cell r="D2217" t="str">
            <v>OCEANO 1105</v>
          </cell>
          <cell r="E2217" t="str">
            <v>V48</v>
          </cell>
          <cell r="F2217" t="b">
            <v>1</v>
          </cell>
          <cell r="G2217">
            <v>4125.7286704247799</v>
          </cell>
          <cell r="H2217">
            <v>198.729802835128</v>
          </cell>
        </row>
        <row r="2218">
          <cell r="B2218" t="str">
            <v>OCEANO 1106CB</v>
          </cell>
          <cell r="C2218">
            <v>182601106</v>
          </cell>
          <cell r="D2218" t="str">
            <v>OCEANO 1106</v>
          </cell>
          <cell r="E2218" t="str">
            <v>CB</v>
          </cell>
          <cell r="F2218" t="b">
            <v>0</v>
          </cell>
          <cell r="G2218">
            <v>7207.9496787144699</v>
          </cell>
          <cell r="H2218">
            <v>1811.92335111236</v>
          </cell>
        </row>
        <row r="2219">
          <cell r="B2219" t="str">
            <v>OCEANO 1106V28</v>
          </cell>
          <cell r="C2219">
            <v>182601106</v>
          </cell>
          <cell r="D2219" t="str">
            <v>OCEANO 1106</v>
          </cell>
          <cell r="E2219" t="str">
            <v>V28</v>
          </cell>
          <cell r="F2219" t="b">
            <v>0</v>
          </cell>
          <cell r="G2219">
            <v>14462.1375552764</v>
          </cell>
          <cell r="H2219">
            <v>1958.2873463865201</v>
          </cell>
        </row>
        <row r="2220">
          <cell r="B2220" t="str">
            <v>OILFIELDS 11032757</v>
          </cell>
          <cell r="C2220">
            <v>182391103</v>
          </cell>
          <cell r="D2220" t="str">
            <v>OILFIELDS 1103</v>
          </cell>
          <cell r="E2220">
            <v>2757</v>
          </cell>
          <cell r="F2220" t="b">
            <v>0</v>
          </cell>
          <cell r="G2220">
            <v>4222.8970498324297</v>
          </cell>
          <cell r="H2220">
            <v>4222.8970498324297</v>
          </cell>
        </row>
        <row r="2221">
          <cell r="B2221" t="str">
            <v>OILFIELDS 1103370932</v>
          </cell>
          <cell r="C2221">
            <v>182391103</v>
          </cell>
          <cell r="D2221" t="str">
            <v>OILFIELDS 1103</v>
          </cell>
          <cell r="E2221">
            <v>370932</v>
          </cell>
          <cell r="F2221" t="b">
            <v>1</v>
          </cell>
          <cell r="G2221">
            <v>2172.95792225791</v>
          </cell>
          <cell r="H2221">
            <v>619.929615540638</v>
          </cell>
        </row>
        <row r="2222">
          <cell r="B2222" t="str">
            <v>OILFIELDS 1103441010</v>
          </cell>
          <cell r="C2222">
            <v>182391103</v>
          </cell>
          <cell r="D2222" t="str">
            <v>OILFIELDS 1103</v>
          </cell>
          <cell r="E2222">
            <v>441010</v>
          </cell>
          <cell r="F2222" t="b">
            <v>1</v>
          </cell>
          <cell r="G2222">
            <v>1310.5117923184</v>
          </cell>
          <cell r="H2222">
            <v>592.48729876249001</v>
          </cell>
        </row>
        <row r="2223">
          <cell r="B2223" t="str">
            <v>OILFIELDS 1103643162</v>
          </cell>
          <cell r="C2223">
            <v>182391103</v>
          </cell>
          <cell r="D2223" t="str">
            <v>OILFIELDS 1103</v>
          </cell>
          <cell r="E2223">
            <v>643162</v>
          </cell>
          <cell r="F2223" t="b">
            <v>0</v>
          </cell>
          <cell r="G2223">
            <v>9798.1377076053905</v>
          </cell>
          <cell r="H2223">
            <v>5532.3243958496896</v>
          </cell>
        </row>
        <row r="2224">
          <cell r="B2224" t="str">
            <v>OILFIELDS 11037006</v>
          </cell>
          <cell r="C2224">
            <v>182391103</v>
          </cell>
          <cell r="D2224" t="str">
            <v>OILFIELDS 1103</v>
          </cell>
          <cell r="E2224">
            <v>7006</v>
          </cell>
          <cell r="F2224" t="b">
            <v>1</v>
          </cell>
          <cell r="G2224">
            <v>11204.5058252569</v>
          </cell>
          <cell r="H2224">
            <v>0</v>
          </cell>
        </row>
        <row r="2225">
          <cell r="B2225" t="str">
            <v>OILFIELDS 110383158</v>
          </cell>
          <cell r="C2225">
            <v>182391103</v>
          </cell>
          <cell r="D2225" t="str">
            <v>OILFIELDS 1103</v>
          </cell>
          <cell r="E2225">
            <v>83158</v>
          </cell>
          <cell r="F2225" t="b">
            <v>0</v>
          </cell>
          <cell r="G2225">
            <v>31398.3782461062</v>
          </cell>
          <cell r="H2225">
            <v>28429.993965571401</v>
          </cell>
        </row>
        <row r="2226">
          <cell r="B2226" t="str">
            <v>OILFIELDS 1103N40</v>
          </cell>
          <cell r="C2226">
            <v>182391103</v>
          </cell>
          <cell r="D2226" t="str">
            <v>OILFIELDS 1103</v>
          </cell>
          <cell r="E2226" t="str">
            <v>N40</v>
          </cell>
          <cell r="F2226" t="b">
            <v>0</v>
          </cell>
          <cell r="G2226">
            <v>4749.4542258616502</v>
          </cell>
          <cell r="H2226">
            <v>4628.04597021687</v>
          </cell>
        </row>
        <row r="2227">
          <cell r="B2227" t="str">
            <v>OILFIELDS 1103N42</v>
          </cell>
          <cell r="C2227">
            <v>182391103</v>
          </cell>
          <cell r="D2227" t="str">
            <v>OILFIELDS 1103</v>
          </cell>
          <cell r="E2227" t="str">
            <v>N42</v>
          </cell>
          <cell r="F2227" t="b">
            <v>0</v>
          </cell>
          <cell r="G2227">
            <v>9607.0794280538903</v>
          </cell>
          <cell r="H2227">
            <v>5997.3143895653302</v>
          </cell>
        </row>
        <row r="2228">
          <cell r="B2228" t="str">
            <v>OILFIELDS 1103N44</v>
          </cell>
          <cell r="C2228">
            <v>182391103</v>
          </cell>
          <cell r="D2228" t="str">
            <v>OILFIELDS 1103</v>
          </cell>
          <cell r="E2228" t="str">
            <v>N44</v>
          </cell>
          <cell r="F2228" t="b">
            <v>0</v>
          </cell>
          <cell r="G2228">
            <v>29207.738763351201</v>
          </cell>
          <cell r="H2228">
            <v>29207.738763351201</v>
          </cell>
        </row>
        <row r="2229">
          <cell r="B2229" t="str">
            <v>OILFIELDS 1103N46</v>
          </cell>
          <cell r="C2229">
            <v>182391103</v>
          </cell>
          <cell r="D2229" t="str">
            <v>OILFIELDS 1103</v>
          </cell>
          <cell r="E2229" t="str">
            <v>N46</v>
          </cell>
          <cell r="F2229" t="b">
            <v>0</v>
          </cell>
          <cell r="G2229">
            <v>9360.6261253155499</v>
          </cell>
          <cell r="H2229">
            <v>9360.6261253155499</v>
          </cell>
        </row>
        <row r="2230">
          <cell r="B2230" t="str">
            <v>OILFIELDS 1103N48</v>
          </cell>
          <cell r="C2230">
            <v>182391103</v>
          </cell>
          <cell r="D2230" t="str">
            <v>OILFIELDS 1103</v>
          </cell>
          <cell r="E2230" t="str">
            <v>N48</v>
          </cell>
          <cell r="F2230" t="b">
            <v>0</v>
          </cell>
          <cell r="G2230">
            <v>76703.671131851297</v>
          </cell>
          <cell r="H2230">
            <v>76703.671131851297</v>
          </cell>
        </row>
        <row r="2231">
          <cell r="B2231" t="str">
            <v>OILFIELDS 1103N62</v>
          </cell>
          <cell r="C2231">
            <v>182391103</v>
          </cell>
          <cell r="D2231" t="str">
            <v>OILFIELDS 1103</v>
          </cell>
          <cell r="E2231" t="str">
            <v>N62</v>
          </cell>
          <cell r="F2231" t="b">
            <v>0</v>
          </cell>
          <cell r="G2231">
            <v>8948.19221855252</v>
          </cell>
          <cell r="H2231">
            <v>8948.19221855252</v>
          </cell>
        </row>
        <row r="2232">
          <cell r="B2232" t="str">
            <v>OILFIELDS 1103N64</v>
          </cell>
          <cell r="C2232">
            <v>182391103</v>
          </cell>
          <cell r="D2232" t="str">
            <v>OILFIELDS 1103</v>
          </cell>
          <cell r="E2232" t="str">
            <v>N64</v>
          </cell>
          <cell r="F2232" t="b">
            <v>0</v>
          </cell>
          <cell r="G2232">
            <v>20207.538534390998</v>
          </cell>
          <cell r="H2232">
            <v>17721.319786475</v>
          </cell>
        </row>
        <row r="2233">
          <cell r="B2233" t="str">
            <v>OLEMA 11011200</v>
          </cell>
          <cell r="C2233">
            <v>42291101</v>
          </cell>
          <cell r="D2233" t="str">
            <v>OLEMA 1101</v>
          </cell>
          <cell r="E2233">
            <v>1200</v>
          </cell>
          <cell r="F2233" t="b">
            <v>0</v>
          </cell>
          <cell r="G2233">
            <v>4658.8808384538697</v>
          </cell>
          <cell r="H2233">
            <v>4658.8808384538697</v>
          </cell>
        </row>
        <row r="2234">
          <cell r="B2234" t="str">
            <v>OLEMA 11011252</v>
          </cell>
          <cell r="C2234">
            <v>42291101</v>
          </cell>
          <cell r="D2234" t="str">
            <v>OLEMA 1101</v>
          </cell>
          <cell r="E2234">
            <v>1252</v>
          </cell>
          <cell r="F2234" t="b">
            <v>0</v>
          </cell>
          <cell r="G2234">
            <v>6608.6354679105098</v>
          </cell>
          <cell r="H2234">
            <v>6608.6354679105098</v>
          </cell>
        </row>
        <row r="2235">
          <cell r="B2235" t="str">
            <v>OLEMA 11011318</v>
          </cell>
          <cell r="C2235">
            <v>42291101</v>
          </cell>
          <cell r="D2235" t="str">
            <v>OLEMA 1101</v>
          </cell>
          <cell r="E2235">
            <v>1318</v>
          </cell>
          <cell r="F2235" t="b">
            <v>0</v>
          </cell>
          <cell r="G2235">
            <v>16637.001753980501</v>
          </cell>
          <cell r="H2235">
            <v>13693.4076244071</v>
          </cell>
        </row>
        <row r="2236">
          <cell r="B2236" t="str">
            <v>OLEMA 1101337220</v>
          </cell>
          <cell r="C2236">
            <v>42291101</v>
          </cell>
          <cell r="D2236" t="str">
            <v>OLEMA 1101</v>
          </cell>
          <cell r="E2236">
            <v>337220</v>
          </cell>
          <cell r="F2236" t="b">
            <v>0</v>
          </cell>
          <cell r="G2236">
            <v>8725.0859913414497</v>
          </cell>
          <cell r="H2236">
            <v>7959.89171287108</v>
          </cell>
        </row>
        <row r="2237">
          <cell r="B2237" t="str">
            <v>OLEMA 110137074</v>
          </cell>
          <cell r="C2237">
            <v>42291101</v>
          </cell>
          <cell r="D2237" t="str">
            <v>OLEMA 1101</v>
          </cell>
          <cell r="E2237">
            <v>37074</v>
          </cell>
          <cell r="F2237" t="b">
            <v>1</v>
          </cell>
          <cell r="G2237">
            <v>506.00807784101198</v>
          </cell>
          <cell r="H2237">
            <v>21.9456014874674</v>
          </cell>
        </row>
        <row r="2238">
          <cell r="B2238" t="str">
            <v>OLEMA 1101416</v>
          </cell>
          <cell r="C2238">
            <v>42291101</v>
          </cell>
          <cell r="D2238" t="str">
            <v>OLEMA 1101</v>
          </cell>
          <cell r="E2238">
            <v>416</v>
          </cell>
          <cell r="F2238" t="b">
            <v>0</v>
          </cell>
          <cell r="G2238">
            <v>26082.6278572189</v>
          </cell>
          <cell r="H2238">
            <v>26031.4486221476</v>
          </cell>
        </row>
        <row r="2239">
          <cell r="B2239" t="str">
            <v>OLEMA 110149756</v>
          </cell>
          <cell r="C2239">
            <v>42291101</v>
          </cell>
          <cell r="D2239" t="str">
            <v>OLEMA 1101</v>
          </cell>
          <cell r="E2239">
            <v>49756</v>
          </cell>
          <cell r="F2239" t="b">
            <v>0</v>
          </cell>
          <cell r="G2239">
            <v>9480.1737574889103</v>
          </cell>
          <cell r="H2239">
            <v>1727.7804710538901</v>
          </cell>
        </row>
        <row r="2240">
          <cell r="B2240" t="str">
            <v>OLEMA 110150396</v>
          </cell>
          <cell r="C2240">
            <v>42291101</v>
          </cell>
          <cell r="D2240" t="str">
            <v>OLEMA 1101</v>
          </cell>
          <cell r="E2240">
            <v>50396</v>
          </cell>
          <cell r="F2240" t="b">
            <v>0</v>
          </cell>
          <cell r="G2240">
            <v>21037.375727652801</v>
          </cell>
          <cell r="H2240">
            <v>20827.389249878299</v>
          </cell>
        </row>
        <row r="2241">
          <cell r="B2241" t="str">
            <v>OLEMA 1101602</v>
          </cell>
          <cell r="C2241">
            <v>42291101</v>
          </cell>
          <cell r="D2241" t="str">
            <v>OLEMA 1101</v>
          </cell>
          <cell r="E2241">
            <v>602</v>
          </cell>
          <cell r="F2241" t="b">
            <v>0</v>
          </cell>
          <cell r="G2241">
            <v>38446.672849321098</v>
          </cell>
          <cell r="H2241">
            <v>26032.337886317699</v>
          </cell>
        </row>
        <row r="2242">
          <cell r="B2242" t="str">
            <v>OLEMA 110175686</v>
          </cell>
          <cell r="C2242">
            <v>42291101</v>
          </cell>
          <cell r="D2242" t="str">
            <v>OLEMA 1101</v>
          </cell>
          <cell r="E2242">
            <v>75686</v>
          </cell>
          <cell r="F2242" t="b">
            <v>0</v>
          </cell>
          <cell r="G2242">
            <v>8282.1233047601509</v>
          </cell>
          <cell r="H2242">
            <v>7450.40213425613</v>
          </cell>
        </row>
        <row r="2243">
          <cell r="B2243" t="str">
            <v>OLEMA 1101758594</v>
          </cell>
          <cell r="C2243">
            <v>42291101</v>
          </cell>
          <cell r="D2243" t="str">
            <v>OLEMA 1101</v>
          </cell>
          <cell r="E2243">
            <v>758594</v>
          </cell>
          <cell r="F2243" t="b">
            <v>0</v>
          </cell>
          <cell r="G2243">
            <v>3264.6913674849998</v>
          </cell>
          <cell r="H2243">
            <v>1943.49377715325</v>
          </cell>
        </row>
        <row r="2244">
          <cell r="B2244" t="str">
            <v>OLETA 11011208</v>
          </cell>
          <cell r="C2244">
            <v>163541101</v>
          </cell>
          <cell r="D2244" t="str">
            <v>OLETA 1101</v>
          </cell>
          <cell r="E2244">
            <v>1208</v>
          </cell>
          <cell r="F2244" t="b">
            <v>0</v>
          </cell>
          <cell r="G2244">
            <v>61463.001670979902</v>
          </cell>
          <cell r="H2244">
            <v>53098.443242061701</v>
          </cell>
        </row>
        <row r="2245">
          <cell r="B2245" t="str">
            <v>OLETA 11011217</v>
          </cell>
          <cell r="C2245">
            <v>163541101</v>
          </cell>
          <cell r="D2245" t="str">
            <v>OLETA 1101</v>
          </cell>
          <cell r="E2245">
            <v>1217</v>
          </cell>
          <cell r="F2245" t="b">
            <v>0</v>
          </cell>
          <cell r="G2245">
            <v>27736.920452244602</v>
          </cell>
          <cell r="H2245">
            <v>22843.385306114898</v>
          </cell>
        </row>
        <row r="2246">
          <cell r="B2246" t="str">
            <v>OLETA 110113478</v>
          </cell>
          <cell r="C2246">
            <v>163541101</v>
          </cell>
          <cell r="D2246" t="str">
            <v>OLETA 1101</v>
          </cell>
          <cell r="E2246">
            <v>13478</v>
          </cell>
          <cell r="F2246" t="b">
            <v>0</v>
          </cell>
          <cell r="G2246">
            <v>24836.1055622719</v>
          </cell>
          <cell r="H2246">
            <v>19846.651279390098</v>
          </cell>
        </row>
        <row r="2247">
          <cell r="B2247" t="str">
            <v>OLETA 1101239062</v>
          </cell>
          <cell r="C2247">
            <v>163541101</v>
          </cell>
          <cell r="D2247" t="str">
            <v>OLETA 1101</v>
          </cell>
          <cell r="E2247">
            <v>239062</v>
          </cell>
          <cell r="F2247" t="b">
            <v>0</v>
          </cell>
          <cell r="G2247">
            <v>22613.4238681194</v>
          </cell>
          <cell r="H2247">
            <v>19618.6008178839</v>
          </cell>
        </row>
        <row r="2248">
          <cell r="B2248" t="str">
            <v>OLETA 1101296804</v>
          </cell>
          <cell r="C2248">
            <v>163541101</v>
          </cell>
          <cell r="D2248" t="str">
            <v>OLETA 1101</v>
          </cell>
          <cell r="E2248">
            <v>296804</v>
          </cell>
          <cell r="F2248" t="b">
            <v>0</v>
          </cell>
          <cell r="G2248">
            <v>5287.50441411051</v>
          </cell>
          <cell r="H2248">
            <v>5287.50441411051</v>
          </cell>
        </row>
        <row r="2249">
          <cell r="B2249" t="str">
            <v>OLETA 1101400470</v>
          </cell>
          <cell r="C2249">
            <v>163541101</v>
          </cell>
          <cell r="D2249" t="str">
            <v>OLETA 1101</v>
          </cell>
          <cell r="E2249">
            <v>400470</v>
          </cell>
          <cell r="F2249" t="b">
            <v>1</v>
          </cell>
          <cell r="G2249">
            <v>475.21826837795902</v>
          </cell>
          <cell r="H2249">
            <v>334.01076741978198</v>
          </cell>
        </row>
        <row r="2250">
          <cell r="B2250" t="str">
            <v>OLETA 110151740</v>
          </cell>
          <cell r="C2250">
            <v>163541101</v>
          </cell>
          <cell r="D2250" t="str">
            <v>OLETA 1101</v>
          </cell>
          <cell r="E2250">
            <v>51740</v>
          </cell>
          <cell r="F2250" t="b">
            <v>0</v>
          </cell>
          <cell r="G2250">
            <v>34181.0044013847</v>
          </cell>
          <cell r="H2250">
            <v>25031.397041128399</v>
          </cell>
        </row>
        <row r="2251">
          <cell r="B2251" t="str">
            <v>OLETA 110163500</v>
          </cell>
          <cell r="C2251">
            <v>163541101</v>
          </cell>
          <cell r="D2251" t="str">
            <v>OLETA 1101</v>
          </cell>
          <cell r="E2251">
            <v>63500</v>
          </cell>
          <cell r="F2251" t="b">
            <v>1</v>
          </cell>
          <cell r="G2251">
            <v>5562.1132396047296</v>
          </cell>
          <cell r="H2251">
            <v>327.15005443802397</v>
          </cell>
        </row>
        <row r="2252">
          <cell r="B2252" t="str">
            <v>OLETA 1101754718</v>
          </cell>
          <cell r="C2252">
            <v>163541101</v>
          </cell>
          <cell r="D2252" t="str">
            <v>OLETA 1101</v>
          </cell>
          <cell r="E2252">
            <v>754718</v>
          </cell>
          <cell r="F2252" t="b">
            <v>0</v>
          </cell>
          <cell r="G2252">
            <v>4640.5633165340896</v>
          </cell>
          <cell r="H2252">
            <v>4640.5633165340896</v>
          </cell>
        </row>
        <row r="2253">
          <cell r="B2253" t="str">
            <v>OLETA 1101894006</v>
          </cell>
          <cell r="C2253">
            <v>163541101</v>
          </cell>
          <cell r="D2253" t="str">
            <v>OLETA 1101</v>
          </cell>
          <cell r="E2253">
            <v>894006</v>
          </cell>
          <cell r="F2253" t="b">
            <v>1</v>
          </cell>
          <cell r="G2253">
            <v>1042.8450839811401</v>
          </cell>
          <cell r="H2253">
            <v>627.95452130340595</v>
          </cell>
        </row>
        <row r="2254">
          <cell r="B2254" t="str">
            <v>OLETA 1101CB</v>
          </cell>
          <cell r="C2254">
            <v>163541101</v>
          </cell>
          <cell r="D2254" t="str">
            <v>OLETA 1101</v>
          </cell>
          <cell r="E2254" t="str">
            <v>CB</v>
          </cell>
          <cell r="F2254" t="b">
            <v>1</v>
          </cell>
          <cell r="G2254">
            <v>169.75155571677101</v>
          </cell>
          <cell r="H2254">
            <v>136.224226023944</v>
          </cell>
        </row>
        <row r="2255">
          <cell r="B2255" t="str">
            <v>OLETA 11021204</v>
          </cell>
          <cell r="C2255">
            <v>163541102</v>
          </cell>
          <cell r="D2255" t="str">
            <v>OLETA 1102</v>
          </cell>
          <cell r="E2255">
            <v>1204</v>
          </cell>
          <cell r="F2255" t="b">
            <v>0</v>
          </cell>
          <cell r="G2255">
            <v>47393.985382021499</v>
          </cell>
          <cell r="H2255">
            <v>41374.665476345697</v>
          </cell>
        </row>
        <row r="2256">
          <cell r="B2256" t="str">
            <v>OLETA 11021228</v>
          </cell>
          <cell r="C2256">
            <v>163541102</v>
          </cell>
          <cell r="D2256" t="str">
            <v>OLETA 1102</v>
          </cell>
          <cell r="E2256">
            <v>1228</v>
          </cell>
          <cell r="F2256" t="b">
            <v>0</v>
          </cell>
          <cell r="G2256">
            <v>69440.241044135895</v>
          </cell>
          <cell r="H2256">
            <v>17449.917425866799</v>
          </cell>
        </row>
        <row r="2257">
          <cell r="B2257" t="str">
            <v>OLETA 1102186326</v>
          </cell>
          <cell r="C2257">
            <v>163541102</v>
          </cell>
          <cell r="D2257" t="str">
            <v>OLETA 1102</v>
          </cell>
          <cell r="E2257">
            <v>186326</v>
          </cell>
          <cell r="F2257" t="b">
            <v>0</v>
          </cell>
          <cell r="G2257">
            <v>20743.732890044899</v>
          </cell>
          <cell r="H2257">
            <v>19088.853877773701</v>
          </cell>
        </row>
        <row r="2258">
          <cell r="B2258" t="str">
            <v>OLETA 11022642</v>
          </cell>
          <cell r="C2258">
            <v>163541102</v>
          </cell>
          <cell r="D2258" t="str">
            <v>OLETA 1102</v>
          </cell>
          <cell r="E2258">
            <v>2642</v>
          </cell>
          <cell r="F2258" t="b">
            <v>0</v>
          </cell>
          <cell r="G2258">
            <v>7497.8567752036397</v>
          </cell>
          <cell r="H2258">
            <v>7497.8567752036397</v>
          </cell>
        </row>
        <row r="2259">
          <cell r="B2259" t="str">
            <v>OLETA 110241396</v>
          </cell>
          <cell r="C2259">
            <v>163541102</v>
          </cell>
          <cell r="D2259" t="str">
            <v>OLETA 1102</v>
          </cell>
          <cell r="E2259">
            <v>41396</v>
          </cell>
          <cell r="F2259" t="b">
            <v>0</v>
          </cell>
          <cell r="G2259">
            <v>11819.9638728234</v>
          </cell>
          <cell r="H2259">
            <v>10868.155935327901</v>
          </cell>
        </row>
        <row r="2260">
          <cell r="B2260" t="str">
            <v>OLETA 1102793776</v>
          </cell>
          <cell r="C2260">
            <v>163541102</v>
          </cell>
          <cell r="D2260" t="str">
            <v>OLETA 1102</v>
          </cell>
          <cell r="E2260">
            <v>793776</v>
          </cell>
          <cell r="F2260" t="b">
            <v>0</v>
          </cell>
          <cell r="G2260">
            <v>1956.95952505777</v>
          </cell>
          <cell r="H2260">
            <v>1956.95952505777</v>
          </cell>
        </row>
        <row r="2261">
          <cell r="B2261" t="str">
            <v>OLETA 1102799924</v>
          </cell>
          <cell r="C2261">
            <v>163541102</v>
          </cell>
          <cell r="D2261" t="str">
            <v>OLETA 1102</v>
          </cell>
          <cell r="E2261">
            <v>799924</v>
          </cell>
          <cell r="F2261" t="b">
            <v>1</v>
          </cell>
          <cell r="G2261">
            <v>621.61512304208998</v>
          </cell>
          <cell r="H2261">
            <v>621.61512304208998</v>
          </cell>
        </row>
        <row r="2262">
          <cell r="B2262" t="str">
            <v>OLETA 1102CB</v>
          </cell>
          <cell r="C2262">
            <v>163541102</v>
          </cell>
          <cell r="D2262" t="str">
            <v>OLETA 1102</v>
          </cell>
          <cell r="E2262" t="str">
            <v>CB</v>
          </cell>
          <cell r="F2262" t="b">
            <v>1</v>
          </cell>
          <cell r="G2262">
            <v>1312.93710002735</v>
          </cell>
          <cell r="H2262">
            <v>596.61831704775602</v>
          </cell>
        </row>
        <row r="2263">
          <cell r="B2263" t="str">
            <v>OREGON TRAIL 11021382</v>
          </cell>
          <cell r="C2263">
            <v>103521102</v>
          </cell>
          <cell r="D2263" t="str">
            <v>OREGON TRAIL 1102</v>
          </cell>
          <cell r="E2263">
            <v>1382</v>
          </cell>
          <cell r="F2263" t="b">
            <v>0</v>
          </cell>
          <cell r="G2263">
            <v>8797.2782102602105</v>
          </cell>
          <cell r="H2263">
            <v>8797.2782102602105</v>
          </cell>
        </row>
        <row r="2264">
          <cell r="B2264" t="str">
            <v>OREGON TRAIL 11021584</v>
          </cell>
          <cell r="C2264">
            <v>103521102</v>
          </cell>
          <cell r="D2264" t="str">
            <v>OREGON TRAIL 1102</v>
          </cell>
          <cell r="E2264">
            <v>1584</v>
          </cell>
          <cell r="F2264" t="b">
            <v>0</v>
          </cell>
          <cell r="G2264">
            <v>20998.6152533934</v>
          </cell>
          <cell r="H2264">
            <v>20998.6152533934</v>
          </cell>
        </row>
        <row r="2265">
          <cell r="B2265" t="str">
            <v>OREGON TRAIL 110249144</v>
          </cell>
          <cell r="C2265">
            <v>103521102</v>
          </cell>
          <cell r="D2265" t="str">
            <v>OREGON TRAIL 1102</v>
          </cell>
          <cell r="E2265">
            <v>49144</v>
          </cell>
          <cell r="F2265" t="b">
            <v>0</v>
          </cell>
          <cell r="G2265">
            <v>34128.686942462802</v>
          </cell>
          <cell r="H2265">
            <v>29574.150340946999</v>
          </cell>
        </row>
        <row r="2266">
          <cell r="B2266" t="str">
            <v>OREGON TRAIL 1102CB</v>
          </cell>
          <cell r="C2266">
            <v>103521102</v>
          </cell>
          <cell r="D2266" t="str">
            <v>OREGON TRAIL 1102</v>
          </cell>
          <cell r="E2266" t="str">
            <v>CB</v>
          </cell>
          <cell r="F2266" t="b">
            <v>0</v>
          </cell>
          <cell r="G2266">
            <v>15377.0315938038</v>
          </cell>
          <cell r="H2266">
            <v>15053.030114532199</v>
          </cell>
        </row>
        <row r="2267">
          <cell r="B2267" t="str">
            <v>OREGON TRAIL 11031448</v>
          </cell>
          <cell r="C2267">
            <v>103521103</v>
          </cell>
          <cell r="D2267" t="str">
            <v>OREGON TRAIL 1103</v>
          </cell>
          <cell r="E2267">
            <v>1448</v>
          </cell>
          <cell r="F2267" t="b">
            <v>0</v>
          </cell>
          <cell r="G2267">
            <v>49484.979349980997</v>
          </cell>
          <cell r="H2267">
            <v>49484.979349980997</v>
          </cell>
        </row>
        <row r="2268">
          <cell r="B2268" t="str">
            <v>OREGON TRAIL 11031500</v>
          </cell>
          <cell r="C2268">
            <v>103521103</v>
          </cell>
          <cell r="D2268" t="str">
            <v>OREGON TRAIL 1103</v>
          </cell>
          <cell r="E2268">
            <v>1500</v>
          </cell>
          <cell r="F2268" t="b">
            <v>0</v>
          </cell>
          <cell r="G2268">
            <v>41880.468567409996</v>
          </cell>
          <cell r="H2268">
            <v>41880.468567409996</v>
          </cell>
        </row>
        <row r="2269">
          <cell r="B2269" t="str">
            <v>OREGON TRAIL 110335002</v>
          </cell>
          <cell r="C2269">
            <v>103521103</v>
          </cell>
          <cell r="D2269" t="str">
            <v>OREGON TRAIL 1103</v>
          </cell>
          <cell r="E2269">
            <v>35002</v>
          </cell>
          <cell r="F2269" t="b">
            <v>0</v>
          </cell>
          <cell r="G2269">
            <v>91942.988023722704</v>
          </cell>
          <cell r="H2269">
            <v>91942.988023722704</v>
          </cell>
        </row>
        <row r="2270">
          <cell r="B2270" t="str">
            <v>OREGON TRAIL 110346860</v>
          </cell>
          <cell r="C2270">
            <v>103521103</v>
          </cell>
          <cell r="D2270" t="str">
            <v>OREGON TRAIL 1103</v>
          </cell>
          <cell r="E2270">
            <v>46860</v>
          </cell>
          <cell r="F2270" t="b">
            <v>0</v>
          </cell>
          <cell r="G2270">
            <v>5362.8484389867299</v>
          </cell>
          <cell r="H2270">
            <v>1149.59795650768</v>
          </cell>
        </row>
        <row r="2271">
          <cell r="B2271" t="str">
            <v>OREGON TRAIL 1103CB</v>
          </cell>
          <cell r="C2271">
            <v>103521103</v>
          </cell>
          <cell r="D2271" t="str">
            <v>OREGON TRAIL 1103</v>
          </cell>
          <cell r="E2271" t="str">
            <v>CB</v>
          </cell>
          <cell r="F2271" t="b">
            <v>0</v>
          </cell>
          <cell r="G2271">
            <v>4716.8975610019597</v>
          </cell>
          <cell r="H2271">
            <v>4354.34100359289</v>
          </cell>
        </row>
        <row r="2272">
          <cell r="B2272" t="str">
            <v>OREGON TRAIL 1103CUS391</v>
          </cell>
          <cell r="C2272">
            <v>103521103</v>
          </cell>
          <cell r="D2272" t="str">
            <v>OREGON TRAIL 1103</v>
          </cell>
          <cell r="E2272" t="str">
            <v>CUS391</v>
          </cell>
          <cell r="F2272" t="b">
            <v>1</v>
          </cell>
          <cell r="G2272">
            <v>36.357692544759097</v>
          </cell>
          <cell r="H2272">
            <v>36.357692544759097</v>
          </cell>
        </row>
        <row r="2273">
          <cell r="B2273" t="str">
            <v>OREGON TRAIL 11041574</v>
          </cell>
          <cell r="C2273">
            <v>103521104</v>
          </cell>
          <cell r="D2273" t="str">
            <v>OREGON TRAIL 1104</v>
          </cell>
          <cell r="E2273">
            <v>1574</v>
          </cell>
          <cell r="F2273" t="b">
            <v>0</v>
          </cell>
          <cell r="G2273">
            <v>30217.6119838267</v>
          </cell>
          <cell r="H2273">
            <v>27209.523433845701</v>
          </cell>
        </row>
        <row r="2274">
          <cell r="B2274" t="str">
            <v>OREGON TRAIL 11041634</v>
          </cell>
          <cell r="C2274">
            <v>103521104</v>
          </cell>
          <cell r="D2274" t="str">
            <v>OREGON TRAIL 1104</v>
          </cell>
          <cell r="E2274">
            <v>1634</v>
          </cell>
          <cell r="F2274" t="b">
            <v>0</v>
          </cell>
          <cell r="G2274">
            <v>29441.362588382799</v>
          </cell>
          <cell r="H2274">
            <v>29110.769401012501</v>
          </cell>
        </row>
        <row r="2275">
          <cell r="B2275" t="str">
            <v>OREGON TRAIL 1104CB</v>
          </cell>
          <cell r="C2275">
            <v>103521104</v>
          </cell>
          <cell r="D2275" t="str">
            <v>OREGON TRAIL 1104</v>
          </cell>
          <cell r="E2275" t="str">
            <v>CB</v>
          </cell>
          <cell r="F2275" t="b">
            <v>0</v>
          </cell>
          <cell r="G2275">
            <v>23543.782700217602</v>
          </cell>
          <cell r="H2275">
            <v>17030.244017994901</v>
          </cell>
        </row>
        <row r="2276">
          <cell r="B2276" t="str">
            <v>ORINDA 04013442</v>
          </cell>
          <cell r="C2276">
            <v>12350401</v>
          </cell>
          <cell r="D2276" t="str">
            <v>ORINDA 0401</v>
          </cell>
          <cell r="E2276">
            <v>3442</v>
          </cell>
          <cell r="F2276" t="b">
            <v>0</v>
          </cell>
          <cell r="G2276">
            <v>8430.8944228072196</v>
          </cell>
          <cell r="H2276">
            <v>5599.8630101564204</v>
          </cell>
        </row>
        <row r="2277">
          <cell r="B2277" t="str">
            <v>ORINDA 0401401/2 LR</v>
          </cell>
          <cell r="C2277">
            <v>12350401</v>
          </cell>
          <cell r="D2277" t="str">
            <v>ORINDA 0401</v>
          </cell>
          <cell r="E2277" t="str">
            <v>401/2 LR</v>
          </cell>
          <cell r="F2277" t="b">
            <v>1</v>
          </cell>
          <cell r="G2277">
            <v>235.88104854040901</v>
          </cell>
          <cell r="H2277">
            <v>158.24902998422701</v>
          </cell>
        </row>
        <row r="2278">
          <cell r="B2278" t="str">
            <v>ORINDA 0402402/2 LR</v>
          </cell>
          <cell r="C2278">
            <v>12350402</v>
          </cell>
          <cell r="D2278" t="str">
            <v>ORINDA 0402</v>
          </cell>
          <cell r="E2278" t="str">
            <v>402/2 LR</v>
          </cell>
          <cell r="F2278" t="b">
            <v>0</v>
          </cell>
          <cell r="G2278">
            <v>10638.250928756501</v>
          </cell>
          <cell r="H2278">
            <v>10545.4352717003</v>
          </cell>
        </row>
        <row r="2279">
          <cell r="B2279" t="str">
            <v>ORO FINO 11012022</v>
          </cell>
          <cell r="C2279">
            <v>103031101</v>
          </cell>
          <cell r="D2279" t="str">
            <v>ORO FINO 1101</v>
          </cell>
          <cell r="E2279">
            <v>2022</v>
          </cell>
          <cell r="F2279" t="b">
            <v>0</v>
          </cell>
          <cell r="G2279">
            <v>25888.955396494501</v>
          </cell>
          <cell r="H2279">
            <v>25888.955396494501</v>
          </cell>
        </row>
        <row r="2280">
          <cell r="B2280" t="str">
            <v>ORO FINO 1101CB</v>
          </cell>
          <cell r="C2280">
            <v>103031101</v>
          </cell>
          <cell r="D2280" t="str">
            <v>ORO FINO 1101</v>
          </cell>
          <cell r="E2280" t="str">
            <v>CB</v>
          </cell>
          <cell r="F2280" t="b">
            <v>0</v>
          </cell>
          <cell r="G2280">
            <v>35929.683585921099</v>
          </cell>
          <cell r="H2280">
            <v>35929.683585921099</v>
          </cell>
        </row>
        <row r="2281">
          <cell r="B2281" t="str">
            <v>ORO FINO 1102127563</v>
          </cell>
          <cell r="C2281">
            <v>103031102</v>
          </cell>
          <cell r="D2281" t="str">
            <v>ORO FINO 1102</v>
          </cell>
          <cell r="E2281">
            <v>127563</v>
          </cell>
          <cell r="F2281" t="b">
            <v>0</v>
          </cell>
          <cell r="G2281">
            <v>11105.9314210455</v>
          </cell>
          <cell r="H2281">
            <v>11105.9314210455</v>
          </cell>
        </row>
        <row r="2282">
          <cell r="B2282" t="str">
            <v>ORO FINO 11022040</v>
          </cell>
          <cell r="C2282">
            <v>103031102</v>
          </cell>
          <cell r="D2282" t="str">
            <v>ORO FINO 1102</v>
          </cell>
          <cell r="E2282">
            <v>2040</v>
          </cell>
          <cell r="F2282" t="b">
            <v>0</v>
          </cell>
          <cell r="G2282">
            <v>14724.866201737501</v>
          </cell>
          <cell r="H2282">
            <v>14724.866201737501</v>
          </cell>
        </row>
        <row r="2283">
          <cell r="B2283" t="str">
            <v>ORO FINO 11022090</v>
          </cell>
          <cell r="C2283">
            <v>103031102</v>
          </cell>
          <cell r="D2283" t="str">
            <v>ORO FINO 1102</v>
          </cell>
          <cell r="E2283">
            <v>2090</v>
          </cell>
          <cell r="F2283" t="b">
            <v>0</v>
          </cell>
          <cell r="G2283">
            <v>23726.193149765</v>
          </cell>
          <cell r="H2283">
            <v>23726.193149765</v>
          </cell>
        </row>
        <row r="2284">
          <cell r="B2284" t="str">
            <v>ORO FINO 11022096</v>
          </cell>
          <cell r="C2284">
            <v>103031102</v>
          </cell>
          <cell r="D2284" t="str">
            <v>ORO FINO 1102</v>
          </cell>
          <cell r="E2284">
            <v>2096</v>
          </cell>
          <cell r="F2284" t="b">
            <v>0</v>
          </cell>
          <cell r="G2284">
            <v>22772.918959364699</v>
          </cell>
          <cell r="H2284">
            <v>22772.918959364699</v>
          </cell>
        </row>
        <row r="2285">
          <cell r="B2285" t="str">
            <v>ORO FINO 11022236</v>
          </cell>
          <cell r="C2285">
            <v>103031102</v>
          </cell>
          <cell r="D2285" t="str">
            <v>ORO FINO 1102</v>
          </cell>
          <cell r="E2285">
            <v>2236</v>
          </cell>
          <cell r="F2285" t="b">
            <v>0</v>
          </cell>
          <cell r="G2285">
            <v>4120.4561312109799</v>
          </cell>
          <cell r="H2285">
            <v>4120.4561312109799</v>
          </cell>
        </row>
        <row r="2286">
          <cell r="B2286" t="str">
            <v>ORO FINO 11022556</v>
          </cell>
          <cell r="C2286">
            <v>103031102</v>
          </cell>
          <cell r="D2286" t="str">
            <v>ORO FINO 1102</v>
          </cell>
          <cell r="E2286">
            <v>2556</v>
          </cell>
          <cell r="F2286" t="b">
            <v>0</v>
          </cell>
          <cell r="G2286">
            <v>10719.4796785656</v>
          </cell>
          <cell r="H2286">
            <v>10719.4796785656</v>
          </cell>
        </row>
        <row r="2287">
          <cell r="B2287" t="str">
            <v>ORO FINO 11022560</v>
          </cell>
          <cell r="C2287">
            <v>103031102</v>
          </cell>
          <cell r="D2287" t="str">
            <v>ORO FINO 1102</v>
          </cell>
          <cell r="E2287">
            <v>2560</v>
          </cell>
          <cell r="F2287" t="b">
            <v>0</v>
          </cell>
          <cell r="G2287">
            <v>26913.6157480119</v>
          </cell>
          <cell r="H2287">
            <v>26913.6157480119</v>
          </cell>
        </row>
        <row r="2288">
          <cell r="B2288" t="str">
            <v>ORO FINO 110238698</v>
          </cell>
          <cell r="C2288">
            <v>103031102</v>
          </cell>
          <cell r="D2288" t="str">
            <v>ORO FINO 1102</v>
          </cell>
          <cell r="E2288">
            <v>38698</v>
          </cell>
          <cell r="F2288" t="b">
            <v>0</v>
          </cell>
          <cell r="G2288">
            <v>25178.961163854699</v>
          </cell>
          <cell r="H2288">
            <v>25178.961163854699</v>
          </cell>
        </row>
        <row r="2289">
          <cell r="B2289" t="str">
            <v>ORO FINO 110239154</v>
          </cell>
          <cell r="C2289">
            <v>103031102</v>
          </cell>
          <cell r="D2289" t="str">
            <v>ORO FINO 1102</v>
          </cell>
          <cell r="E2289">
            <v>39154</v>
          </cell>
          <cell r="F2289" t="b">
            <v>0</v>
          </cell>
          <cell r="G2289">
            <v>1419.88892759952</v>
          </cell>
          <cell r="H2289">
            <v>1419.88892759952</v>
          </cell>
        </row>
        <row r="2290">
          <cell r="B2290" t="str">
            <v>ORO FINO 110265932</v>
          </cell>
          <cell r="C2290">
            <v>103031102</v>
          </cell>
          <cell r="D2290" t="str">
            <v>ORO FINO 1102</v>
          </cell>
          <cell r="E2290">
            <v>65932</v>
          </cell>
          <cell r="F2290" t="b">
            <v>0</v>
          </cell>
          <cell r="G2290">
            <v>7276.7194319277496</v>
          </cell>
          <cell r="H2290">
            <v>7276.7194319277496</v>
          </cell>
        </row>
        <row r="2291">
          <cell r="B2291" t="str">
            <v>ORO FINO 110276008</v>
          </cell>
          <cell r="C2291">
            <v>103031102</v>
          </cell>
          <cell r="D2291" t="str">
            <v>ORO FINO 1102</v>
          </cell>
          <cell r="E2291">
            <v>76008</v>
          </cell>
          <cell r="F2291" t="b">
            <v>0</v>
          </cell>
          <cell r="G2291">
            <v>25670.801467449499</v>
          </cell>
          <cell r="H2291">
            <v>25670.801467449499</v>
          </cell>
        </row>
        <row r="2292">
          <cell r="B2292" t="str">
            <v>ORO FINO 1102CB</v>
          </cell>
          <cell r="C2292">
            <v>103031102</v>
          </cell>
          <cell r="D2292" t="str">
            <v>ORO FINO 1102</v>
          </cell>
          <cell r="E2292" t="str">
            <v>CB</v>
          </cell>
          <cell r="F2292" t="b">
            <v>0</v>
          </cell>
          <cell r="G2292">
            <v>3376.1920958452602</v>
          </cell>
          <cell r="H2292">
            <v>3376.1920958452602</v>
          </cell>
        </row>
        <row r="2293">
          <cell r="B2293" t="str">
            <v>OROSI 11027948F</v>
          </cell>
          <cell r="C2293">
            <v>252841102</v>
          </cell>
          <cell r="D2293" t="str">
            <v>OROSI 1102</v>
          </cell>
          <cell r="E2293" t="str">
            <v>7948F</v>
          </cell>
          <cell r="F2293" t="b">
            <v>0</v>
          </cell>
          <cell r="G2293">
            <v>13813.690471239999</v>
          </cell>
          <cell r="H2293">
            <v>1712.01394874941</v>
          </cell>
        </row>
        <row r="2294">
          <cell r="B2294" t="str">
            <v>OTTER 11012052</v>
          </cell>
          <cell r="C2294">
            <v>182941101</v>
          </cell>
          <cell r="D2294" t="str">
            <v>OTTER 1101</v>
          </cell>
          <cell r="E2294">
            <v>2052</v>
          </cell>
          <cell r="F2294" t="b">
            <v>0</v>
          </cell>
          <cell r="G2294">
            <v>7781.6966941974997</v>
          </cell>
          <cell r="H2294">
            <v>7781.6966941974997</v>
          </cell>
        </row>
        <row r="2295">
          <cell r="B2295" t="str">
            <v>OTTER 1101440</v>
          </cell>
          <cell r="C2295">
            <v>182941101</v>
          </cell>
          <cell r="D2295" t="str">
            <v>OTTER 1101</v>
          </cell>
          <cell r="E2295">
            <v>440</v>
          </cell>
          <cell r="F2295" t="b">
            <v>0</v>
          </cell>
          <cell r="G2295">
            <v>17666.869629267701</v>
          </cell>
          <cell r="H2295">
            <v>13392.770076626</v>
          </cell>
        </row>
        <row r="2296">
          <cell r="B2296" t="str">
            <v>OTTER 11017611</v>
          </cell>
          <cell r="C2296">
            <v>182941101</v>
          </cell>
          <cell r="D2296" t="str">
            <v>OTTER 1101</v>
          </cell>
          <cell r="E2296">
            <v>7611</v>
          </cell>
          <cell r="F2296" t="b">
            <v>0</v>
          </cell>
          <cell r="G2296">
            <v>7068.0362276451197</v>
          </cell>
          <cell r="H2296">
            <v>7068.0362276451197</v>
          </cell>
        </row>
        <row r="2297">
          <cell r="B2297" t="str">
            <v>OTTER 1101CB</v>
          </cell>
          <cell r="C2297">
            <v>182941101</v>
          </cell>
          <cell r="D2297" t="str">
            <v>OTTER 1101</v>
          </cell>
          <cell r="E2297" t="str">
            <v>CB</v>
          </cell>
          <cell r="F2297" t="b">
            <v>0</v>
          </cell>
          <cell r="G2297">
            <v>10759.8557385981</v>
          </cell>
          <cell r="H2297">
            <v>10367.8882780314</v>
          </cell>
        </row>
        <row r="2298">
          <cell r="B2298" t="str">
            <v>OTTER 11022002</v>
          </cell>
          <cell r="C2298">
            <v>182941102</v>
          </cell>
          <cell r="D2298" t="str">
            <v>OTTER 1102</v>
          </cell>
          <cell r="E2298">
            <v>2002</v>
          </cell>
          <cell r="F2298" t="b">
            <v>0</v>
          </cell>
          <cell r="G2298">
            <v>4546.6103265481597</v>
          </cell>
          <cell r="H2298">
            <v>4546.6103265481597</v>
          </cell>
        </row>
        <row r="2299">
          <cell r="B2299" t="str">
            <v>OTTER 11022012</v>
          </cell>
          <cell r="C2299">
            <v>182941102</v>
          </cell>
          <cell r="D2299" t="str">
            <v>OTTER 1102</v>
          </cell>
          <cell r="E2299">
            <v>2012</v>
          </cell>
          <cell r="F2299" t="b">
            <v>0</v>
          </cell>
          <cell r="G2299">
            <v>16177.074889025</v>
          </cell>
          <cell r="H2299">
            <v>14813.850856709299</v>
          </cell>
        </row>
        <row r="2300">
          <cell r="B2300" t="str">
            <v>OTTER 11022166</v>
          </cell>
          <cell r="C2300">
            <v>182941102</v>
          </cell>
          <cell r="D2300" t="str">
            <v>OTTER 1102</v>
          </cell>
          <cell r="E2300">
            <v>2166</v>
          </cell>
          <cell r="F2300" t="b">
            <v>0</v>
          </cell>
          <cell r="G2300">
            <v>6559.0005809120403</v>
          </cell>
          <cell r="H2300">
            <v>6559.0005809120403</v>
          </cell>
        </row>
        <row r="2301">
          <cell r="B2301" t="str">
            <v>OTTER 110237132</v>
          </cell>
          <cell r="C2301">
            <v>182941102</v>
          </cell>
          <cell r="D2301" t="str">
            <v>OTTER 1102</v>
          </cell>
          <cell r="E2301">
            <v>37132</v>
          </cell>
          <cell r="F2301" t="b">
            <v>0</v>
          </cell>
          <cell r="G2301">
            <v>9343.2123044509408</v>
          </cell>
          <cell r="H2301">
            <v>9343.2123044509408</v>
          </cell>
        </row>
        <row r="2302">
          <cell r="B2302" t="str">
            <v>OTTER 110263868</v>
          </cell>
          <cell r="C2302">
            <v>182941102</v>
          </cell>
          <cell r="D2302" t="str">
            <v>OTTER 1102</v>
          </cell>
          <cell r="E2302">
            <v>63868</v>
          </cell>
          <cell r="F2302" t="b">
            <v>0</v>
          </cell>
          <cell r="G2302">
            <v>25546.240581268801</v>
          </cell>
          <cell r="H2302">
            <v>25546.240581268801</v>
          </cell>
        </row>
        <row r="2303">
          <cell r="B2303" t="str">
            <v>OTTER 110298036</v>
          </cell>
          <cell r="C2303">
            <v>182941102</v>
          </cell>
          <cell r="D2303" t="str">
            <v>OTTER 1102</v>
          </cell>
          <cell r="E2303">
            <v>98036</v>
          </cell>
          <cell r="F2303" t="b">
            <v>0</v>
          </cell>
          <cell r="G2303">
            <v>14803.9565628152</v>
          </cell>
          <cell r="H2303">
            <v>14803.9565628152</v>
          </cell>
        </row>
        <row r="2304">
          <cell r="B2304" t="str">
            <v>OTTER 1102CB</v>
          </cell>
          <cell r="C2304">
            <v>182941102</v>
          </cell>
          <cell r="D2304" t="str">
            <v>OTTER 1102</v>
          </cell>
          <cell r="E2304" t="str">
            <v>CB</v>
          </cell>
          <cell r="F2304" t="b">
            <v>0</v>
          </cell>
          <cell r="G2304">
            <v>10891.761972582801</v>
          </cell>
          <cell r="H2304">
            <v>10891.761972582801</v>
          </cell>
        </row>
        <row r="2305">
          <cell r="B2305" t="str">
            <v>PACIFIC GROVE 04222614</v>
          </cell>
          <cell r="C2305">
            <v>182440422</v>
          </cell>
          <cell r="D2305" t="str">
            <v>PACIFIC GROVE 0422</v>
          </cell>
          <cell r="E2305">
            <v>2614</v>
          </cell>
          <cell r="F2305" t="b">
            <v>0</v>
          </cell>
          <cell r="G2305">
            <v>3446.6772122003799</v>
          </cell>
          <cell r="H2305">
            <v>1037.21467284492</v>
          </cell>
        </row>
        <row r="2306">
          <cell r="B2306" t="str">
            <v>PACIFICA 11015001</v>
          </cell>
          <cell r="C2306">
            <v>22811101</v>
          </cell>
          <cell r="D2306" t="str">
            <v>PACIFICA 1101</v>
          </cell>
          <cell r="E2306">
            <v>5001</v>
          </cell>
          <cell r="F2306" t="b">
            <v>1</v>
          </cell>
          <cell r="G2306">
            <v>2742.11335722576</v>
          </cell>
          <cell r="H2306">
            <v>0</v>
          </cell>
        </row>
        <row r="2307">
          <cell r="B2307" t="str">
            <v>PACIFICA 1101777484</v>
          </cell>
          <cell r="C2307">
            <v>22811101</v>
          </cell>
          <cell r="D2307" t="str">
            <v>PACIFICA 1101</v>
          </cell>
          <cell r="E2307">
            <v>777484</v>
          </cell>
          <cell r="F2307" t="b">
            <v>0</v>
          </cell>
          <cell r="G2307">
            <v>5712.0142234841596</v>
          </cell>
          <cell r="H2307">
            <v>1455.0407719325101</v>
          </cell>
        </row>
        <row r="2308">
          <cell r="B2308" t="str">
            <v>PACIFICA 1101CB</v>
          </cell>
          <cell r="C2308">
            <v>22811101</v>
          </cell>
          <cell r="D2308" t="str">
            <v>PACIFICA 1101</v>
          </cell>
          <cell r="E2308" t="str">
            <v>CB</v>
          </cell>
          <cell r="F2308" t="b">
            <v>1</v>
          </cell>
          <cell r="G2308">
            <v>4340.9856767133497</v>
          </cell>
          <cell r="H2308">
            <v>216.20850686249099</v>
          </cell>
        </row>
        <row r="2309">
          <cell r="B2309" t="str">
            <v>PACIFICA 1102267868</v>
          </cell>
          <cell r="C2309">
            <v>22811102</v>
          </cell>
          <cell r="D2309" t="str">
            <v>PACIFICA 1102</v>
          </cell>
          <cell r="E2309">
            <v>267868</v>
          </cell>
          <cell r="F2309" t="b">
            <v>0</v>
          </cell>
          <cell r="G2309">
            <v>1937.27721324698</v>
          </cell>
          <cell r="H2309">
            <v>1363.54409733335</v>
          </cell>
        </row>
        <row r="2310">
          <cell r="B2310" t="str">
            <v>PACIFICA 1102320094</v>
          </cell>
          <cell r="C2310">
            <v>22811102</v>
          </cell>
          <cell r="D2310" t="str">
            <v>PACIFICA 1102</v>
          </cell>
          <cell r="E2310">
            <v>320094</v>
          </cell>
          <cell r="F2310" t="b">
            <v>1</v>
          </cell>
          <cell r="G2310">
            <v>1539.8882970848799</v>
          </cell>
          <cell r="H2310">
            <v>440.05763129815398</v>
          </cell>
        </row>
        <row r="2311">
          <cell r="B2311" t="str">
            <v>PACIFICA 1102512070</v>
          </cell>
          <cell r="C2311">
            <v>22811102</v>
          </cell>
          <cell r="D2311" t="str">
            <v>PACIFICA 1102</v>
          </cell>
          <cell r="E2311">
            <v>512070</v>
          </cell>
          <cell r="F2311" t="b">
            <v>1</v>
          </cell>
          <cell r="G2311">
            <v>481.61300512200501</v>
          </cell>
          <cell r="H2311">
            <v>279.62468931907802</v>
          </cell>
        </row>
        <row r="2312">
          <cell r="B2312" t="str">
            <v>PACIFICA 110252715</v>
          </cell>
          <cell r="C2312">
            <v>22811102</v>
          </cell>
          <cell r="D2312" t="str">
            <v>PACIFICA 1102</v>
          </cell>
          <cell r="E2312">
            <v>52715</v>
          </cell>
          <cell r="F2312" t="b">
            <v>1</v>
          </cell>
          <cell r="G2312">
            <v>6122.4468837099103</v>
          </cell>
          <cell r="H2312">
            <v>0</v>
          </cell>
        </row>
        <row r="2313">
          <cell r="B2313" t="str">
            <v>PACIFICA 1102660408</v>
          </cell>
          <cell r="C2313">
            <v>22811102</v>
          </cell>
          <cell r="D2313" t="str">
            <v>PACIFICA 1102</v>
          </cell>
          <cell r="E2313">
            <v>660408</v>
          </cell>
          <cell r="F2313" t="b">
            <v>1</v>
          </cell>
          <cell r="G2313">
            <v>3217.4282492593502</v>
          </cell>
          <cell r="H2313">
            <v>570.68696506464096</v>
          </cell>
        </row>
        <row r="2314">
          <cell r="B2314" t="str">
            <v>PACIFICA 110266732</v>
          </cell>
          <cell r="C2314">
            <v>22811102</v>
          </cell>
          <cell r="D2314" t="str">
            <v>PACIFICA 1102</v>
          </cell>
          <cell r="E2314">
            <v>66732</v>
          </cell>
          <cell r="F2314" t="b">
            <v>1</v>
          </cell>
          <cell r="G2314">
            <v>3298.6629601971199</v>
          </cell>
          <cell r="H2314">
            <v>334.94831695264099</v>
          </cell>
        </row>
        <row r="2315">
          <cell r="B2315" t="str">
            <v>PACIFICA 11026783</v>
          </cell>
          <cell r="C2315">
            <v>22811102</v>
          </cell>
          <cell r="D2315" t="str">
            <v>PACIFICA 1102</v>
          </cell>
          <cell r="E2315">
            <v>6783</v>
          </cell>
          <cell r="F2315" t="b">
            <v>1</v>
          </cell>
          <cell r="G2315">
            <v>6579.5364904246298</v>
          </cell>
          <cell r="H2315">
            <v>0</v>
          </cell>
        </row>
        <row r="2316">
          <cell r="B2316" t="str">
            <v>PACIFICA 1102894156</v>
          </cell>
          <cell r="C2316">
            <v>22811102</v>
          </cell>
          <cell r="D2316" t="str">
            <v>PACIFICA 1102</v>
          </cell>
          <cell r="E2316">
            <v>894156</v>
          </cell>
          <cell r="F2316" t="b">
            <v>1</v>
          </cell>
          <cell r="G2316">
            <v>625.37008774825699</v>
          </cell>
          <cell r="H2316">
            <v>625.37008774825699</v>
          </cell>
        </row>
        <row r="2317">
          <cell r="B2317" t="str">
            <v>PACIFICA 1102934870</v>
          </cell>
          <cell r="C2317">
            <v>22811102</v>
          </cell>
          <cell r="D2317" t="str">
            <v>PACIFICA 1102</v>
          </cell>
          <cell r="E2317">
            <v>934870</v>
          </cell>
          <cell r="F2317" t="b">
            <v>1</v>
          </cell>
          <cell r="G2317">
            <v>804.85234831538196</v>
          </cell>
          <cell r="H2317">
            <v>147.55244761849201</v>
          </cell>
        </row>
        <row r="2318">
          <cell r="B2318" t="str">
            <v>PACIFICA 1102968736</v>
          </cell>
          <cell r="C2318">
            <v>22811102</v>
          </cell>
          <cell r="D2318" t="str">
            <v>PACIFICA 1102</v>
          </cell>
          <cell r="E2318">
            <v>968736</v>
          </cell>
          <cell r="F2318" t="b">
            <v>0</v>
          </cell>
          <cell r="G2318">
            <v>1533.9820933957701</v>
          </cell>
          <cell r="H2318">
            <v>1132.26584085428</v>
          </cell>
        </row>
        <row r="2319">
          <cell r="B2319" t="str">
            <v>PACIFICA 1102CB</v>
          </cell>
          <cell r="C2319">
            <v>22811102</v>
          </cell>
          <cell r="D2319" t="str">
            <v>PACIFICA 1102</v>
          </cell>
          <cell r="E2319" t="str">
            <v>CB</v>
          </cell>
          <cell r="F2319" t="b">
            <v>1</v>
          </cell>
          <cell r="G2319">
            <v>6265.5755368015398</v>
          </cell>
          <cell r="H2319">
            <v>560.12748853620303</v>
          </cell>
        </row>
        <row r="2320">
          <cell r="B2320" t="str">
            <v>PACIFICA 1103119798</v>
          </cell>
          <cell r="C2320">
            <v>22811103</v>
          </cell>
          <cell r="D2320" t="str">
            <v>PACIFICA 1103</v>
          </cell>
          <cell r="E2320">
            <v>119798</v>
          </cell>
          <cell r="F2320" t="b">
            <v>1</v>
          </cell>
          <cell r="G2320">
            <v>129.70410072300601</v>
          </cell>
          <cell r="H2320">
            <v>129.70410072300601</v>
          </cell>
        </row>
        <row r="2321">
          <cell r="B2321" t="str">
            <v>PACIFICA 1103218962</v>
          </cell>
          <cell r="C2321">
            <v>22811103</v>
          </cell>
          <cell r="D2321" t="str">
            <v>PACIFICA 1103</v>
          </cell>
          <cell r="E2321">
            <v>218962</v>
          </cell>
          <cell r="F2321" t="b">
            <v>1</v>
          </cell>
          <cell r="G2321">
            <v>167.28938426792399</v>
          </cell>
          <cell r="H2321">
            <v>86.336332842910096</v>
          </cell>
        </row>
        <row r="2322">
          <cell r="B2322" t="str">
            <v>PACIFICA 1103398620</v>
          </cell>
          <cell r="C2322">
            <v>22811103</v>
          </cell>
          <cell r="D2322" t="str">
            <v>PACIFICA 1103</v>
          </cell>
          <cell r="E2322">
            <v>398620</v>
          </cell>
          <cell r="F2322" t="b">
            <v>1</v>
          </cell>
          <cell r="G2322">
            <v>770.36405510007705</v>
          </cell>
          <cell r="H2322">
            <v>758.08373102466999</v>
          </cell>
        </row>
        <row r="2323">
          <cell r="B2323" t="str">
            <v>PACIFICA 1103885952</v>
          </cell>
          <cell r="C2323">
            <v>22811103</v>
          </cell>
          <cell r="D2323" t="str">
            <v>PACIFICA 1103</v>
          </cell>
          <cell r="E2323">
            <v>885952</v>
          </cell>
          <cell r="F2323" t="b">
            <v>1</v>
          </cell>
          <cell r="G2323">
            <v>299.45020571377398</v>
          </cell>
          <cell r="H2323">
            <v>283.44814745312198</v>
          </cell>
        </row>
        <row r="2324">
          <cell r="B2324" t="str">
            <v>PACIFICA 1103915474</v>
          </cell>
          <cell r="C2324">
            <v>22811103</v>
          </cell>
          <cell r="D2324" t="str">
            <v>PACIFICA 1103</v>
          </cell>
          <cell r="E2324">
            <v>915474</v>
          </cell>
          <cell r="F2324" t="b">
            <v>1</v>
          </cell>
          <cell r="G2324">
            <v>13475.514795827399</v>
          </cell>
          <cell r="H2324">
            <v>697.42374598057097</v>
          </cell>
        </row>
        <row r="2325">
          <cell r="B2325" t="str">
            <v>PACIFICA 1103CB</v>
          </cell>
          <cell r="C2325">
            <v>22811103</v>
          </cell>
          <cell r="D2325" t="str">
            <v>PACIFICA 1103</v>
          </cell>
          <cell r="E2325" t="str">
            <v>CB</v>
          </cell>
          <cell r="F2325" t="b">
            <v>1</v>
          </cell>
          <cell r="G2325">
            <v>7799.5564539109</v>
          </cell>
          <cell r="H2325">
            <v>109.529614137149</v>
          </cell>
        </row>
        <row r="2326">
          <cell r="B2326" t="str">
            <v>PACIFICA 1104230272</v>
          </cell>
          <cell r="C2326">
            <v>22811104</v>
          </cell>
          <cell r="D2326" t="str">
            <v>PACIFICA 1104</v>
          </cell>
          <cell r="E2326">
            <v>230272</v>
          </cell>
          <cell r="F2326" t="b">
            <v>0</v>
          </cell>
          <cell r="G2326">
            <v>1833.3676428336901</v>
          </cell>
          <cell r="H2326">
            <v>1377.38995618851</v>
          </cell>
        </row>
        <row r="2327">
          <cell r="B2327" t="str">
            <v>PALMER 110198478</v>
          </cell>
          <cell r="C2327">
            <v>183031101</v>
          </cell>
          <cell r="D2327" t="str">
            <v>PALMER 1101</v>
          </cell>
          <cell r="E2327">
            <v>98478</v>
          </cell>
          <cell r="F2327" t="b">
            <v>0</v>
          </cell>
          <cell r="G2327">
            <v>9678.6987325411192</v>
          </cell>
          <cell r="H2327">
            <v>9678.6987325411192</v>
          </cell>
        </row>
        <row r="2328">
          <cell r="B2328" t="str">
            <v>PALMER 1101M82</v>
          </cell>
          <cell r="C2328">
            <v>183031101</v>
          </cell>
          <cell r="D2328" t="str">
            <v>PALMER 1101</v>
          </cell>
          <cell r="E2328" t="str">
            <v>M82</v>
          </cell>
          <cell r="F2328" t="b">
            <v>0</v>
          </cell>
          <cell r="G2328">
            <v>23986.146285993302</v>
          </cell>
          <cell r="H2328">
            <v>17447.2632471426</v>
          </cell>
        </row>
        <row r="2329">
          <cell r="B2329" t="str">
            <v>PALMER 1101M84</v>
          </cell>
          <cell r="C2329">
            <v>183031101</v>
          </cell>
          <cell r="D2329" t="str">
            <v>PALMER 1101</v>
          </cell>
          <cell r="E2329" t="str">
            <v>M84</v>
          </cell>
          <cell r="F2329" t="b">
            <v>0</v>
          </cell>
          <cell r="G2329">
            <v>39352.921367680101</v>
          </cell>
          <cell r="H2329">
            <v>37718.994968427898</v>
          </cell>
        </row>
        <row r="2330">
          <cell r="B2330" t="str">
            <v>PALMER 1101M88</v>
          </cell>
          <cell r="C2330">
            <v>183031101</v>
          </cell>
          <cell r="D2330" t="str">
            <v>PALMER 1101</v>
          </cell>
          <cell r="E2330" t="str">
            <v>M88</v>
          </cell>
          <cell r="F2330" t="b">
            <v>0</v>
          </cell>
          <cell r="G2330">
            <v>24723.957713146199</v>
          </cell>
          <cell r="H2330">
            <v>4969.3509608545</v>
          </cell>
        </row>
        <row r="2331">
          <cell r="B2331" t="str">
            <v>PALO SECO 0401CB</v>
          </cell>
          <cell r="C2331">
            <v>13180401</v>
          </cell>
          <cell r="D2331" t="str">
            <v>PALO SECO 0401</v>
          </cell>
          <cell r="E2331" t="str">
            <v>CB</v>
          </cell>
          <cell r="F2331" t="b">
            <v>0</v>
          </cell>
          <cell r="G2331">
            <v>7634.7257732047001</v>
          </cell>
          <cell r="H2331">
            <v>7634.7257732047001</v>
          </cell>
        </row>
        <row r="2332">
          <cell r="B2332" t="str">
            <v>PANOCHE 11034008</v>
          </cell>
          <cell r="C2332">
            <v>253671103</v>
          </cell>
          <cell r="D2332" t="str">
            <v>PANOCHE 1103</v>
          </cell>
          <cell r="E2332">
            <v>4008</v>
          </cell>
          <cell r="F2332" t="b">
            <v>0</v>
          </cell>
          <cell r="G2332">
            <v>56919.565189351197</v>
          </cell>
          <cell r="H2332">
            <v>56919.565189351197</v>
          </cell>
        </row>
        <row r="2333">
          <cell r="B2333" t="str">
            <v>PANOCHE 11034016</v>
          </cell>
          <cell r="C2333">
            <v>253671103</v>
          </cell>
          <cell r="D2333" t="str">
            <v>PANOCHE 1103</v>
          </cell>
          <cell r="E2333">
            <v>4016</v>
          </cell>
          <cell r="F2333" t="b">
            <v>0</v>
          </cell>
          <cell r="G2333">
            <v>20664.956496833402</v>
          </cell>
          <cell r="H2333">
            <v>3776.8409226285899</v>
          </cell>
        </row>
        <row r="2334">
          <cell r="B2334" t="str">
            <v>PANOCHE 11034036</v>
          </cell>
          <cell r="C2334">
            <v>253671103</v>
          </cell>
          <cell r="D2334" t="str">
            <v>PANOCHE 1103</v>
          </cell>
          <cell r="E2334">
            <v>4036</v>
          </cell>
          <cell r="F2334" t="b">
            <v>0</v>
          </cell>
          <cell r="G2334">
            <v>40366.181570853303</v>
          </cell>
          <cell r="H2334">
            <v>16000.3844512299</v>
          </cell>
        </row>
        <row r="2335">
          <cell r="B2335" t="str">
            <v>PANORAMA 1101713592</v>
          </cell>
          <cell r="C2335">
            <v>103461101</v>
          </cell>
          <cell r="D2335" t="str">
            <v>PANORAMA 1101</v>
          </cell>
          <cell r="E2335">
            <v>713592</v>
          </cell>
          <cell r="F2335" t="b">
            <v>0</v>
          </cell>
          <cell r="G2335">
            <v>16948.279230915199</v>
          </cell>
          <cell r="H2335">
            <v>16715.240517533399</v>
          </cell>
        </row>
        <row r="2336">
          <cell r="B2336" t="str">
            <v>PANORAMA 1101885215</v>
          </cell>
          <cell r="C2336">
            <v>103461101</v>
          </cell>
          <cell r="D2336" t="str">
            <v>PANORAMA 1101</v>
          </cell>
          <cell r="E2336">
            <v>885215</v>
          </cell>
          <cell r="F2336" t="b">
            <v>0</v>
          </cell>
          <cell r="G2336">
            <v>3239.6898896993898</v>
          </cell>
          <cell r="H2336">
            <v>3225.5677534013398</v>
          </cell>
        </row>
        <row r="2337">
          <cell r="B2337" t="str">
            <v>PANORAMA 11019092</v>
          </cell>
          <cell r="C2337">
            <v>103461101</v>
          </cell>
          <cell r="D2337" t="str">
            <v>PANORAMA 1101</v>
          </cell>
          <cell r="E2337">
            <v>9092</v>
          </cell>
          <cell r="F2337" t="b">
            <v>1</v>
          </cell>
          <cell r="G2337">
            <v>15725.9351187592</v>
          </cell>
          <cell r="H2337">
            <v>255.123769955265</v>
          </cell>
        </row>
        <row r="2338">
          <cell r="B2338" t="str">
            <v>PANORAMA 1101CB</v>
          </cell>
          <cell r="C2338">
            <v>103461101</v>
          </cell>
          <cell r="D2338" t="str">
            <v>PANORAMA 1101</v>
          </cell>
          <cell r="E2338" t="str">
            <v>CB</v>
          </cell>
          <cell r="F2338" t="b">
            <v>0</v>
          </cell>
          <cell r="G2338">
            <v>27174.167429640402</v>
          </cell>
          <cell r="H2338">
            <v>1828.8440035213901</v>
          </cell>
        </row>
        <row r="2339">
          <cell r="B2339" t="str">
            <v>PANORAMA 11021632</v>
          </cell>
          <cell r="C2339">
            <v>103461102</v>
          </cell>
          <cell r="D2339" t="str">
            <v>PANORAMA 1102</v>
          </cell>
          <cell r="E2339">
            <v>1632</v>
          </cell>
          <cell r="F2339" t="b">
            <v>0</v>
          </cell>
          <cell r="G2339">
            <v>13751.6317611914</v>
          </cell>
          <cell r="H2339">
            <v>13751.6317611914</v>
          </cell>
        </row>
        <row r="2340">
          <cell r="B2340" t="str">
            <v>PANORAMA 1102280170</v>
          </cell>
          <cell r="C2340">
            <v>103461102</v>
          </cell>
          <cell r="D2340" t="str">
            <v>PANORAMA 1102</v>
          </cell>
          <cell r="E2340">
            <v>280170</v>
          </cell>
          <cell r="F2340" t="b">
            <v>0</v>
          </cell>
          <cell r="G2340">
            <v>24945.613610037501</v>
          </cell>
          <cell r="H2340">
            <v>20943.3131718158</v>
          </cell>
        </row>
        <row r="2341">
          <cell r="B2341" t="str">
            <v>PANORAMA 1102508502</v>
          </cell>
          <cell r="C2341">
            <v>103461102</v>
          </cell>
          <cell r="D2341" t="str">
            <v>PANORAMA 1102</v>
          </cell>
          <cell r="E2341">
            <v>508502</v>
          </cell>
          <cell r="F2341" t="b">
            <v>0</v>
          </cell>
          <cell r="G2341">
            <v>25902.2252999679</v>
          </cell>
          <cell r="H2341">
            <v>18917.8930122602</v>
          </cell>
        </row>
        <row r="2342">
          <cell r="B2342" t="str">
            <v>PARADISE 1103143744</v>
          </cell>
          <cell r="C2342">
            <v>102831103</v>
          </cell>
          <cell r="D2342" t="str">
            <v>PARADISE 1103</v>
          </cell>
          <cell r="E2342">
            <v>143744</v>
          </cell>
          <cell r="F2342" t="b">
            <v>0</v>
          </cell>
          <cell r="G2342">
            <v>1706.11152122867</v>
          </cell>
          <cell r="H2342">
            <v>1706.11152122867</v>
          </cell>
        </row>
        <row r="2343">
          <cell r="B2343" t="str">
            <v>PARADISE 11032534</v>
          </cell>
          <cell r="C2343">
            <v>102831103</v>
          </cell>
          <cell r="D2343" t="str">
            <v>PARADISE 1103</v>
          </cell>
          <cell r="E2343">
            <v>2534</v>
          </cell>
          <cell r="F2343" t="b">
            <v>0</v>
          </cell>
          <cell r="G2343">
            <v>5245.4729146474101</v>
          </cell>
          <cell r="H2343">
            <v>5105.9058983007799</v>
          </cell>
        </row>
        <row r="2344">
          <cell r="B2344" t="str">
            <v>PARADISE 1103468200</v>
          </cell>
          <cell r="C2344">
            <v>102831103</v>
          </cell>
          <cell r="D2344" t="str">
            <v>PARADISE 1103</v>
          </cell>
          <cell r="E2344">
            <v>468200</v>
          </cell>
          <cell r="F2344" t="b">
            <v>1</v>
          </cell>
          <cell r="G2344">
            <v>531.68008337479</v>
          </cell>
          <cell r="H2344">
            <v>531.68008337479</v>
          </cell>
        </row>
        <row r="2345">
          <cell r="B2345" t="str">
            <v>PARADISE 1103772517</v>
          </cell>
          <cell r="C2345">
            <v>102831103</v>
          </cell>
          <cell r="D2345" t="str">
            <v>PARADISE 1103</v>
          </cell>
          <cell r="E2345">
            <v>772517</v>
          </cell>
          <cell r="F2345" t="b">
            <v>0</v>
          </cell>
          <cell r="G2345">
            <v>2777.2440005395601</v>
          </cell>
          <cell r="H2345">
            <v>2777.2440005395601</v>
          </cell>
        </row>
        <row r="2346">
          <cell r="B2346" t="str">
            <v>PARADISE 1103CB</v>
          </cell>
          <cell r="C2346">
            <v>102831103</v>
          </cell>
          <cell r="D2346" t="str">
            <v>PARADISE 1103</v>
          </cell>
          <cell r="E2346" t="str">
            <v>CB</v>
          </cell>
          <cell r="F2346" t="b">
            <v>0</v>
          </cell>
          <cell r="G2346">
            <v>5575.8129415224703</v>
          </cell>
          <cell r="H2346">
            <v>2217.6155190015702</v>
          </cell>
        </row>
        <row r="2347">
          <cell r="B2347" t="str">
            <v>PARADISE 11042034</v>
          </cell>
          <cell r="C2347">
            <v>102831104</v>
          </cell>
          <cell r="D2347" t="str">
            <v>PARADISE 1104</v>
          </cell>
          <cell r="E2347">
            <v>2034</v>
          </cell>
          <cell r="F2347" t="b">
            <v>0</v>
          </cell>
          <cell r="G2347">
            <v>17672.004694946099</v>
          </cell>
          <cell r="H2347">
            <v>17659.708717323902</v>
          </cell>
        </row>
        <row r="2348">
          <cell r="B2348" t="str">
            <v>PARADISE 11042206</v>
          </cell>
          <cell r="C2348">
            <v>102831104</v>
          </cell>
          <cell r="D2348" t="str">
            <v>PARADISE 1104</v>
          </cell>
          <cell r="E2348">
            <v>2206</v>
          </cell>
          <cell r="F2348" t="b">
            <v>0</v>
          </cell>
          <cell r="G2348">
            <v>27876.592369387301</v>
          </cell>
          <cell r="H2348">
            <v>6659.30306265735</v>
          </cell>
        </row>
        <row r="2349">
          <cell r="B2349" t="str">
            <v>PARADISE 11042486</v>
          </cell>
          <cell r="C2349">
            <v>102831104</v>
          </cell>
          <cell r="D2349" t="str">
            <v>PARADISE 1104</v>
          </cell>
          <cell r="E2349">
            <v>2486</v>
          </cell>
          <cell r="F2349" t="b">
            <v>1</v>
          </cell>
          <cell r="G2349">
            <v>189.79162646555599</v>
          </cell>
          <cell r="H2349">
            <v>146.422847849888</v>
          </cell>
        </row>
        <row r="2350">
          <cell r="B2350" t="str">
            <v>PARADISE 11042488</v>
          </cell>
          <cell r="C2350">
            <v>102831104</v>
          </cell>
          <cell r="D2350" t="str">
            <v>PARADISE 1104</v>
          </cell>
          <cell r="E2350">
            <v>2488</v>
          </cell>
          <cell r="F2350" t="b">
            <v>0</v>
          </cell>
          <cell r="G2350">
            <v>5690.0714290113701</v>
          </cell>
          <cell r="H2350">
            <v>5690.0714290113701</v>
          </cell>
        </row>
        <row r="2351">
          <cell r="B2351" t="str">
            <v>PARADISE 1104283794</v>
          </cell>
          <cell r="C2351">
            <v>102831104</v>
          </cell>
          <cell r="D2351" t="str">
            <v>PARADISE 1104</v>
          </cell>
          <cell r="E2351">
            <v>283794</v>
          </cell>
          <cell r="F2351" t="b">
            <v>0</v>
          </cell>
          <cell r="G2351">
            <v>4034.8506938678302</v>
          </cell>
          <cell r="H2351">
            <v>3810.7404337028402</v>
          </cell>
        </row>
        <row r="2352">
          <cell r="B2352" t="str">
            <v>PARADISE 110439216</v>
          </cell>
          <cell r="C2352">
            <v>102831104</v>
          </cell>
          <cell r="D2352" t="str">
            <v>PARADISE 1104</v>
          </cell>
          <cell r="E2352">
            <v>39216</v>
          </cell>
          <cell r="F2352" t="b">
            <v>0</v>
          </cell>
          <cell r="G2352">
            <v>5158.2622566457703</v>
          </cell>
          <cell r="H2352">
            <v>2624.8047312866001</v>
          </cell>
        </row>
        <row r="2353">
          <cell r="B2353" t="str">
            <v>PARADISE 1104409622</v>
          </cell>
          <cell r="C2353">
            <v>102831104</v>
          </cell>
          <cell r="D2353" t="str">
            <v>PARADISE 1104</v>
          </cell>
          <cell r="E2353">
            <v>409622</v>
          </cell>
          <cell r="F2353" t="b">
            <v>0</v>
          </cell>
          <cell r="G2353">
            <v>20757.6390086807</v>
          </cell>
          <cell r="H2353">
            <v>20534.7896259931</v>
          </cell>
        </row>
        <row r="2354">
          <cell r="B2354" t="str">
            <v>PARADISE 110443008</v>
          </cell>
          <cell r="C2354">
            <v>102831104</v>
          </cell>
          <cell r="D2354" t="str">
            <v>PARADISE 1104</v>
          </cell>
          <cell r="E2354">
            <v>43008</v>
          </cell>
          <cell r="F2354" t="b">
            <v>0</v>
          </cell>
          <cell r="G2354">
            <v>20752.8611759138</v>
          </cell>
          <cell r="H2354">
            <v>20697.773187615701</v>
          </cell>
        </row>
        <row r="2355">
          <cell r="B2355" t="str">
            <v>PARADISE 1104457900</v>
          </cell>
          <cell r="C2355">
            <v>102831104</v>
          </cell>
          <cell r="D2355" t="str">
            <v>PARADISE 1104</v>
          </cell>
          <cell r="E2355">
            <v>457900</v>
          </cell>
          <cell r="F2355" t="b">
            <v>0</v>
          </cell>
          <cell r="G2355">
            <v>26252.311802920402</v>
          </cell>
          <cell r="H2355">
            <v>19380.7292858002</v>
          </cell>
        </row>
        <row r="2356">
          <cell r="B2356" t="str">
            <v>PARADISE 110453544</v>
          </cell>
          <cell r="C2356">
            <v>102831104</v>
          </cell>
          <cell r="D2356" t="str">
            <v>PARADISE 1104</v>
          </cell>
          <cell r="E2356">
            <v>53544</v>
          </cell>
          <cell r="F2356" t="b">
            <v>0</v>
          </cell>
          <cell r="G2356">
            <v>1728.20426875367</v>
          </cell>
          <cell r="H2356">
            <v>1035.11823317779</v>
          </cell>
        </row>
        <row r="2357">
          <cell r="B2357" t="str">
            <v>PARADISE 1104920400</v>
          </cell>
          <cell r="C2357">
            <v>102831104</v>
          </cell>
          <cell r="D2357" t="str">
            <v>PARADISE 1104</v>
          </cell>
          <cell r="E2357">
            <v>920400</v>
          </cell>
          <cell r="F2357" t="b">
            <v>0</v>
          </cell>
          <cell r="G2357">
            <v>7975.4069697001396</v>
          </cell>
          <cell r="H2357">
            <v>7538.7640444486597</v>
          </cell>
        </row>
        <row r="2358">
          <cell r="B2358" t="str">
            <v>PARADISE 1104954322</v>
          </cell>
          <cell r="C2358">
            <v>102831104</v>
          </cell>
          <cell r="D2358" t="str">
            <v>PARADISE 1104</v>
          </cell>
          <cell r="E2358">
            <v>954322</v>
          </cell>
          <cell r="F2358" t="b">
            <v>0</v>
          </cell>
          <cell r="G2358">
            <v>6923.0972849833297</v>
          </cell>
          <cell r="H2358">
            <v>6923.0972849833297</v>
          </cell>
        </row>
        <row r="2359">
          <cell r="B2359" t="str">
            <v>PARADISE 1104961990</v>
          </cell>
          <cell r="C2359">
            <v>102831104</v>
          </cell>
          <cell r="D2359" t="str">
            <v>PARADISE 1104</v>
          </cell>
          <cell r="E2359">
            <v>961990</v>
          </cell>
          <cell r="F2359" t="b">
            <v>0</v>
          </cell>
          <cell r="G2359">
            <v>10972.260230456801</v>
          </cell>
          <cell r="H2359">
            <v>10972.260230456801</v>
          </cell>
        </row>
        <row r="2360">
          <cell r="B2360" t="str">
            <v>PARADISE 1104CB</v>
          </cell>
          <cell r="C2360">
            <v>102831104</v>
          </cell>
          <cell r="D2360" t="str">
            <v>PARADISE 1104</v>
          </cell>
          <cell r="E2360" t="str">
            <v>CB</v>
          </cell>
          <cell r="F2360" t="b">
            <v>0</v>
          </cell>
          <cell r="G2360">
            <v>5993.69160802237</v>
          </cell>
          <cell r="H2360">
            <v>2211.8341392942998</v>
          </cell>
        </row>
        <row r="2361">
          <cell r="B2361" t="str">
            <v>PARADISE 1105121988</v>
          </cell>
          <cell r="C2361">
            <v>102831105</v>
          </cell>
          <cell r="D2361" t="str">
            <v>PARADISE 1105</v>
          </cell>
          <cell r="E2361">
            <v>121988</v>
          </cell>
          <cell r="F2361" t="b">
            <v>0</v>
          </cell>
          <cell r="G2361">
            <v>11219.171181931901</v>
          </cell>
          <cell r="H2361">
            <v>11219.171181931901</v>
          </cell>
        </row>
        <row r="2362">
          <cell r="B2362" t="str">
            <v>PARADISE 11052214</v>
          </cell>
          <cell r="C2362">
            <v>102831105</v>
          </cell>
          <cell r="D2362" t="str">
            <v>PARADISE 1105</v>
          </cell>
          <cell r="E2362">
            <v>2214</v>
          </cell>
          <cell r="F2362" t="b">
            <v>0</v>
          </cell>
          <cell r="G2362">
            <v>29878.705392325501</v>
          </cell>
          <cell r="H2362">
            <v>24265.0128645806</v>
          </cell>
        </row>
        <row r="2363">
          <cell r="B2363" t="str">
            <v>PARADISE 110536656</v>
          </cell>
          <cell r="C2363">
            <v>102831105</v>
          </cell>
          <cell r="D2363" t="str">
            <v>PARADISE 1105</v>
          </cell>
          <cell r="E2363">
            <v>36656</v>
          </cell>
          <cell r="F2363" t="b">
            <v>1</v>
          </cell>
          <cell r="G2363">
            <v>1041.7397547452099</v>
          </cell>
          <cell r="H2363">
            <v>220.79890913171801</v>
          </cell>
        </row>
        <row r="2364">
          <cell r="B2364" t="str">
            <v>PARADISE 1105828400</v>
          </cell>
          <cell r="C2364">
            <v>102831105</v>
          </cell>
          <cell r="D2364" t="str">
            <v>PARADISE 1105</v>
          </cell>
          <cell r="E2364">
            <v>828400</v>
          </cell>
          <cell r="F2364" t="b">
            <v>1</v>
          </cell>
          <cell r="G2364">
            <v>50.109397096743301</v>
          </cell>
          <cell r="H2364">
            <v>50.109397096743301</v>
          </cell>
        </row>
        <row r="2365">
          <cell r="B2365" t="str">
            <v>PARADISE 1105829194</v>
          </cell>
          <cell r="C2365">
            <v>102831105</v>
          </cell>
          <cell r="D2365" t="str">
            <v>PARADISE 1105</v>
          </cell>
          <cell r="E2365">
            <v>829194</v>
          </cell>
          <cell r="F2365" t="b">
            <v>0</v>
          </cell>
          <cell r="G2365">
            <v>18124.382602925201</v>
          </cell>
          <cell r="H2365">
            <v>18124.382602925201</v>
          </cell>
        </row>
        <row r="2366">
          <cell r="B2366" t="str">
            <v>PARADISE 1105878870</v>
          </cell>
          <cell r="C2366">
            <v>102831105</v>
          </cell>
          <cell r="D2366" t="str">
            <v>PARADISE 1105</v>
          </cell>
          <cell r="E2366">
            <v>878870</v>
          </cell>
          <cell r="F2366" t="b">
            <v>0</v>
          </cell>
          <cell r="G2366">
            <v>4057.4460106125898</v>
          </cell>
          <cell r="H2366">
            <v>4057.4460106125898</v>
          </cell>
        </row>
        <row r="2367">
          <cell r="B2367" t="str">
            <v>PARADISE 110599226</v>
          </cell>
          <cell r="C2367">
            <v>102831105</v>
          </cell>
          <cell r="D2367" t="str">
            <v>PARADISE 1105</v>
          </cell>
          <cell r="E2367">
            <v>99226</v>
          </cell>
          <cell r="F2367" t="b">
            <v>0</v>
          </cell>
          <cell r="G2367">
            <v>5537.6206089529596</v>
          </cell>
          <cell r="H2367">
            <v>1841.8714671755799</v>
          </cell>
        </row>
        <row r="2368">
          <cell r="B2368" t="str">
            <v>PARADISE 1105CB</v>
          </cell>
          <cell r="C2368">
            <v>102831105</v>
          </cell>
          <cell r="D2368" t="str">
            <v>PARADISE 1105</v>
          </cell>
          <cell r="E2368" t="str">
            <v>CB</v>
          </cell>
          <cell r="F2368" t="b">
            <v>0</v>
          </cell>
          <cell r="G2368">
            <v>11616.1021434052</v>
          </cell>
          <cell r="H2368">
            <v>9822.6917614627691</v>
          </cell>
        </row>
        <row r="2369">
          <cell r="B2369" t="str">
            <v>PARADISE 11061212</v>
          </cell>
          <cell r="C2369">
            <v>102831106</v>
          </cell>
          <cell r="D2369" t="str">
            <v>PARADISE 1106</v>
          </cell>
          <cell r="E2369">
            <v>1212</v>
          </cell>
          <cell r="F2369" t="b">
            <v>0</v>
          </cell>
          <cell r="G2369">
            <v>3248.6095332291502</v>
          </cell>
          <cell r="H2369">
            <v>3232.60749299995</v>
          </cell>
        </row>
        <row r="2370">
          <cell r="B2370" t="str">
            <v>PARADISE 110636042</v>
          </cell>
          <cell r="C2370">
            <v>102831106</v>
          </cell>
          <cell r="D2370" t="str">
            <v>PARADISE 1106</v>
          </cell>
          <cell r="E2370">
            <v>36042</v>
          </cell>
          <cell r="F2370" t="b">
            <v>0</v>
          </cell>
          <cell r="G2370">
            <v>14063.6210651119</v>
          </cell>
          <cell r="H2370">
            <v>13184.510337975</v>
          </cell>
        </row>
        <row r="2371">
          <cell r="B2371" t="str">
            <v>PARADISE 1106CB</v>
          </cell>
          <cell r="C2371">
            <v>102831106</v>
          </cell>
          <cell r="D2371" t="str">
            <v>PARADISE 1106</v>
          </cell>
          <cell r="E2371" t="str">
            <v>CB</v>
          </cell>
          <cell r="F2371" t="b">
            <v>0</v>
          </cell>
          <cell r="G2371">
            <v>7764.6761543257498</v>
          </cell>
          <cell r="H2371">
            <v>7472.6669501383403</v>
          </cell>
        </row>
        <row r="2372">
          <cell r="B2372" t="str">
            <v>PASO ROBLES 11032731</v>
          </cell>
          <cell r="C2372">
            <v>182611103</v>
          </cell>
          <cell r="D2372" t="str">
            <v>PASO ROBLES 1103</v>
          </cell>
          <cell r="E2372">
            <v>2731</v>
          </cell>
          <cell r="F2372" t="b">
            <v>0</v>
          </cell>
          <cell r="G2372">
            <v>2630.6286336231201</v>
          </cell>
          <cell r="H2372">
            <v>2630.6286336231201</v>
          </cell>
        </row>
        <row r="2373">
          <cell r="B2373" t="str">
            <v>PASO ROBLES 1103351084</v>
          </cell>
          <cell r="C2373">
            <v>182611103</v>
          </cell>
          <cell r="D2373" t="str">
            <v>PASO ROBLES 1103</v>
          </cell>
          <cell r="E2373">
            <v>351084</v>
          </cell>
          <cell r="F2373" t="b">
            <v>0</v>
          </cell>
          <cell r="G2373">
            <v>14339.9461343613</v>
          </cell>
          <cell r="H2373">
            <v>3813.7275079112301</v>
          </cell>
        </row>
        <row r="2374">
          <cell r="B2374" t="str">
            <v>PASO ROBLES 1103451760</v>
          </cell>
          <cell r="C2374">
            <v>182611103</v>
          </cell>
          <cell r="D2374" t="str">
            <v>PASO ROBLES 1103</v>
          </cell>
          <cell r="E2374">
            <v>451760</v>
          </cell>
          <cell r="F2374" t="b">
            <v>1</v>
          </cell>
          <cell r="G2374">
            <v>98.256309893833006</v>
          </cell>
          <cell r="H2374">
            <v>98.256309893833006</v>
          </cell>
        </row>
        <row r="2375">
          <cell r="B2375" t="str">
            <v>PASO ROBLES 110359763</v>
          </cell>
          <cell r="C2375">
            <v>182611103</v>
          </cell>
          <cell r="D2375" t="str">
            <v>PASO ROBLES 1103</v>
          </cell>
          <cell r="E2375">
            <v>59763</v>
          </cell>
          <cell r="F2375" t="b">
            <v>0</v>
          </cell>
          <cell r="G2375">
            <v>4532.1932628879404</v>
          </cell>
          <cell r="H2375">
            <v>4532.1932628879404</v>
          </cell>
        </row>
        <row r="2376">
          <cell r="B2376" t="str">
            <v>PASO ROBLES 1103N02</v>
          </cell>
          <cell r="C2376">
            <v>182611103</v>
          </cell>
          <cell r="D2376" t="str">
            <v>PASO ROBLES 1103</v>
          </cell>
          <cell r="E2376" t="str">
            <v>N02</v>
          </cell>
          <cell r="F2376" t="b">
            <v>1</v>
          </cell>
          <cell r="G2376">
            <v>70.934037489954903</v>
          </cell>
          <cell r="H2376">
            <v>70.934037489954903</v>
          </cell>
        </row>
        <row r="2377">
          <cell r="B2377" t="str">
            <v>PASO ROBLES 1103N04</v>
          </cell>
          <cell r="C2377">
            <v>182611103</v>
          </cell>
          <cell r="D2377" t="str">
            <v>PASO ROBLES 1103</v>
          </cell>
          <cell r="E2377" t="str">
            <v>N04</v>
          </cell>
          <cell r="F2377" t="b">
            <v>1</v>
          </cell>
          <cell r="G2377">
            <v>859.58413502614906</v>
          </cell>
          <cell r="H2377">
            <v>859.58413502614906</v>
          </cell>
        </row>
        <row r="2378">
          <cell r="B2378" t="str">
            <v>PASO ROBLES 1103N50</v>
          </cell>
          <cell r="C2378">
            <v>182611103</v>
          </cell>
          <cell r="D2378" t="str">
            <v>PASO ROBLES 1103</v>
          </cell>
          <cell r="E2378" t="str">
            <v>N50</v>
          </cell>
          <cell r="F2378" t="b">
            <v>0</v>
          </cell>
          <cell r="G2378">
            <v>3586.1974338212499</v>
          </cell>
          <cell r="H2378">
            <v>3586.1974338212499</v>
          </cell>
        </row>
        <row r="2379">
          <cell r="B2379" t="str">
            <v>PASO ROBLES 1103N52</v>
          </cell>
          <cell r="C2379">
            <v>182611103</v>
          </cell>
          <cell r="D2379" t="str">
            <v>PASO ROBLES 1103</v>
          </cell>
          <cell r="E2379" t="str">
            <v>N52</v>
          </cell>
          <cell r="F2379" t="b">
            <v>0</v>
          </cell>
          <cell r="G2379">
            <v>10571.3697561225</v>
          </cell>
          <cell r="H2379">
            <v>10571.3697561225</v>
          </cell>
        </row>
        <row r="2380">
          <cell r="B2380" t="str">
            <v>PASO ROBLES 1103N54</v>
          </cell>
          <cell r="C2380">
            <v>182611103</v>
          </cell>
          <cell r="D2380" t="str">
            <v>PASO ROBLES 1103</v>
          </cell>
          <cell r="E2380" t="str">
            <v>N54</v>
          </cell>
          <cell r="F2380" t="b">
            <v>0</v>
          </cell>
          <cell r="G2380">
            <v>34748.723612137503</v>
          </cell>
          <cell r="H2380">
            <v>32201.178339406299</v>
          </cell>
        </row>
        <row r="2381">
          <cell r="B2381" t="str">
            <v>PASO ROBLES 1103N58</v>
          </cell>
          <cell r="C2381">
            <v>182611103</v>
          </cell>
          <cell r="D2381" t="str">
            <v>PASO ROBLES 1103</v>
          </cell>
          <cell r="E2381" t="str">
            <v>N58</v>
          </cell>
          <cell r="F2381" t="b">
            <v>0</v>
          </cell>
          <cell r="G2381">
            <v>11929.783817662401</v>
          </cell>
          <cell r="H2381">
            <v>7319.60942829756</v>
          </cell>
        </row>
        <row r="2382">
          <cell r="B2382" t="str">
            <v>PASO ROBLES 1104P02</v>
          </cell>
          <cell r="C2382">
            <v>182611104</v>
          </cell>
          <cell r="D2382" t="str">
            <v>PASO ROBLES 1104</v>
          </cell>
          <cell r="E2382" t="str">
            <v>P02</v>
          </cell>
          <cell r="F2382" t="b">
            <v>1</v>
          </cell>
          <cell r="G2382">
            <v>11656.6661101151</v>
          </cell>
          <cell r="H2382">
            <v>515.03217747312101</v>
          </cell>
        </row>
        <row r="2383">
          <cell r="B2383" t="str">
            <v>PASO ROBLES 1104R12</v>
          </cell>
          <cell r="C2383">
            <v>182611104</v>
          </cell>
          <cell r="D2383" t="str">
            <v>PASO ROBLES 1104</v>
          </cell>
          <cell r="E2383" t="str">
            <v>R12</v>
          </cell>
          <cell r="F2383" t="b">
            <v>0</v>
          </cell>
          <cell r="G2383">
            <v>64632.535096654399</v>
          </cell>
          <cell r="H2383">
            <v>52796.268571841501</v>
          </cell>
        </row>
        <row r="2384">
          <cell r="B2384" t="str">
            <v>PASO ROBLES 1104R56</v>
          </cell>
          <cell r="C2384">
            <v>182611104</v>
          </cell>
          <cell r="D2384" t="str">
            <v>PASO ROBLES 1104</v>
          </cell>
          <cell r="E2384" t="str">
            <v>R56</v>
          </cell>
          <cell r="F2384" t="b">
            <v>0</v>
          </cell>
          <cell r="G2384">
            <v>19965.750539578101</v>
          </cell>
          <cell r="H2384">
            <v>18526.185522609801</v>
          </cell>
        </row>
        <row r="2385">
          <cell r="B2385" t="str">
            <v>PASO ROBLES 1107289947</v>
          </cell>
          <cell r="C2385">
            <v>182611107</v>
          </cell>
          <cell r="D2385" t="str">
            <v>PASO ROBLES 1107</v>
          </cell>
          <cell r="E2385">
            <v>289947</v>
          </cell>
          <cell r="F2385" t="b">
            <v>1</v>
          </cell>
          <cell r="G2385">
            <v>3212.1672784560201</v>
          </cell>
          <cell r="H2385">
            <v>447.63574011523599</v>
          </cell>
        </row>
        <row r="2386">
          <cell r="B2386" t="str">
            <v>PAUL SWEET 210210290</v>
          </cell>
          <cell r="C2386">
            <v>83252102</v>
          </cell>
          <cell r="D2386" t="str">
            <v>PAUL SWEET 2102</v>
          </cell>
          <cell r="E2386">
            <v>10290</v>
          </cell>
          <cell r="F2386" t="b">
            <v>1</v>
          </cell>
          <cell r="G2386">
            <v>9277.2510164737505</v>
          </cell>
          <cell r="H2386">
            <v>4.5720448353703702</v>
          </cell>
        </row>
        <row r="2387">
          <cell r="B2387" t="str">
            <v>PAUL SWEET 210212850</v>
          </cell>
          <cell r="C2387">
            <v>83252102</v>
          </cell>
          <cell r="D2387" t="str">
            <v>PAUL SWEET 2102</v>
          </cell>
          <cell r="E2387">
            <v>12850</v>
          </cell>
          <cell r="F2387" t="b">
            <v>0</v>
          </cell>
          <cell r="G2387">
            <v>6644.9449395854199</v>
          </cell>
          <cell r="H2387">
            <v>1063.4476420451899</v>
          </cell>
        </row>
        <row r="2388">
          <cell r="B2388" t="str">
            <v>PAUL SWEET 2102168368</v>
          </cell>
          <cell r="C2388">
            <v>83252102</v>
          </cell>
          <cell r="D2388" t="str">
            <v>PAUL SWEET 2102</v>
          </cell>
          <cell r="E2388">
            <v>168368</v>
          </cell>
          <cell r="F2388" t="b">
            <v>1</v>
          </cell>
          <cell r="G2388">
            <v>1090.7031207498601</v>
          </cell>
          <cell r="H2388">
            <v>590.44709334823494</v>
          </cell>
        </row>
        <row r="2389">
          <cell r="B2389" t="str">
            <v>PAUL SWEET 2102337544</v>
          </cell>
          <cell r="C2389">
            <v>83252102</v>
          </cell>
          <cell r="D2389" t="str">
            <v>PAUL SWEET 2102</v>
          </cell>
          <cell r="E2389">
            <v>337544</v>
          </cell>
          <cell r="F2389" t="b">
            <v>1</v>
          </cell>
          <cell r="G2389">
            <v>1419.0102670342101</v>
          </cell>
          <cell r="H2389">
            <v>579.06420189669996</v>
          </cell>
        </row>
        <row r="2390">
          <cell r="B2390" t="str">
            <v>PAUL SWEET 2102959032</v>
          </cell>
          <cell r="C2390">
            <v>83252102</v>
          </cell>
          <cell r="D2390" t="str">
            <v>PAUL SWEET 2102</v>
          </cell>
          <cell r="E2390">
            <v>959032</v>
          </cell>
          <cell r="F2390" t="b">
            <v>0</v>
          </cell>
          <cell r="G2390">
            <v>1582.9543601374701</v>
          </cell>
          <cell r="H2390">
            <v>1283.5288389407799</v>
          </cell>
        </row>
        <row r="2391">
          <cell r="B2391" t="str">
            <v>PAUL SWEET 210411074</v>
          </cell>
          <cell r="C2391">
            <v>83252104</v>
          </cell>
          <cell r="D2391" t="str">
            <v>PAUL SWEET 2104</v>
          </cell>
          <cell r="E2391">
            <v>11074</v>
          </cell>
          <cell r="F2391" t="b">
            <v>0</v>
          </cell>
          <cell r="G2391">
            <v>4972.7566524588101</v>
          </cell>
          <cell r="H2391">
            <v>4718.3100426363098</v>
          </cell>
        </row>
        <row r="2392">
          <cell r="B2392" t="str">
            <v>PAUL SWEET 21045394</v>
          </cell>
          <cell r="C2392">
            <v>83252104</v>
          </cell>
          <cell r="D2392" t="str">
            <v>PAUL SWEET 2104</v>
          </cell>
          <cell r="E2392">
            <v>5394</v>
          </cell>
          <cell r="F2392" t="b">
            <v>0</v>
          </cell>
          <cell r="G2392">
            <v>24529.1371620543</v>
          </cell>
          <cell r="H2392">
            <v>23340.393758093898</v>
          </cell>
        </row>
        <row r="2393">
          <cell r="B2393" t="str">
            <v>PAUL SWEET 2105CB</v>
          </cell>
          <cell r="C2393">
            <v>83252105</v>
          </cell>
          <cell r="D2393" t="str">
            <v>PAUL SWEET 2105</v>
          </cell>
          <cell r="E2393" t="str">
            <v>CB</v>
          </cell>
          <cell r="F2393" t="b">
            <v>0</v>
          </cell>
          <cell r="G2393">
            <v>14092.5760230337</v>
          </cell>
          <cell r="H2393">
            <v>11980.8022194279</v>
          </cell>
        </row>
        <row r="2394">
          <cell r="B2394" t="str">
            <v>PAUL SWEET 210610424</v>
          </cell>
          <cell r="C2394">
            <v>83252106</v>
          </cell>
          <cell r="D2394" t="str">
            <v>PAUL SWEET 2106</v>
          </cell>
          <cell r="E2394">
            <v>10424</v>
          </cell>
          <cell r="F2394" t="b">
            <v>0</v>
          </cell>
          <cell r="G2394">
            <v>11629.493416543</v>
          </cell>
          <cell r="H2394">
            <v>9151.9906450503004</v>
          </cell>
        </row>
        <row r="2395">
          <cell r="B2395" t="str">
            <v>PAUL SWEET 2106428102</v>
          </cell>
          <cell r="C2395">
            <v>83252106</v>
          </cell>
          <cell r="D2395" t="str">
            <v>PAUL SWEET 2106</v>
          </cell>
          <cell r="E2395">
            <v>428102</v>
          </cell>
          <cell r="F2395" t="b">
            <v>0</v>
          </cell>
          <cell r="G2395">
            <v>20879.8446205172</v>
          </cell>
          <cell r="H2395">
            <v>19729.942107417701</v>
          </cell>
        </row>
        <row r="2396">
          <cell r="B2396" t="str">
            <v>PAUL SWEET 21065178</v>
          </cell>
          <cell r="C2396">
            <v>83252106</v>
          </cell>
          <cell r="D2396" t="str">
            <v>PAUL SWEET 2106</v>
          </cell>
          <cell r="E2396">
            <v>5178</v>
          </cell>
          <cell r="F2396" t="b">
            <v>0</v>
          </cell>
          <cell r="G2396">
            <v>11550.9266623288</v>
          </cell>
          <cell r="H2396">
            <v>11550.9266623288</v>
          </cell>
        </row>
        <row r="2397">
          <cell r="B2397" t="str">
            <v>PAUL SWEET 21068091</v>
          </cell>
          <cell r="C2397">
            <v>83252106</v>
          </cell>
          <cell r="D2397" t="str">
            <v>PAUL SWEET 2106</v>
          </cell>
          <cell r="E2397">
            <v>8091</v>
          </cell>
          <cell r="F2397" t="b">
            <v>0</v>
          </cell>
          <cell r="G2397">
            <v>9678.4780418423106</v>
          </cell>
          <cell r="H2397">
            <v>9678.4780418423106</v>
          </cell>
        </row>
        <row r="2398">
          <cell r="B2398" t="str">
            <v>PAUL SWEET 2106CB</v>
          </cell>
          <cell r="C2398">
            <v>83252106</v>
          </cell>
          <cell r="D2398" t="str">
            <v>PAUL SWEET 2106</v>
          </cell>
          <cell r="E2398" t="str">
            <v>CB</v>
          </cell>
          <cell r="F2398" t="b">
            <v>0</v>
          </cell>
          <cell r="G2398">
            <v>18604.474610446399</v>
          </cell>
          <cell r="H2398">
            <v>8502.7440756054293</v>
          </cell>
        </row>
        <row r="2399">
          <cell r="B2399" t="str">
            <v>PAUL SWEET 210710986</v>
          </cell>
          <cell r="C2399">
            <v>83252107</v>
          </cell>
          <cell r="D2399" t="str">
            <v>PAUL SWEET 2107</v>
          </cell>
          <cell r="E2399">
            <v>10986</v>
          </cell>
          <cell r="F2399" t="b">
            <v>0</v>
          </cell>
          <cell r="G2399">
            <v>31785.025478259799</v>
          </cell>
          <cell r="H2399">
            <v>14988.5932922342</v>
          </cell>
        </row>
        <row r="2400">
          <cell r="B2400" t="str">
            <v>PAUL SWEET 21075291</v>
          </cell>
          <cell r="C2400">
            <v>83252107</v>
          </cell>
          <cell r="D2400" t="str">
            <v>PAUL SWEET 2107</v>
          </cell>
          <cell r="E2400">
            <v>5291</v>
          </cell>
          <cell r="F2400" t="b">
            <v>1</v>
          </cell>
          <cell r="G2400">
            <v>1596.26098443978</v>
          </cell>
          <cell r="H2400">
            <v>50.439007259438199</v>
          </cell>
        </row>
        <row r="2401">
          <cell r="B2401" t="str">
            <v>PAUL SWEET 2107774760</v>
          </cell>
          <cell r="C2401">
            <v>83252107</v>
          </cell>
          <cell r="D2401" t="str">
            <v>PAUL SWEET 2107</v>
          </cell>
          <cell r="E2401">
            <v>774760</v>
          </cell>
          <cell r="F2401" t="b">
            <v>0</v>
          </cell>
          <cell r="G2401">
            <v>5348.86298620461</v>
          </cell>
          <cell r="H2401">
            <v>5348.86298620461</v>
          </cell>
        </row>
        <row r="2402">
          <cell r="B2402" t="str">
            <v>PAUL SWEET 210912828</v>
          </cell>
          <cell r="C2402">
            <v>83252109</v>
          </cell>
          <cell r="D2402" t="str">
            <v>PAUL SWEET 2109</v>
          </cell>
          <cell r="E2402">
            <v>12828</v>
          </cell>
          <cell r="F2402" t="b">
            <v>0</v>
          </cell>
          <cell r="G2402">
            <v>7906.67193049241</v>
          </cell>
          <cell r="H2402">
            <v>1834.1594938636099</v>
          </cell>
        </row>
        <row r="2403">
          <cell r="B2403" t="str">
            <v>PAUL SWEET 2109634576</v>
          </cell>
          <cell r="C2403">
            <v>83252109</v>
          </cell>
          <cell r="D2403" t="str">
            <v>PAUL SWEET 2109</v>
          </cell>
          <cell r="E2403">
            <v>634576</v>
          </cell>
          <cell r="F2403" t="b">
            <v>0</v>
          </cell>
          <cell r="G2403">
            <v>3306.7048870373101</v>
          </cell>
          <cell r="H2403">
            <v>2935.0444196506301</v>
          </cell>
        </row>
        <row r="2404">
          <cell r="B2404" t="str">
            <v>PAUL SWEET 2109680537</v>
          </cell>
          <cell r="C2404">
            <v>83252109</v>
          </cell>
          <cell r="D2404" t="str">
            <v>PAUL SWEET 2109</v>
          </cell>
          <cell r="E2404">
            <v>680537</v>
          </cell>
          <cell r="F2404" t="b">
            <v>1</v>
          </cell>
          <cell r="G2404">
            <v>1060.8184071861299</v>
          </cell>
          <cell r="H2404">
            <v>362.729259255876</v>
          </cell>
        </row>
        <row r="2405">
          <cell r="B2405" t="str">
            <v>PAUL SWEET 2109687295</v>
          </cell>
          <cell r="C2405">
            <v>83252109</v>
          </cell>
          <cell r="D2405" t="str">
            <v>PAUL SWEET 2109</v>
          </cell>
          <cell r="E2405">
            <v>687295</v>
          </cell>
          <cell r="F2405" t="b">
            <v>0</v>
          </cell>
          <cell r="G2405">
            <v>1495.54503000867</v>
          </cell>
          <cell r="H2405">
            <v>1495.54503000867</v>
          </cell>
        </row>
        <row r="2406">
          <cell r="B2406" t="str">
            <v>PAUL SWEET 2109CB</v>
          </cell>
          <cell r="C2406">
            <v>83252109</v>
          </cell>
          <cell r="D2406" t="str">
            <v>PAUL SWEET 2109</v>
          </cell>
          <cell r="E2406" t="str">
            <v>CB</v>
          </cell>
          <cell r="F2406" t="b">
            <v>1</v>
          </cell>
          <cell r="G2406">
            <v>18410.636877963901</v>
          </cell>
          <cell r="H2406">
            <v>20.738787053310698</v>
          </cell>
        </row>
        <row r="2407">
          <cell r="B2407" t="str">
            <v>PEABODY 2106250154</v>
          </cell>
          <cell r="C2407">
            <v>63642106</v>
          </cell>
          <cell r="D2407" t="str">
            <v>PEABODY 2106</v>
          </cell>
          <cell r="E2407">
            <v>250154</v>
          </cell>
          <cell r="F2407" t="b">
            <v>1</v>
          </cell>
          <cell r="G2407">
            <v>458.54891259786501</v>
          </cell>
          <cell r="H2407">
            <v>458.54891259786501</v>
          </cell>
        </row>
        <row r="2408">
          <cell r="B2408" t="str">
            <v>PEABODY 2106592742</v>
          </cell>
          <cell r="C2408">
            <v>63642106</v>
          </cell>
          <cell r="D2408" t="str">
            <v>PEABODY 2106</v>
          </cell>
          <cell r="E2408">
            <v>592742</v>
          </cell>
          <cell r="F2408" t="b">
            <v>1</v>
          </cell>
          <cell r="G2408">
            <v>684.45516640598601</v>
          </cell>
          <cell r="H2408">
            <v>546.74530491875998</v>
          </cell>
        </row>
        <row r="2409">
          <cell r="B2409" t="str">
            <v>PEABODY 2106CB</v>
          </cell>
          <cell r="C2409">
            <v>63642106</v>
          </cell>
          <cell r="D2409" t="str">
            <v>PEABODY 2106</v>
          </cell>
          <cell r="E2409" t="str">
            <v>CB</v>
          </cell>
          <cell r="F2409" t="b">
            <v>1</v>
          </cell>
          <cell r="G2409">
            <v>1275.2264964789299</v>
          </cell>
          <cell r="H2409">
            <v>525.80961447818197</v>
          </cell>
        </row>
        <row r="2410">
          <cell r="B2410" t="str">
            <v>PEABODY 2108113684</v>
          </cell>
          <cell r="C2410">
            <v>63642108</v>
          </cell>
          <cell r="D2410" t="str">
            <v>PEABODY 2108</v>
          </cell>
          <cell r="E2410">
            <v>113684</v>
          </cell>
          <cell r="F2410" t="b">
            <v>1</v>
          </cell>
          <cell r="G2410">
            <v>748.95739734640802</v>
          </cell>
          <cell r="H2410">
            <v>590.652129229558</v>
          </cell>
        </row>
        <row r="2411">
          <cell r="B2411" t="str">
            <v>PEABODY 2113873304</v>
          </cell>
          <cell r="C2411">
            <v>63642113</v>
          </cell>
          <cell r="D2411" t="str">
            <v>PEABODY 2113</v>
          </cell>
          <cell r="E2411">
            <v>873304</v>
          </cell>
          <cell r="F2411" t="b">
            <v>0</v>
          </cell>
          <cell r="G2411">
            <v>1312.95083240636</v>
          </cell>
          <cell r="H2411">
            <v>1312.95083240636</v>
          </cell>
        </row>
        <row r="2412">
          <cell r="B2412" t="str">
            <v>PEABODY 2113945670</v>
          </cell>
          <cell r="C2412">
            <v>63642113</v>
          </cell>
          <cell r="D2412" t="str">
            <v>PEABODY 2113</v>
          </cell>
          <cell r="E2412">
            <v>945670</v>
          </cell>
          <cell r="F2412" t="b">
            <v>1</v>
          </cell>
          <cell r="G2412">
            <v>403.09740163753099</v>
          </cell>
          <cell r="H2412">
            <v>334.42972335501798</v>
          </cell>
        </row>
        <row r="2413">
          <cell r="B2413" t="str">
            <v>PEABODY 2113CB</v>
          </cell>
          <cell r="C2413">
            <v>63642113</v>
          </cell>
          <cell r="D2413" t="str">
            <v>PEABODY 2113</v>
          </cell>
          <cell r="E2413" t="str">
            <v>CB</v>
          </cell>
          <cell r="F2413" t="b">
            <v>1</v>
          </cell>
          <cell r="G2413">
            <v>8317.4056920511994</v>
          </cell>
          <cell r="H2413">
            <v>587.38809161527399</v>
          </cell>
        </row>
        <row r="2414">
          <cell r="B2414" t="str">
            <v>PENNGROVE 1101170</v>
          </cell>
          <cell r="C2414">
            <v>43471101</v>
          </cell>
          <cell r="D2414" t="str">
            <v>PENNGROVE 1101</v>
          </cell>
          <cell r="E2414">
            <v>170</v>
          </cell>
          <cell r="F2414" t="b">
            <v>0</v>
          </cell>
          <cell r="G2414">
            <v>33470.215787803099</v>
          </cell>
          <cell r="H2414">
            <v>28905.2433416694</v>
          </cell>
        </row>
        <row r="2415">
          <cell r="B2415" t="str">
            <v>PENNGROVE 1101247511</v>
          </cell>
          <cell r="C2415">
            <v>43471101</v>
          </cell>
          <cell r="D2415" t="str">
            <v>PENNGROVE 1101</v>
          </cell>
          <cell r="E2415">
            <v>247511</v>
          </cell>
          <cell r="F2415" t="b">
            <v>0</v>
          </cell>
          <cell r="G2415">
            <v>3219.7108854195599</v>
          </cell>
          <cell r="H2415">
            <v>1938.41110103755</v>
          </cell>
        </row>
        <row r="2416">
          <cell r="B2416" t="str">
            <v>PENNGROVE 1101461338</v>
          </cell>
          <cell r="C2416">
            <v>43471101</v>
          </cell>
          <cell r="D2416" t="str">
            <v>PENNGROVE 1101</v>
          </cell>
          <cell r="E2416">
            <v>461338</v>
          </cell>
          <cell r="F2416" t="b">
            <v>0</v>
          </cell>
          <cell r="G2416">
            <v>2872.7741628615499</v>
          </cell>
          <cell r="H2416">
            <v>2872.7741628615499</v>
          </cell>
        </row>
        <row r="2417">
          <cell r="B2417" t="str">
            <v>PENNGROVE 1101554</v>
          </cell>
          <cell r="C2417">
            <v>43471101</v>
          </cell>
          <cell r="D2417" t="str">
            <v>PENNGROVE 1101</v>
          </cell>
          <cell r="E2417">
            <v>554</v>
          </cell>
          <cell r="F2417" t="b">
            <v>1</v>
          </cell>
          <cell r="G2417">
            <v>17322.4157483698</v>
          </cell>
          <cell r="H2417">
            <v>0</v>
          </cell>
        </row>
        <row r="2418">
          <cell r="B2418" t="str">
            <v>PENRYN 11032198</v>
          </cell>
          <cell r="C2418">
            <v>152561103</v>
          </cell>
          <cell r="D2418" t="str">
            <v>PENRYN 1103</v>
          </cell>
          <cell r="E2418">
            <v>2198</v>
          </cell>
          <cell r="F2418" t="b">
            <v>0</v>
          </cell>
          <cell r="G2418">
            <v>33673.983663285297</v>
          </cell>
          <cell r="H2418">
            <v>32552.0609441296</v>
          </cell>
        </row>
        <row r="2419">
          <cell r="B2419" t="str">
            <v>PENRYN 110351658</v>
          </cell>
          <cell r="C2419">
            <v>152561103</v>
          </cell>
          <cell r="D2419" t="str">
            <v>PENRYN 1103</v>
          </cell>
          <cell r="E2419">
            <v>51658</v>
          </cell>
          <cell r="F2419" t="b">
            <v>0</v>
          </cell>
          <cell r="G2419">
            <v>14039.378858956599</v>
          </cell>
          <cell r="H2419">
            <v>13140.120873477899</v>
          </cell>
        </row>
        <row r="2420">
          <cell r="B2420" t="str">
            <v>PENRYN 1103604</v>
          </cell>
          <cell r="C2420">
            <v>152561103</v>
          </cell>
          <cell r="D2420" t="str">
            <v>PENRYN 1103</v>
          </cell>
          <cell r="E2420">
            <v>604</v>
          </cell>
          <cell r="F2420" t="b">
            <v>0</v>
          </cell>
          <cell r="G2420">
            <v>42817.3578286259</v>
          </cell>
          <cell r="H2420">
            <v>42516.879335965299</v>
          </cell>
        </row>
        <row r="2421">
          <cell r="B2421" t="str">
            <v>PENRYN 1103660</v>
          </cell>
          <cell r="C2421">
            <v>152561103</v>
          </cell>
          <cell r="D2421" t="str">
            <v>PENRYN 1103</v>
          </cell>
          <cell r="E2421">
            <v>660</v>
          </cell>
          <cell r="F2421" t="b">
            <v>0</v>
          </cell>
          <cell r="G2421">
            <v>31347.051428311399</v>
          </cell>
          <cell r="H2421">
            <v>16353.714551368401</v>
          </cell>
        </row>
        <row r="2422">
          <cell r="B2422" t="str">
            <v>PENRYN 1103CB</v>
          </cell>
          <cell r="C2422">
            <v>152561103</v>
          </cell>
          <cell r="D2422" t="str">
            <v>PENRYN 1103</v>
          </cell>
          <cell r="E2422" t="str">
            <v>CB</v>
          </cell>
          <cell r="F2422" t="b">
            <v>0</v>
          </cell>
          <cell r="G2422">
            <v>5107.0559254795198</v>
          </cell>
          <cell r="H2422">
            <v>3866.6598767503701</v>
          </cell>
        </row>
        <row r="2423">
          <cell r="B2423" t="str">
            <v>PENRYN 1105119949</v>
          </cell>
          <cell r="C2423">
            <v>152561105</v>
          </cell>
          <cell r="D2423" t="str">
            <v>PENRYN 1105</v>
          </cell>
          <cell r="E2423">
            <v>119949</v>
          </cell>
          <cell r="F2423" t="b">
            <v>0</v>
          </cell>
          <cell r="G2423">
            <v>3756.7927350077598</v>
          </cell>
          <cell r="H2423">
            <v>2221.8701730746102</v>
          </cell>
        </row>
        <row r="2424">
          <cell r="B2424" t="str">
            <v>PENRYN 11051342</v>
          </cell>
          <cell r="C2424">
            <v>152561105</v>
          </cell>
          <cell r="D2424" t="str">
            <v>PENRYN 1105</v>
          </cell>
          <cell r="E2424">
            <v>1342</v>
          </cell>
          <cell r="F2424" t="b">
            <v>0</v>
          </cell>
          <cell r="G2424">
            <v>62297.503289225599</v>
          </cell>
          <cell r="H2424">
            <v>33351.197196594898</v>
          </cell>
        </row>
        <row r="2425">
          <cell r="B2425" t="str">
            <v>PENRYN 11051378</v>
          </cell>
          <cell r="C2425">
            <v>152561105</v>
          </cell>
          <cell r="D2425" t="str">
            <v>PENRYN 1105</v>
          </cell>
          <cell r="E2425">
            <v>1378</v>
          </cell>
          <cell r="F2425" t="b">
            <v>0</v>
          </cell>
          <cell r="G2425">
            <v>3084.1466976526799</v>
          </cell>
          <cell r="H2425">
            <v>1447.51889337836</v>
          </cell>
        </row>
        <row r="2426">
          <cell r="B2426" t="str">
            <v>PENRYN 1105154362</v>
          </cell>
          <cell r="C2426">
            <v>152561105</v>
          </cell>
          <cell r="D2426" t="str">
            <v>PENRYN 1105</v>
          </cell>
          <cell r="E2426">
            <v>154362</v>
          </cell>
          <cell r="F2426" t="b">
            <v>0</v>
          </cell>
          <cell r="G2426">
            <v>11970.182430824099</v>
          </cell>
          <cell r="H2426">
            <v>3480.2712484636299</v>
          </cell>
        </row>
        <row r="2427">
          <cell r="B2427" t="str">
            <v>PENRYN 1105168616</v>
          </cell>
          <cell r="C2427">
            <v>152561105</v>
          </cell>
          <cell r="D2427" t="str">
            <v>PENRYN 1105</v>
          </cell>
          <cell r="E2427">
            <v>168616</v>
          </cell>
          <cell r="F2427" t="b">
            <v>0</v>
          </cell>
          <cell r="G2427">
            <v>13634.7639359613</v>
          </cell>
          <cell r="H2427">
            <v>5078.9904590137603</v>
          </cell>
        </row>
        <row r="2428">
          <cell r="B2428" t="str">
            <v>PENRYN 11052406</v>
          </cell>
          <cell r="C2428">
            <v>152561105</v>
          </cell>
          <cell r="D2428" t="str">
            <v>PENRYN 1105</v>
          </cell>
          <cell r="E2428">
            <v>2406</v>
          </cell>
          <cell r="F2428" t="b">
            <v>1</v>
          </cell>
          <cell r="G2428">
            <v>6309.8621877989099</v>
          </cell>
          <cell r="H2428">
            <v>123.563573867101</v>
          </cell>
        </row>
        <row r="2429">
          <cell r="B2429" t="str">
            <v>PENRYN 110550548</v>
          </cell>
          <cell r="C2429">
            <v>152561105</v>
          </cell>
          <cell r="D2429" t="str">
            <v>PENRYN 1105</v>
          </cell>
          <cell r="E2429">
            <v>50548</v>
          </cell>
          <cell r="F2429" t="b">
            <v>1</v>
          </cell>
          <cell r="G2429">
            <v>7824.3085430756701</v>
          </cell>
          <cell r="H2429">
            <v>154.22718172688801</v>
          </cell>
        </row>
        <row r="2430">
          <cell r="B2430" t="str">
            <v>PENRYN 110550550</v>
          </cell>
          <cell r="C2430">
            <v>152561105</v>
          </cell>
          <cell r="D2430" t="str">
            <v>PENRYN 1105</v>
          </cell>
          <cell r="E2430">
            <v>50550</v>
          </cell>
          <cell r="F2430" t="b">
            <v>1</v>
          </cell>
          <cell r="G2430">
            <v>16250.026578953701</v>
          </cell>
          <cell r="H2430">
            <v>0</v>
          </cell>
        </row>
        <row r="2431">
          <cell r="B2431" t="str">
            <v>PENRYN 110551676</v>
          </cell>
          <cell r="C2431">
            <v>152561105</v>
          </cell>
          <cell r="D2431" t="str">
            <v>PENRYN 1105</v>
          </cell>
          <cell r="E2431">
            <v>51676</v>
          </cell>
          <cell r="F2431" t="b">
            <v>0</v>
          </cell>
          <cell r="G2431">
            <v>18975.723221203501</v>
          </cell>
          <cell r="H2431">
            <v>12910.451563831301</v>
          </cell>
        </row>
        <row r="2432">
          <cell r="B2432" t="str">
            <v>PENRYN 1105817491</v>
          </cell>
          <cell r="C2432">
            <v>152561105</v>
          </cell>
          <cell r="D2432" t="str">
            <v>PENRYN 1105</v>
          </cell>
          <cell r="E2432">
            <v>817491</v>
          </cell>
          <cell r="F2432" t="b">
            <v>0</v>
          </cell>
          <cell r="G2432">
            <v>3153.3615679311201</v>
          </cell>
          <cell r="H2432">
            <v>2279.4584152092102</v>
          </cell>
        </row>
        <row r="2433">
          <cell r="B2433" t="str">
            <v>PENRYN 1105CB</v>
          </cell>
          <cell r="C2433">
            <v>152561105</v>
          </cell>
          <cell r="D2433" t="str">
            <v>PENRYN 1105</v>
          </cell>
          <cell r="E2433" t="str">
            <v>CB</v>
          </cell>
          <cell r="F2433" t="b">
            <v>1</v>
          </cell>
          <cell r="G2433">
            <v>1663.8055887795899</v>
          </cell>
          <cell r="H2433">
            <v>978.50434872483902</v>
          </cell>
        </row>
        <row r="2434">
          <cell r="B2434" t="str">
            <v>PENRYN 1106212772</v>
          </cell>
          <cell r="C2434">
            <v>152561106</v>
          </cell>
          <cell r="D2434" t="str">
            <v>PENRYN 1106</v>
          </cell>
          <cell r="E2434">
            <v>212772</v>
          </cell>
          <cell r="F2434" t="b">
            <v>0</v>
          </cell>
          <cell r="G2434">
            <v>1753.1584878557901</v>
          </cell>
          <cell r="H2434">
            <v>1609.19804008407</v>
          </cell>
        </row>
        <row r="2435">
          <cell r="B2435" t="str">
            <v>PENRYN 11072410</v>
          </cell>
          <cell r="C2435">
            <v>152561107</v>
          </cell>
          <cell r="D2435" t="str">
            <v>PENRYN 1107</v>
          </cell>
          <cell r="E2435">
            <v>2410</v>
          </cell>
          <cell r="F2435" t="b">
            <v>0</v>
          </cell>
          <cell r="G2435">
            <v>12099.1952310705</v>
          </cell>
          <cell r="H2435">
            <v>5248.3007510347197</v>
          </cell>
        </row>
        <row r="2436">
          <cell r="B2436" t="str">
            <v>PENRYN 11072704</v>
          </cell>
          <cell r="C2436">
            <v>152561107</v>
          </cell>
          <cell r="D2436" t="str">
            <v>PENRYN 1107</v>
          </cell>
          <cell r="E2436">
            <v>2704</v>
          </cell>
          <cell r="F2436" t="b">
            <v>0</v>
          </cell>
          <cell r="G2436">
            <v>9132.5937281057595</v>
          </cell>
          <cell r="H2436">
            <v>2300.3426338767299</v>
          </cell>
        </row>
        <row r="2437">
          <cell r="B2437" t="str">
            <v>PENRYN 11072706</v>
          </cell>
          <cell r="C2437">
            <v>152561107</v>
          </cell>
          <cell r="D2437" t="str">
            <v>PENRYN 1107</v>
          </cell>
          <cell r="E2437">
            <v>2706</v>
          </cell>
          <cell r="F2437" t="b">
            <v>0</v>
          </cell>
          <cell r="G2437">
            <v>23999.908080780799</v>
          </cell>
          <cell r="H2437">
            <v>9304.8866724831805</v>
          </cell>
        </row>
        <row r="2438">
          <cell r="B2438" t="str">
            <v>PENRYN 11072708</v>
          </cell>
          <cell r="C2438">
            <v>152561107</v>
          </cell>
          <cell r="D2438" t="str">
            <v>PENRYN 1107</v>
          </cell>
          <cell r="E2438">
            <v>2708</v>
          </cell>
          <cell r="F2438" t="b">
            <v>0</v>
          </cell>
          <cell r="G2438">
            <v>17128.5396172045</v>
          </cell>
          <cell r="H2438">
            <v>15094.999176794299</v>
          </cell>
        </row>
        <row r="2439">
          <cell r="B2439" t="str">
            <v>PENRYN 1107346</v>
          </cell>
          <cell r="C2439">
            <v>152561107</v>
          </cell>
          <cell r="D2439" t="str">
            <v>PENRYN 1107</v>
          </cell>
          <cell r="E2439">
            <v>346</v>
          </cell>
          <cell r="F2439" t="b">
            <v>0</v>
          </cell>
          <cell r="G2439">
            <v>40386.109901262898</v>
          </cell>
          <cell r="H2439">
            <v>22629.4943912177</v>
          </cell>
        </row>
        <row r="2440">
          <cell r="B2440" t="str">
            <v>PENRYN 110790970</v>
          </cell>
          <cell r="C2440">
            <v>152561107</v>
          </cell>
          <cell r="D2440" t="str">
            <v>PENRYN 1107</v>
          </cell>
          <cell r="E2440">
            <v>90970</v>
          </cell>
          <cell r="F2440" t="b">
            <v>0</v>
          </cell>
          <cell r="G2440">
            <v>6924.4220872428104</v>
          </cell>
          <cell r="H2440">
            <v>2317.6471538289802</v>
          </cell>
        </row>
        <row r="2441">
          <cell r="B2441" t="str">
            <v>PENRYN 1107CB</v>
          </cell>
          <cell r="C2441">
            <v>152561107</v>
          </cell>
          <cell r="D2441" t="str">
            <v>PENRYN 1107</v>
          </cell>
          <cell r="E2441" t="str">
            <v>CB</v>
          </cell>
          <cell r="F2441" t="b">
            <v>0</v>
          </cell>
          <cell r="G2441">
            <v>25933.755775576799</v>
          </cell>
          <cell r="H2441">
            <v>8735.2446413490106</v>
          </cell>
        </row>
        <row r="2442">
          <cell r="B2442" t="str">
            <v>PEORIA 1701169700</v>
          </cell>
          <cell r="C2442">
            <v>163781701</v>
          </cell>
          <cell r="D2442" t="str">
            <v>PEORIA 1701</v>
          </cell>
          <cell r="E2442">
            <v>169700</v>
          </cell>
          <cell r="F2442" t="b">
            <v>0</v>
          </cell>
          <cell r="G2442">
            <v>13421.5221661657</v>
          </cell>
          <cell r="H2442">
            <v>13421.5221661657</v>
          </cell>
        </row>
        <row r="2443">
          <cell r="B2443" t="str">
            <v>PEORIA 17013186</v>
          </cell>
          <cell r="C2443">
            <v>163781701</v>
          </cell>
          <cell r="D2443" t="str">
            <v>PEORIA 1701</v>
          </cell>
          <cell r="E2443">
            <v>3186</v>
          </cell>
          <cell r="F2443" t="b">
            <v>0</v>
          </cell>
          <cell r="G2443">
            <v>15806.1877194258</v>
          </cell>
          <cell r="H2443">
            <v>15806.1877194258</v>
          </cell>
        </row>
        <row r="2444">
          <cell r="B2444" t="str">
            <v>PEORIA 170169124</v>
          </cell>
          <cell r="C2444">
            <v>163781701</v>
          </cell>
          <cell r="D2444" t="str">
            <v>PEORIA 1701</v>
          </cell>
          <cell r="E2444">
            <v>69124</v>
          </cell>
          <cell r="F2444" t="b">
            <v>0</v>
          </cell>
          <cell r="G2444">
            <v>4347.27916763126</v>
          </cell>
          <cell r="H2444">
            <v>4347.27916763126</v>
          </cell>
        </row>
        <row r="2445">
          <cell r="B2445" t="str">
            <v>PEORIA 170176030</v>
          </cell>
          <cell r="C2445">
            <v>163781701</v>
          </cell>
          <cell r="D2445" t="str">
            <v>PEORIA 1701</v>
          </cell>
          <cell r="E2445">
            <v>76030</v>
          </cell>
          <cell r="F2445" t="b">
            <v>0</v>
          </cell>
          <cell r="G2445">
            <v>10072.83551302</v>
          </cell>
          <cell r="H2445">
            <v>8222.4339479598402</v>
          </cell>
        </row>
        <row r="2446">
          <cell r="B2446" t="str">
            <v>PEORIA 170184318</v>
          </cell>
          <cell r="C2446">
            <v>163781701</v>
          </cell>
          <cell r="D2446" t="str">
            <v>PEORIA 1701</v>
          </cell>
          <cell r="E2446">
            <v>84318</v>
          </cell>
          <cell r="F2446" t="b">
            <v>0</v>
          </cell>
          <cell r="G2446">
            <v>16486.090180155799</v>
          </cell>
          <cell r="H2446">
            <v>16486.090180155799</v>
          </cell>
        </row>
        <row r="2447">
          <cell r="B2447" t="str">
            <v>PEORIA 170190090</v>
          </cell>
          <cell r="C2447">
            <v>163781701</v>
          </cell>
          <cell r="D2447" t="str">
            <v>PEORIA 1701</v>
          </cell>
          <cell r="E2447">
            <v>90090</v>
          </cell>
          <cell r="F2447" t="b">
            <v>0</v>
          </cell>
          <cell r="G2447">
            <v>48332.111004527302</v>
          </cell>
          <cell r="H2447">
            <v>48332.111004527302</v>
          </cell>
        </row>
        <row r="2448">
          <cell r="B2448" t="str">
            <v>PEORIA 17019811</v>
          </cell>
          <cell r="C2448">
            <v>163781701</v>
          </cell>
          <cell r="D2448" t="str">
            <v>PEORIA 1701</v>
          </cell>
          <cell r="E2448">
            <v>9811</v>
          </cell>
          <cell r="F2448" t="b">
            <v>0</v>
          </cell>
          <cell r="G2448">
            <v>14351.9183694734</v>
          </cell>
          <cell r="H2448">
            <v>5776.4656675406004</v>
          </cell>
        </row>
        <row r="2449">
          <cell r="B2449" t="str">
            <v>PEORIA 1701CB</v>
          </cell>
          <cell r="C2449">
            <v>163781701</v>
          </cell>
          <cell r="D2449" t="str">
            <v>PEORIA 1701</v>
          </cell>
          <cell r="E2449" t="str">
            <v>CB</v>
          </cell>
          <cell r="F2449" t="b">
            <v>0</v>
          </cell>
          <cell r="G2449">
            <v>14117.793314746101</v>
          </cell>
          <cell r="H2449">
            <v>14117.793314746101</v>
          </cell>
        </row>
        <row r="2450">
          <cell r="B2450" t="str">
            <v>PEORIA 170411232</v>
          </cell>
          <cell r="C2450">
            <v>163781704</v>
          </cell>
          <cell r="D2450" t="str">
            <v>PEORIA 1704</v>
          </cell>
          <cell r="E2450">
            <v>11232</v>
          </cell>
          <cell r="F2450" t="b">
            <v>0</v>
          </cell>
          <cell r="G2450">
            <v>27747.6591195939</v>
          </cell>
          <cell r="H2450">
            <v>20505.6080493462</v>
          </cell>
        </row>
        <row r="2451">
          <cell r="B2451" t="str">
            <v>PEORIA 170413490</v>
          </cell>
          <cell r="C2451">
            <v>163781704</v>
          </cell>
          <cell r="D2451" t="str">
            <v>PEORIA 1704</v>
          </cell>
          <cell r="E2451">
            <v>13490</v>
          </cell>
          <cell r="F2451" t="b">
            <v>0</v>
          </cell>
          <cell r="G2451">
            <v>8773.5040432802798</v>
          </cell>
          <cell r="H2451">
            <v>6875.4255852341003</v>
          </cell>
        </row>
        <row r="2452">
          <cell r="B2452" t="str">
            <v>PEORIA 170413494</v>
          </cell>
          <cell r="C2452">
            <v>163781704</v>
          </cell>
          <cell r="D2452" t="str">
            <v>PEORIA 1704</v>
          </cell>
          <cell r="E2452">
            <v>13494</v>
          </cell>
          <cell r="F2452" t="b">
            <v>0</v>
          </cell>
          <cell r="G2452">
            <v>12093.2449289913</v>
          </cell>
          <cell r="H2452">
            <v>4454.7349886901202</v>
          </cell>
        </row>
        <row r="2453">
          <cell r="B2453" t="str">
            <v>PEORIA 170459596</v>
          </cell>
          <cell r="C2453">
            <v>163781704</v>
          </cell>
          <cell r="D2453" t="str">
            <v>PEORIA 1704</v>
          </cell>
          <cell r="E2453">
            <v>59596</v>
          </cell>
          <cell r="F2453" t="b">
            <v>0</v>
          </cell>
          <cell r="G2453">
            <v>58128.597258170703</v>
          </cell>
          <cell r="H2453">
            <v>33598.812961770498</v>
          </cell>
        </row>
        <row r="2454">
          <cell r="B2454" t="str">
            <v>PEORIA 17046090</v>
          </cell>
          <cell r="C2454">
            <v>163781704</v>
          </cell>
          <cell r="D2454" t="str">
            <v>PEORIA 1704</v>
          </cell>
          <cell r="E2454">
            <v>6090</v>
          </cell>
          <cell r="F2454" t="b">
            <v>1</v>
          </cell>
          <cell r="G2454">
            <v>1284.8209511258301</v>
          </cell>
          <cell r="H2454">
            <v>879.542099649899</v>
          </cell>
        </row>
        <row r="2455">
          <cell r="B2455" t="str">
            <v>PEORIA 17048040</v>
          </cell>
          <cell r="C2455">
            <v>163781704</v>
          </cell>
          <cell r="D2455" t="str">
            <v>PEORIA 1704</v>
          </cell>
          <cell r="E2455">
            <v>8040</v>
          </cell>
          <cell r="F2455" t="b">
            <v>0</v>
          </cell>
          <cell r="G2455">
            <v>41434.284877965998</v>
          </cell>
          <cell r="H2455">
            <v>11785.984708100599</v>
          </cell>
        </row>
        <row r="2456">
          <cell r="B2456" t="str">
            <v>PEORIA 1704877670</v>
          </cell>
          <cell r="C2456">
            <v>163781704</v>
          </cell>
          <cell r="D2456" t="str">
            <v>PEORIA 1704</v>
          </cell>
          <cell r="E2456">
            <v>877670</v>
          </cell>
          <cell r="F2456" t="b">
            <v>0</v>
          </cell>
          <cell r="G2456">
            <v>10595.299624601201</v>
          </cell>
          <cell r="H2456">
            <v>10595.299624601201</v>
          </cell>
        </row>
        <row r="2457">
          <cell r="B2457" t="str">
            <v>PEORIA 170488630</v>
          </cell>
          <cell r="C2457">
            <v>163781704</v>
          </cell>
          <cell r="D2457" t="str">
            <v>PEORIA 1704</v>
          </cell>
          <cell r="E2457">
            <v>88630</v>
          </cell>
          <cell r="F2457" t="b">
            <v>0</v>
          </cell>
          <cell r="G2457">
            <v>1252.5971018190201</v>
          </cell>
          <cell r="H2457">
            <v>1252.5971018190201</v>
          </cell>
        </row>
        <row r="2458">
          <cell r="B2458" t="str">
            <v>PEORIA 170492888</v>
          </cell>
          <cell r="C2458">
            <v>163781704</v>
          </cell>
          <cell r="D2458" t="str">
            <v>PEORIA 1704</v>
          </cell>
          <cell r="E2458">
            <v>92888</v>
          </cell>
          <cell r="F2458" t="b">
            <v>1</v>
          </cell>
          <cell r="G2458">
            <v>765.36209800593497</v>
          </cell>
          <cell r="H2458">
            <v>400.60246466308399</v>
          </cell>
        </row>
        <row r="2459">
          <cell r="B2459" t="str">
            <v>PEORIA 1704CB</v>
          </cell>
          <cell r="C2459">
            <v>163781704</v>
          </cell>
          <cell r="D2459" t="str">
            <v>PEORIA 1704</v>
          </cell>
          <cell r="E2459" t="str">
            <v>CB</v>
          </cell>
          <cell r="F2459" t="b">
            <v>0</v>
          </cell>
          <cell r="G2459">
            <v>14181.9325029517</v>
          </cell>
          <cell r="H2459">
            <v>13470.241236797199</v>
          </cell>
        </row>
        <row r="2460">
          <cell r="B2460" t="str">
            <v>PEORIA 170510580</v>
          </cell>
          <cell r="C2460">
            <v>163781705</v>
          </cell>
          <cell r="D2460" t="str">
            <v>PEORIA 1705</v>
          </cell>
          <cell r="E2460">
            <v>10580</v>
          </cell>
          <cell r="F2460" t="b">
            <v>0</v>
          </cell>
          <cell r="G2460">
            <v>18949.201863595401</v>
          </cell>
          <cell r="H2460">
            <v>12416.9837405527</v>
          </cell>
        </row>
        <row r="2461">
          <cell r="B2461" t="str">
            <v>PEORIA 17051834</v>
          </cell>
          <cell r="C2461">
            <v>163781705</v>
          </cell>
          <cell r="D2461" t="str">
            <v>PEORIA 1705</v>
          </cell>
          <cell r="E2461">
            <v>1834</v>
          </cell>
          <cell r="F2461" t="b">
            <v>0</v>
          </cell>
          <cell r="G2461">
            <v>38353.1383344645</v>
          </cell>
          <cell r="H2461">
            <v>37922.708426251498</v>
          </cell>
        </row>
        <row r="2462">
          <cell r="B2462" t="str">
            <v>PEORIA 17056697</v>
          </cell>
          <cell r="C2462">
            <v>163781705</v>
          </cell>
          <cell r="D2462" t="str">
            <v>PEORIA 1705</v>
          </cell>
          <cell r="E2462">
            <v>6697</v>
          </cell>
          <cell r="F2462" t="b">
            <v>0</v>
          </cell>
          <cell r="G2462">
            <v>6657.3540886727096</v>
          </cell>
          <cell r="H2462">
            <v>6657.3540886727096</v>
          </cell>
        </row>
        <row r="2463">
          <cell r="B2463" t="str">
            <v>PEORIA 170567898</v>
          </cell>
          <cell r="C2463">
            <v>163781705</v>
          </cell>
          <cell r="D2463" t="str">
            <v>PEORIA 1705</v>
          </cell>
          <cell r="E2463">
            <v>67898</v>
          </cell>
          <cell r="F2463" t="b">
            <v>0</v>
          </cell>
          <cell r="G2463">
            <v>9738.63441129292</v>
          </cell>
          <cell r="H2463">
            <v>6917.4776681823096</v>
          </cell>
        </row>
        <row r="2464">
          <cell r="B2464" t="str">
            <v>PEORIA 170570198</v>
          </cell>
          <cell r="C2464">
            <v>163781705</v>
          </cell>
          <cell r="D2464" t="str">
            <v>PEORIA 1705</v>
          </cell>
          <cell r="E2464">
            <v>70198</v>
          </cell>
          <cell r="F2464" t="b">
            <v>0</v>
          </cell>
          <cell r="G2464">
            <v>5102.4846527256504</v>
          </cell>
          <cell r="H2464">
            <v>3628.2739120820302</v>
          </cell>
        </row>
        <row r="2465">
          <cell r="B2465" t="str">
            <v>PEORIA 170575274</v>
          </cell>
          <cell r="C2465">
            <v>163781705</v>
          </cell>
          <cell r="D2465" t="str">
            <v>PEORIA 1705</v>
          </cell>
          <cell r="E2465">
            <v>75274</v>
          </cell>
          <cell r="F2465" t="b">
            <v>1</v>
          </cell>
          <cell r="G2465">
            <v>5361.6388906482698</v>
          </cell>
          <cell r="H2465">
            <v>623.71224661862595</v>
          </cell>
        </row>
        <row r="2466">
          <cell r="B2466" t="str">
            <v>PEORIA 170587222</v>
          </cell>
          <cell r="C2466">
            <v>163781705</v>
          </cell>
          <cell r="D2466" t="str">
            <v>PEORIA 1705</v>
          </cell>
          <cell r="E2466">
            <v>87222</v>
          </cell>
          <cell r="F2466" t="b">
            <v>0</v>
          </cell>
          <cell r="G2466">
            <v>8479.9139963401394</v>
          </cell>
          <cell r="H2466">
            <v>8240.0572957196491</v>
          </cell>
        </row>
        <row r="2467">
          <cell r="B2467" t="str">
            <v>PEORIA 170590374</v>
          </cell>
          <cell r="C2467">
            <v>163781705</v>
          </cell>
          <cell r="D2467" t="str">
            <v>PEORIA 1705</v>
          </cell>
          <cell r="E2467">
            <v>90374</v>
          </cell>
          <cell r="F2467" t="b">
            <v>0</v>
          </cell>
          <cell r="G2467">
            <v>7135.3674876661398</v>
          </cell>
          <cell r="H2467">
            <v>6578.4615269841597</v>
          </cell>
        </row>
        <row r="2468">
          <cell r="B2468" t="str">
            <v>PEORIA 1705999</v>
          </cell>
          <cell r="C2468">
            <v>163781705</v>
          </cell>
          <cell r="D2468" t="str">
            <v>PEORIA 1705</v>
          </cell>
          <cell r="E2468">
            <v>999</v>
          </cell>
          <cell r="F2468" t="b">
            <v>0</v>
          </cell>
          <cell r="G2468">
            <v>3715.0603618738301</v>
          </cell>
          <cell r="H2468">
            <v>3715.0603618738301</v>
          </cell>
        </row>
        <row r="2469">
          <cell r="B2469" t="str">
            <v>PEORIA 1705CB</v>
          </cell>
          <cell r="C2469">
            <v>163781705</v>
          </cell>
          <cell r="D2469" t="str">
            <v>PEORIA 1705</v>
          </cell>
          <cell r="E2469" t="str">
            <v>CB</v>
          </cell>
          <cell r="F2469" t="b">
            <v>0</v>
          </cell>
          <cell r="G2469">
            <v>11342.472803180701</v>
          </cell>
          <cell r="H2469">
            <v>11342.472803180701</v>
          </cell>
        </row>
        <row r="2470">
          <cell r="B2470" t="str">
            <v>PERRY 110185870</v>
          </cell>
          <cell r="C2470">
            <v>183071101</v>
          </cell>
          <cell r="D2470" t="str">
            <v>PERRY 1101</v>
          </cell>
          <cell r="E2470">
            <v>85870</v>
          </cell>
          <cell r="F2470" t="b">
            <v>0</v>
          </cell>
          <cell r="G2470">
            <v>27055.957072463199</v>
          </cell>
          <cell r="H2470">
            <v>18409.116918920299</v>
          </cell>
        </row>
        <row r="2471">
          <cell r="B2471" t="str">
            <v>PERRY 1101CB</v>
          </cell>
          <cell r="C2471">
            <v>183071101</v>
          </cell>
          <cell r="D2471" t="str">
            <v>PERRY 1101</v>
          </cell>
          <cell r="E2471" t="str">
            <v>CB</v>
          </cell>
          <cell r="F2471" t="b">
            <v>0</v>
          </cell>
          <cell r="G2471">
            <v>4085.1757496456698</v>
          </cell>
          <cell r="H2471">
            <v>4085.1757496456698</v>
          </cell>
        </row>
        <row r="2472">
          <cell r="B2472" t="str">
            <v>PERRY 1101V72</v>
          </cell>
          <cell r="C2472">
            <v>183071101</v>
          </cell>
          <cell r="D2472" t="str">
            <v>PERRY 1101</v>
          </cell>
          <cell r="E2472" t="str">
            <v>V72</v>
          </cell>
          <cell r="F2472" t="b">
            <v>0</v>
          </cell>
          <cell r="G2472">
            <v>14155.245326050401</v>
          </cell>
          <cell r="H2472">
            <v>9610.0836383306505</v>
          </cell>
        </row>
        <row r="2473">
          <cell r="B2473" t="str">
            <v>PERRY 1101V74</v>
          </cell>
          <cell r="C2473">
            <v>183071101</v>
          </cell>
          <cell r="D2473" t="str">
            <v>PERRY 1101</v>
          </cell>
          <cell r="E2473" t="str">
            <v>V74</v>
          </cell>
          <cell r="F2473" t="b">
            <v>0</v>
          </cell>
          <cell r="G2473">
            <v>8209.05978247229</v>
          </cell>
          <cell r="H2473">
            <v>6901.1377608988496</v>
          </cell>
        </row>
        <row r="2474">
          <cell r="B2474" t="str">
            <v>PERRY 1101V78</v>
          </cell>
          <cell r="C2474">
            <v>183071101</v>
          </cell>
          <cell r="D2474" t="str">
            <v>PERRY 1101</v>
          </cell>
          <cell r="E2474" t="str">
            <v>V78</v>
          </cell>
          <cell r="F2474" t="b">
            <v>0</v>
          </cell>
          <cell r="G2474">
            <v>47471.330229805899</v>
          </cell>
          <cell r="H2474">
            <v>47471.330229805899</v>
          </cell>
        </row>
        <row r="2475">
          <cell r="B2475" t="str">
            <v>PERRY 1101V88</v>
          </cell>
          <cell r="C2475">
            <v>183071101</v>
          </cell>
          <cell r="D2475" t="str">
            <v>PERRY 1101</v>
          </cell>
          <cell r="E2475" t="str">
            <v>V88</v>
          </cell>
          <cell r="F2475" t="b">
            <v>0</v>
          </cell>
          <cell r="G2475">
            <v>5002.73090465121</v>
          </cell>
          <cell r="H2475">
            <v>1732.60648933826</v>
          </cell>
        </row>
        <row r="2476">
          <cell r="B2476" t="str">
            <v>PERRY 1101W10</v>
          </cell>
          <cell r="C2476">
            <v>183071101</v>
          </cell>
          <cell r="D2476" t="str">
            <v>PERRY 1101</v>
          </cell>
          <cell r="E2476" t="str">
            <v>W10</v>
          </cell>
          <cell r="F2476" t="b">
            <v>0</v>
          </cell>
          <cell r="G2476">
            <v>3001.7774901215198</v>
          </cell>
          <cell r="H2476">
            <v>2354.9643949040501</v>
          </cell>
        </row>
        <row r="2477">
          <cell r="B2477" t="str">
            <v>PERRY 1101W12</v>
          </cell>
          <cell r="C2477">
            <v>183071101</v>
          </cell>
          <cell r="D2477" t="str">
            <v>PERRY 1101</v>
          </cell>
          <cell r="E2477" t="str">
            <v>W12</v>
          </cell>
          <cell r="F2477" t="b">
            <v>0</v>
          </cell>
          <cell r="G2477">
            <v>10251.7676886597</v>
          </cell>
          <cell r="H2477">
            <v>6046.1264427954102</v>
          </cell>
        </row>
        <row r="2478">
          <cell r="B2478" t="str">
            <v>PERRY 1101W26</v>
          </cell>
          <cell r="C2478">
            <v>183071101</v>
          </cell>
          <cell r="D2478" t="str">
            <v>PERRY 1101</v>
          </cell>
          <cell r="E2478" t="str">
            <v>W26</v>
          </cell>
          <cell r="F2478" t="b">
            <v>0</v>
          </cell>
          <cell r="G2478">
            <v>4390.4189849072</v>
          </cell>
          <cell r="H2478">
            <v>4390.4189849072</v>
          </cell>
        </row>
        <row r="2479">
          <cell r="B2479" t="str">
            <v>PERRY 1101W52</v>
          </cell>
          <cell r="C2479">
            <v>183071101</v>
          </cell>
          <cell r="D2479" t="str">
            <v>PERRY 1101</v>
          </cell>
          <cell r="E2479" t="str">
            <v>W52</v>
          </cell>
          <cell r="F2479" t="b">
            <v>0</v>
          </cell>
          <cell r="G2479">
            <v>6677.8799809372604</v>
          </cell>
          <cell r="H2479">
            <v>5033.3372512154601</v>
          </cell>
        </row>
        <row r="2480">
          <cell r="B2480" t="str">
            <v>PETALUMA C 1108208</v>
          </cell>
          <cell r="C2480">
            <v>42631108</v>
          </cell>
          <cell r="D2480" t="str">
            <v>PETALUMA C 1108</v>
          </cell>
          <cell r="E2480">
            <v>208</v>
          </cell>
          <cell r="F2480" t="b">
            <v>0</v>
          </cell>
          <cell r="G2480">
            <v>20077.946603296099</v>
          </cell>
          <cell r="H2480">
            <v>20077.946603296099</v>
          </cell>
        </row>
        <row r="2481">
          <cell r="B2481" t="str">
            <v>PETALUMA C 1108233646</v>
          </cell>
          <cell r="C2481">
            <v>42631108</v>
          </cell>
          <cell r="D2481" t="str">
            <v>PETALUMA C 1108</v>
          </cell>
          <cell r="E2481">
            <v>233646</v>
          </cell>
          <cell r="F2481" t="b">
            <v>0</v>
          </cell>
          <cell r="G2481">
            <v>18091.628415207899</v>
          </cell>
          <cell r="H2481">
            <v>15102.561191184401</v>
          </cell>
        </row>
        <row r="2482">
          <cell r="B2482" t="str">
            <v>PETALUMA C 1108296</v>
          </cell>
          <cell r="C2482">
            <v>42631108</v>
          </cell>
          <cell r="D2482" t="str">
            <v>PETALUMA C 1108</v>
          </cell>
          <cell r="E2482">
            <v>296</v>
          </cell>
          <cell r="F2482" t="b">
            <v>0</v>
          </cell>
          <cell r="G2482">
            <v>23764.070070106402</v>
          </cell>
          <cell r="H2482">
            <v>23764.070070106402</v>
          </cell>
        </row>
        <row r="2483">
          <cell r="B2483" t="str">
            <v>PETALUMA C 1108456397</v>
          </cell>
          <cell r="C2483">
            <v>42631108</v>
          </cell>
          <cell r="D2483" t="str">
            <v>PETALUMA C 1108</v>
          </cell>
          <cell r="E2483">
            <v>456397</v>
          </cell>
          <cell r="F2483" t="b">
            <v>0</v>
          </cell>
          <cell r="G2483">
            <v>2239.0721308462998</v>
          </cell>
          <cell r="H2483">
            <v>2239.0721308462998</v>
          </cell>
        </row>
        <row r="2484">
          <cell r="B2484" t="str">
            <v>PETALUMA C 110856774</v>
          </cell>
          <cell r="C2484">
            <v>42631108</v>
          </cell>
          <cell r="D2484" t="str">
            <v>PETALUMA C 1108</v>
          </cell>
          <cell r="E2484">
            <v>56774</v>
          </cell>
          <cell r="F2484" t="b">
            <v>1</v>
          </cell>
          <cell r="G2484">
            <v>4425.2807264655503</v>
          </cell>
          <cell r="H2484">
            <v>385.08706667201398</v>
          </cell>
        </row>
        <row r="2485">
          <cell r="B2485" t="str">
            <v>PETALUMA C 1108600</v>
          </cell>
          <cell r="C2485">
            <v>42631108</v>
          </cell>
          <cell r="D2485" t="str">
            <v>PETALUMA C 1108</v>
          </cell>
          <cell r="E2485">
            <v>600</v>
          </cell>
          <cell r="F2485" t="b">
            <v>0</v>
          </cell>
          <cell r="G2485">
            <v>11716.5391015721</v>
          </cell>
          <cell r="H2485">
            <v>5966.5275794604504</v>
          </cell>
        </row>
        <row r="2486">
          <cell r="B2486" t="str">
            <v>PETALUMA C 1108618</v>
          </cell>
          <cell r="C2486">
            <v>42631108</v>
          </cell>
          <cell r="D2486" t="str">
            <v>PETALUMA C 1108</v>
          </cell>
          <cell r="E2486">
            <v>618</v>
          </cell>
          <cell r="F2486" t="b">
            <v>0</v>
          </cell>
          <cell r="G2486">
            <v>17470.740700868901</v>
          </cell>
          <cell r="H2486">
            <v>13890.260092712801</v>
          </cell>
        </row>
        <row r="2487">
          <cell r="B2487" t="str">
            <v>PETALUMA C 1108630</v>
          </cell>
          <cell r="C2487">
            <v>42631108</v>
          </cell>
          <cell r="D2487" t="str">
            <v>PETALUMA C 1108</v>
          </cell>
          <cell r="E2487">
            <v>630</v>
          </cell>
          <cell r="F2487" t="b">
            <v>0</v>
          </cell>
          <cell r="G2487">
            <v>6902.8393765048804</v>
          </cell>
          <cell r="H2487">
            <v>2654.06516981808</v>
          </cell>
        </row>
        <row r="2488">
          <cell r="B2488" t="str">
            <v>PETALUMA C 1108632</v>
          </cell>
          <cell r="C2488">
            <v>42631108</v>
          </cell>
          <cell r="D2488" t="str">
            <v>PETALUMA C 1108</v>
          </cell>
          <cell r="E2488">
            <v>632</v>
          </cell>
          <cell r="F2488" t="b">
            <v>0</v>
          </cell>
          <cell r="G2488">
            <v>23697.802421078501</v>
          </cell>
          <cell r="H2488">
            <v>23697.802421078501</v>
          </cell>
        </row>
        <row r="2489">
          <cell r="B2489" t="str">
            <v>PETALUMA C 1108636</v>
          </cell>
          <cell r="C2489">
            <v>42631108</v>
          </cell>
          <cell r="D2489" t="str">
            <v>PETALUMA C 1108</v>
          </cell>
          <cell r="E2489">
            <v>636</v>
          </cell>
          <cell r="F2489" t="b">
            <v>0</v>
          </cell>
          <cell r="G2489">
            <v>15178.981567315401</v>
          </cell>
          <cell r="H2489">
            <v>15178.981567315401</v>
          </cell>
        </row>
        <row r="2490">
          <cell r="B2490" t="str">
            <v>PETALUMA C 1109128</v>
          </cell>
          <cell r="C2490">
            <v>42631109</v>
          </cell>
          <cell r="D2490" t="str">
            <v>PETALUMA C 1109</v>
          </cell>
          <cell r="E2490">
            <v>128</v>
          </cell>
          <cell r="F2490" t="b">
            <v>0</v>
          </cell>
          <cell r="G2490">
            <v>60127.540614202102</v>
          </cell>
          <cell r="H2490">
            <v>56205.369430799299</v>
          </cell>
        </row>
        <row r="2491">
          <cell r="B2491" t="str">
            <v>PETALUMA C 1109270</v>
          </cell>
          <cell r="C2491">
            <v>42631109</v>
          </cell>
          <cell r="D2491" t="str">
            <v>PETALUMA C 1109</v>
          </cell>
          <cell r="E2491">
            <v>270</v>
          </cell>
          <cell r="F2491" t="b">
            <v>0</v>
          </cell>
          <cell r="G2491">
            <v>12312.4188077407</v>
          </cell>
          <cell r="H2491">
            <v>3397.4138225511601</v>
          </cell>
        </row>
        <row r="2492">
          <cell r="B2492" t="str">
            <v>PETALUMA C 1109373772</v>
          </cell>
          <cell r="C2492">
            <v>42631109</v>
          </cell>
          <cell r="D2492" t="str">
            <v>PETALUMA C 1109</v>
          </cell>
          <cell r="E2492">
            <v>373772</v>
          </cell>
          <cell r="F2492" t="b">
            <v>1</v>
          </cell>
          <cell r="G2492">
            <v>28.6690605006143</v>
          </cell>
          <cell r="H2492">
            <v>28.6690605006143</v>
          </cell>
        </row>
        <row r="2493">
          <cell r="B2493" t="str">
            <v>PETALUMA C 110948000</v>
          </cell>
          <cell r="C2493">
            <v>42631109</v>
          </cell>
          <cell r="D2493" t="str">
            <v>PETALUMA C 1109</v>
          </cell>
          <cell r="E2493">
            <v>48000</v>
          </cell>
          <cell r="F2493" t="b">
            <v>0</v>
          </cell>
          <cell r="G2493">
            <v>21345.649579788598</v>
          </cell>
          <cell r="H2493">
            <v>15284.014480240199</v>
          </cell>
        </row>
        <row r="2494">
          <cell r="B2494" t="str">
            <v>PETALUMA C 1109664732</v>
          </cell>
          <cell r="C2494">
            <v>42631109</v>
          </cell>
          <cell r="D2494" t="str">
            <v>PETALUMA C 1109</v>
          </cell>
          <cell r="E2494">
            <v>664732</v>
          </cell>
          <cell r="F2494" t="b">
            <v>0</v>
          </cell>
          <cell r="G2494">
            <v>1437.8146542743</v>
          </cell>
          <cell r="H2494">
            <v>1437.8146542743</v>
          </cell>
        </row>
        <row r="2495">
          <cell r="B2495" t="str">
            <v>PETALUMA C 1109738866</v>
          </cell>
          <cell r="C2495">
            <v>42631109</v>
          </cell>
          <cell r="D2495" t="str">
            <v>PETALUMA C 1109</v>
          </cell>
          <cell r="E2495">
            <v>738866</v>
          </cell>
          <cell r="F2495" t="b">
            <v>0</v>
          </cell>
          <cell r="G2495">
            <v>4335.7411942445497</v>
          </cell>
          <cell r="H2495">
            <v>3280.2516148375198</v>
          </cell>
        </row>
        <row r="2496">
          <cell r="B2496" t="str">
            <v>PETALUMA C 1109857148</v>
          </cell>
          <cell r="C2496">
            <v>42631109</v>
          </cell>
          <cell r="D2496" t="str">
            <v>PETALUMA C 1109</v>
          </cell>
          <cell r="E2496">
            <v>857148</v>
          </cell>
          <cell r="F2496" t="b">
            <v>0</v>
          </cell>
          <cell r="G2496">
            <v>3180.8040777453998</v>
          </cell>
          <cell r="H2496">
            <v>1503.7135075287999</v>
          </cell>
        </row>
        <row r="2497">
          <cell r="B2497" t="str">
            <v>PHILO 11013700</v>
          </cell>
          <cell r="C2497">
            <v>42601101</v>
          </cell>
          <cell r="D2497" t="str">
            <v>PHILO 1101</v>
          </cell>
          <cell r="E2497">
            <v>3700</v>
          </cell>
          <cell r="F2497" t="b">
            <v>0</v>
          </cell>
          <cell r="G2497">
            <v>29156.044944835601</v>
          </cell>
          <cell r="H2497">
            <v>29156.044944835601</v>
          </cell>
        </row>
        <row r="2498">
          <cell r="B2498" t="str">
            <v>PHILO 110137222</v>
          </cell>
          <cell r="C2498">
            <v>42601101</v>
          </cell>
          <cell r="D2498" t="str">
            <v>PHILO 1101</v>
          </cell>
          <cell r="E2498">
            <v>37222</v>
          </cell>
          <cell r="F2498" t="b">
            <v>0</v>
          </cell>
          <cell r="G2498">
            <v>40893.175821855002</v>
          </cell>
          <cell r="H2498">
            <v>40893.175821855002</v>
          </cell>
        </row>
        <row r="2499">
          <cell r="B2499" t="str">
            <v>PHILO 1101CB</v>
          </cell>
          <cell r="C2499">
            <v>42601101</v>
          </cell>
          <cell r="D2499" t="str">
            <v>PHILO 1101</v>
          </cell>
          <cell r="E2499" t="str">
            <v>CB</v>
          </cell>
          <cell r="F2499" t="b">
            <v>0</v>
          </cell>
          <cell r="G2499">
            <v>79932.407134455803</v>
          </cell>
          <cell r="H2499">
            <v>51306.398515411798</v>
          </cell>
        </row>
        <row r="2500">
          <cell r="B2500" t="str">
            <v>PHILO 11021308</v>
          </cell>
          <cell r="C2500">
            <v>42601102</v>
          </cell>
          <cell r="D2500" t="str">
            <v>PHILO 1102</v>
          </cell>
          <cell r="E2500">
            <v>1308</v>
          </cell>
          <cell r="F2500" t="b">
            <v>0</v>
          </cell>
          <cell r="G2500">
            <v>51491.544133408403</v>
          </cell>
          <cell r="H2500">
            <v>51491.544133408403</v>
          </cell>
        </row>
        <row r="2501">
          <cell r="B2501" t="str">
            <v>PHILO 11022600</v>
          </cell>
          <cell r="C2501">
            <v>42601102</v>
          </cell>
          <cell r="D2501" t="str">
            <v>PHILO 1102</v>
          </cell>
          <cell r="E2501">
            <v>2600</v>
          </cell>
          <cell r="F2501" t="b">
            <v>0</v>
          </cell>
          <cell r="G2501">
            <v>32204.72156192</v>
          </cell>
          <cell r="H2501">
            <v>32204.72156192</v>
          </cell>
        </row>
        <row r="2502">
          <cell r="B2502" t="str">
            <v>PHILO 1102920</v>
          </cell>
          <cell r="C2502">
            <v>42601102</v>
          </cell>
          <cell r="D2502" t="str">
            <v>PHILO 1102</v>
          </cell>
          <cell r="E2502">
            <v>920</v>
          </cell>
          <cell r="F2502" t="b">
            <v>0</v>
          </cell>
          <cell r="G2502">
            <v>42024.2659074072</v>
          </cell>
          <cell r="H2502">
            <v>28596.0081571474</v>
          </cell>
        </row>
        <row r="2503">
          <cell r="B2503" t="str">
            <v>PHILO 1102928</v>
          </cell>
          <cell r="C2503">
            <v>42601102</v>
          </cell>
          <cell r="D2503" t="str">
            <v>PHILO 1102</v>
          </cell>
          <cell r="E2503">
            <v>928</v>
          </cell>
          <cell r="F2503" t="b">
            <v>0</v>
          </cell>
          <cell r="G2503">
            <v>24779.274006871601</v>
          </cell>
          <cell r="H2503">
            <v>22468.3871195307</v>
          </cell>
        </row>
        <row r="2504">
          <cell r="B2504" t="str">
            <v>PHILO 1102CB</v>
          </cell>
          <cell r="C2504">
            <v>42601102</v>
          </cell>
          <cell r="D2504" t="str">
            <v>PHILO 1102</v>
          </cell>
          <cell r="E2504" t="str">
            <v>CB</v>
          </cell>
          <cell r="F2504" t="b">
            <v>0</v>
          </cell>
          <cell r="G2504">
            <v>20191.541074276</v>
          </cell>
          <cell r="H2504">
            <v>12387.714699199199</v>
          </cell>
        </row>
        <row r="2505">
          <cell r="B2505" t="str">
            <v>PIERCY 2110XR258</v>
          </cell>
          <cell r="C2505">
            <v>83912110</v>
          </cell>
          <cell r="D2505" t="str">
            <v>PIERCY 2110</v>
          </cell>
          <cell r="E2505" t="str">
            <v>XR258</v>
          </cell>
          <cell r="F2505" t="b">
            <v>0</v>
          </cell>
          <cell r="G2505">
            <v>42613.402133923497</v>
          </cell>
          <cell r="H2505">
            <v>35307.703016128602</v>
          </cell>
        </row>
        <row r="2506">
          <cell r="B2506" t="str">
            <v>PIKE CITY 11011720</v>
          </cell>
          <cell r="C2506">
            <v>152201101</v>
          </cell>
          <cell r="D2506" t="str">
            <v>PIKE CITY 1101</v>
          </cell>
          <cell r="E2506">
            <v>1720</v>
          </cell>
          <cell r="F2506" t="b">
            <v>0</v>
          </cell>
          <cell r="G2506">
            <v>9489.08484912323</v>
          </cell>
          <cell r="H2506">
            <v>9489.08484912323</v>
          </cell>
        </row>
        <row r="2507">
          <cell r="B2507" t="str">
            <v>PIKE CITY 11011730</v>
          </cell>
          <cell r="C2507">
            <v>152201101</v>
          </cell>
          <cell r="D2507" t="str">
            <v>PIKE CITY 1101</v>
          </cell>
          <cell r="E2507">
            <v>1730</v>
          </cell>
          <cell r="F2507" t="b">
            <v>0</v>
          </cell>
          <cell r="G2507">
            <v>13645.475866172101</v>
          </cell>
          <cell r="H2507">
            <v>13645.475866172101</v>
          </cell>
        </row>
        <row r="2508">
          <cell r="B2508" t="str">
            <v>PIKE CITY 1101CB</v>
          </cell>
          <cell r="C2508">
            <v>152201101</v>
          </cell>
          <cell r="D2508" t="str">
            <v>PIKE CITY 1101</v>
          </cell>
          <cell r="E2508" t="str">
            <v>CB</v>
          </cell>
          <cell r="F2508" t="b">
            <v>0</v>
          </cell>
          <cell r="G2508">
            <v>31622.6383629048</v>
          </cell>
          <cell r="H2508">
            <v>31622.6383629048</v>
          </cell>
        </row>
        <row r="2509">
          <cell r="B2509" t="str">
            <v>PIKE CITY 1102CB</v>
          </cell>
          <cell r="C2509">
            <v>152201102</v>
          </cell>
          <cell r="D2509" t="str">
            <v>PIKE CITY 1102</v>
          </cell>
          <cell r="E2509" t="str">
            <v>CB</v>
          </cell>
          <cell r="F2509" t="b">
            <v>0</v>
          </cell>
          <cell r="G2509">
            <v>15315.8587397683</v>
          </cell>
          <cell r="H2509">
            <v>15315.8587397683</v>
          </cell>
        </row>
        <row r="2510">
          <cell r="B2510" t="str">
            <v>PINE GROVE 11011021</v>
          </cell>
          <cell r="C2510">
            <v>163751101</v>
          </cell>
          <cell r="D2510" t="str">
            <v>PINE GROVE 1101</v>
          </cell>
          <cell r="E2510">
            <v>1021</v>
          </cell>
          <cell r="F2510" t="b">
            <v>0</v>
          </cell>
          <cell r="G2510">
            <v>6702.9103223664197</v>
          </cell>
          <cell r="H2510">
            <v>6702.9103223664197</v>
          </cell>
        </row>
        <row r="2511">
          <cell r="B2511" t="str">
            <v>PINE GROVE 11013166</v>
          </cell>
          <cell r="C2511">
            <v>163751101</v>
          </cell>
          <cell r="D2511" t="str">
            <v>PINE GROVE 1101</v>
          </cell>
          <cell r="E2511">
            <v>3166</v>
          </cell>
          <cell r="F2511" t="b">
            <v>0</v>
          </cell>
          <cell r="G2511">
            <v>19778.1528035023</v>
          </cell>
          <cell r="H2511">
            <v>19778.1528035023</v>
          </cell>
        </row>
        <row r="2512">
          <cell r="B2512" t="str">
            <v>PINE GROVE 11013170</v>
          </cell>
          <cell r="C2512">
            <v>163751101</v>
          </cell>
          <cell r="D2512" t="str">
            <v>PINE GROVE 1101</v>
          </cell>
          <cell r="E2512">
            <v>3170</v>
          </cell>
          <cell r="F2512" t="b">
            <v>0</v>
          </cell>
          <cell r="G2512">
            <v>64049.8846020684</v>
          </cell>
          <cell r="H2512">
            <v>64049.8846020684</v>
          </cell>
        </row>
        <row r="2513">
          <cell r="B2513" t="str">
            <v>PINE GROVE 110152088</v>
          </cell>
          <cell r="C2513">
            <v>163751101</v>
          </cell>
          <cell r="D2513" t="str">
            <v>PINE GROVE 1101</v>
          </cell>
          <cell r="E2513">
            <v>52088</v>
          </cell>
          <cell r="F2513" t="b">
            <v>0</v>
          </cell>
          <cell r="G2513">
            <v>3986.2342185697798</v>
          </cell>
          <cell r="H2513">
            <v>3986.2342185697798</v>
          </cell>
        </row>
        <row r="2514">
          <cell r="B2514" t="str">
            <v>PINE GROVE 110194936</v>
          </cell>
          <cell r="C2514">
            <v>163751101</v>
          </cell>
          <cell r="D2514" t="str">
            <v>PINE GROVE 1101</v>
          </cell>
          <cell r="E2514">
            <v>94936</v>
          </cell>
          <cell r="F2514" t="b">
            <v>0</v>
          </cell>
          <cell r="G2514">
            <v>14750.285629361801</v>
          </cell>
          <cell r="H2514">
            <v>14750.285629361801</v>
          </cell>
        </row>
        <row r="2515">
          <cell r="B2515" t="str">
            <v>PINE GROVE 1101CB</v>
          </cell>
          <cell r="C2515">
            <v>163751101</v>
          </cell>
          <cell r="D2515" t="str">
            <v>PINE GROVE 1101</v>
          </cell>
          <cell r="E2515" t="str">
            <v>CB</v>
          </cell>
          <cell r="F2515" t="b">
            <v>0</v>
          </cell>
          <cell r="G2515">
            <v>6922.9716766168704</v>
          </cell>
          <cell r="H2515">
            <v>6922.9716766168704</v>
          </cell>
        </row>
        <row r="2516">
          <cell r="B2516" t="str">
            <v>PINE GROVE 11021222</v>
          </cell>
          <cell r="C2516">
            <v>163751102</v>
          </cell>
          <cell r="D2516" t="str">
            <v>PINE GROVE 1102</v>
          </cell>
          <cell r="E2516">
            <v>1222</v>
          </cell>
          <cell r="F2516" t="b">
            <v>0</v>
          </cell>
          <cell r="G2516">
            <v>27771.0152789848</v>
          </cell>
          <cell r="H2516">
            <v>27771.0152789848</v>
          </cell>
        </row>
        <row r="2517">
          <cell r="B2517" t="str">
            <v>PINE GROVE 110213438</v>
          </cell>
          <cell r="C2517">
            <v>163751102</v>
          </cell>
          <cell r="D2517" t="str">
            <v>PINE GROVE 1102</v>
          </cell>
          <cell r="E2517">
            <v>13438</v>
          </cell>
          <cell r="F2517" t="b">
            <v>0</v>
          </cell>
          <cell r="G2517">
            <v>26618.918050447501</v>
          </cell>
          <cell r="H2517">
            <v>26618.918050447501</v>
          </cell>
        </row>
        <row r="2518">
          <cell r="B2518" t="str">
            <v>PINE GROVE 11021765</v>
          </cell>
          <cell r="C2518">
            <v>163751102</v>
          </cell>
          <cell r="D2518" t="str">
            <v>PINE GROVE 1102</v>
          </cell>
          <cell r="E2518">
            <v>1765</v>
          </cell>
          <cell r="F2518" t="b">
            <v>0</v>
          </cell>
          <cell r="G2518">
            <v>2336.79522377698</v>
          </cell>
          <cell r="H2518">
            <v>2336.79522377698</v>
          </cell>
        </row>
        <row r="2519">
          <cell r="B2519" t="str">
            <v>PINE GROVE 11023168</v>
          </cell>
          <cell r="C2519">
            <v>163751102</v>
          </cell>
          <cell r="D2519" t="str">
            <v>PINE GROVE 1102</v>
          </cell>
          <cell r="E2519">
            <v>3168</v>
          </cell>
          <cell r="F2519" t="b">
            <v>0</v>
          </cell>
          <cell r="G2519">
            <v>48228.396067026202</v>
          </cell>
          <cell r="H2519">
            <v>48228.396067026202</v>
          </cell>
        </row>
        <row r="2520">
          <cell r="B2520" t="str">
            <v>PINE GROVE 11023172</v>
          </cell>
          <cell r="C2520">
            <v>163751102</v>
          </cell>
          <cell r="D2520" t="str">
            <v>PINE GROVE 1102</v>
          </cell>
          <cell r="E2520">
            <v>3172</v>
          </cell>
          <cell r="F2520" t="b">
            <v>0</v>
          </cell>
          <cell r="G2520">
            <v>60635.990525064502</v>
          </cell>
          <cell r="H2520">
            <v>60635.990525064502</v>
          </cell>
        </row>
        <row r="2521">
          <cell r="B2521" t="str">
            <v>PINE GROVE 110235576</v>
          </cell>
          <cell r="C2521">
            <v>163751102</v>
          </cell>
          <cell r="D2521" t="str">
            <v>PINE GROVE 1102</v>
          </cell>
          <cell r="E2521">
            <v>35576</v>
          </cell>
          <cell r="F2521" t="b">
            <v>0</v>
          </cell>
          <cell r="G2521">
            <v>12676.9830238183</v>
          </cell>
          <cell r="H2521">
            <v>12676.9830238183</v>
          </cell>
        </row>
        <row r="2522">
          <cell r="B2522" t="str">
            <v>PINE GROVE 110245292</v>
          </cell>
          <cell r="C2522">
            <v>163751102</v>
          </cell>
          <cell r="D2522" t="str">
            <v>PINE GROVE 1102</v>
          </cell>
          <cell r="E2522">
            <v>45292</v>
          </cell>
          <cell r="F2522" t="b">
            <v>0</v>
          </cell>
          <cell r="G2522">
            <v>17350.604704662601</v>
          </cell>
          <cell r="H2522">
            <v>17350.604704662601</v>
          </cell>
        </row>
        <row r="2523">
          <cell r="B2523" t="str">
            <v>PINE GROVE 1102467560</v>
          </cell>
          <cell r="C2523">
            <v>163751102</v>
          </cell>
          <cell r="D2523" t="str">
            <v>PINE GROVE 1102</v>
          </cell>
          <cell r="E2523">
            <v>467560</v>
          </cell>
          <cell r="F2523" t="b">
            <v>0</v>
          </cell>
          <cell r="G2523">
            <v>3279.1789688397998</v>
          </cell>
          <cell r="H2523">
            <v>3279.1789688397998</v>
          </cell>
        </row>
        <row r="2524">
          <cell r="B2524" t="str">
            <v>PINE GROVE 11026080</v>
          </cell>
          <cell r="C2524">
            <v>163751102</v>
          </cell>
          <cell r="D2524" t="str">
            <v>PINE GROVE 1102</v>
          </cell>
          <cell r="E2524">
            <v>6080</v>
          </cell>
          <cell r="F2524" t="b">
            <v>0</v>
          </cell>
          <cell r="G2524">
            <v>55307.762850594001</v>
          </cell>
          <cell r="H2524">
            <v>55307.762850594001</v>
          </cell>
        </row>
        <row r="2525">
          <cell r="B2525" t="str">
            <v>PINE GROVE 110283098</v>
          </cell>
          <cell r="C2525">
            <v>163751102</v>
          </cell>
          <cell r="D2525" t="str">
            <v>PINE GROVE 1102</v>
          </cell>
          <cell r="E2525">
            <v>83098</v>
          </cell>
          <cell r="F2525" t="b">
            <v>0</v>
          </cell>
          <cell r="G2525">
            <v>12739.0076906493</v>
          </cell>
          <cell r="H2525">
            <v>12739.0076906493</v>
          </cell>
        </row>
        <row r="2526">
          <cell r="B2526" t="str">
            <v>PINE GROVE 1102CB</v>
          </cell>
          <cell r="C2526">
            <v>163751102</v>
          </cell>
          <cell r="D2526" t="str">
            <v>PINE GROVE 1102</v>
          </cell>
          <cell r="E2526" t="str">
            <v>CB</v>
          </cell>
          <cell r="F2526" t="b">
            <v>0</v>
          </cell>
          <cell r="G2526">
            <v>17461.9206432467</v>
          </cell>
          <cell r="H2526">
            <v>17461.9206432467</v>
          </cell>
        </row>
        <row r="2527">
          <cell r="B2527" t="str">
            <v>PINECREST 04011818</v>
          </cell>
          <cell r="C2527">
            <v>163160401</v>
          </cell>
          <cell r="D2527" t="str">
            <v>PINECREST 0401</v>
          </cell>
          <cell r="E2527">
            <v>1818</v>
          </cell>
          <cell r="F2527" t="b">
            <v>0</v>
          </cell>
          <cell r="G2527">
            <v>5027.4830345216997</v>
          </cell>
          <cell r="H2527">
            <v>4942.4922770452304</v>
          </cell>
        </row>
        <row r="2528">
          <cell r="B2528" t="str">
            <v>PINECREST 0401CB</v>
          </cell>
          <cell r="C2528">
            <v>163160401</v>
          </cell>
          <cell r="D2528" t="str">
            <v>PINECREST 0401</v>
          </cell>
          <cell r="E2528" t="str">
            <v>CB</v>
          </cell>
          <cell r="F2528" t="b">
            <v>1</v>
          </cell>
          <cell r="G2528">
            <v>22.2054786528618</v>
          </cell>
          <cell r="H2528">
            <v>22.2054786528618</v>
          </cell>
        </row>
        <row r="2529">
          <cell r="B2529" t="str">
            <v>PIT NO 1 11011552</v>
          </cell>
          <cell r="C2529">
            <v>103721101</v>
          </cell>
          <cell r="D2529" t="str">
            <v>PIT NO 1 1101</v>
          </cell>
          <cell r="E2529">
            <v>1552</v>
          </cell>
          <cell r="F2529" t="b">
            <v>0</v>
          </cell>
          <cell r="G2529">
            <v>42573.193911050199</v>
          </cell>
          <cell r="H2529">
            <v>23841.599243658999</v>
          </cell>
        </row>
        <row r="2530">
          <cell r="B2530" t="str">
            <v>PIT NO 1 11013312</v>
          </cell>
          <cell r="C2530">
            <v>103721101</v>
          </cell>
          <cell r="D2530" t="str">
            <v>PIT NO 1 1101</v>
          </cell>
          <cell r="E2530">
            <v>3312</v>
          </cell>
          <cell r="F2530" t="b">
            <v>0</v>
          </cell>
          <cell r="G2530">
            <v>14682.625250262399</v>
          </cell>
          <cell r="H2530">
            <v>12944.3528992356</v>
          </cell>
        </row>
        <row r="2531">
          <cell r="B2531" t="str">
            <v>PIT NO 1 110170952</v>
          </cell>
          <cell r="C2531">
            <v>103721101</v>
          </cell>
          <cell r="D2531" t="str">
            <v>PIT NO 1 1101</v>
          </cell>
          <cell r="E2531">
            <v>70952</v>
          </cell>
          <cell r="F2531" t="b">
            <v>0</v>
          </cell>
          <cell r="G2531">
            <v>2749.7948757733102</v>
          </cell>
          <cell r="H2531">
            <v>2724.6488159811502</v>
          </cell>
        </row>
        <row r="2532">
          <cell r="B2532" t="str">
            <v>PIT NO 1 11019702</v>
          </cell>
          <cell r="C2532">
            <v>103721101</v>
          </cell>
          <cell r="D2532" t="str">
            <v>PIT NO 1 1101</v>
          </cell>
          <cell r="E2532">
            <v>9702</v>
          </cell>
          <cell r="F2532" t="b">
            <v>0</v>
          </cell>
          <cell r="G2532">
            <v>14797.5759843501</v>
          </cell>
          <cell r="H2532">
            <v>1035.91674067637</v>
          </cell>
        </row>
        <row r="2533">
          <cell r="B2533" t="str">
            <v>PIT NO 1 1101CB</v>
          </cell>
          <cell r="C2533">
            <v>103721101</v>
          </cell>
          <cell r="D2533" t="str">
            <v>PIT NO 1 1101</v>
          </cell>
          <cell r="E2533" t="str">
            <v>CB</v>
          </cell>
          <cell r="F2533" t="b">
            <v>0</v>
          </cell>
          <cell r="G2533">
            <v>10535.3715930013</v>
          </cell>
          <cell r="H2533">
            <v>10535.3715930013</v>
          </cell>
        </row>
        <row r="2534">
          <cell r="B2534" t="str">
            <v>PIT NO 3 21011360</v>
          </cell>
          <cell r="C2534">
            <v>103732101</v>
          </cell>
          <cell r="D2534" t="str">
            <v>PIT NO 3 2101</v>
          </cell>
          <cell r="E2534">
            <v>1360</v>
          </cell>
          <cell r="F2534" t="b">
            <v>0</v>
          </cell>
          <cell r="G2534">
            <v>36445.278661739299</v>
          </cell>
          <cell r="H2534">
            <v>36106.629683857303</v>
          </cell>
        </row>
        <row r="2535">
          <cell r="B2535" t="str">
            <v>PIT NO 3 21011386</v>
          </cell>
          <cell r="C2535">
            <v>103732101</v>
          </cell>
          <cell r="D2535" t="str">
            <v>PIT NO 3 2101</v>
          </cell>
          <cell r="E2535">
            <v>1386</v>
          </cell>
          <cell r="F2535" t="b">
            <v>0</v>
          </cell>
          <cell r="G2535">
            <v>11052.9537052453</v>
          </cell>
          <cell r="H2535">
            <v>11052.9537052453</v>
          </cell>
        </row>
        <row r="2536">
          <cell r="B2536" t="str">
            <v>PIT NO 3 21011480</v>
          </cell>
          <cell r="C2536">
            <v>103732101</v>
          </cell>
          <cell r="D2536" t="str">
            <v>PIT NO 3 2101</v>
          </cell>
          <cell r="E2536">
            <v>1480</v>
          </cell>
          <cell r="F2536" t="b">
            <v>0</v>
          </cell>
          <cell r="G2536">
            <v>3913.33409087975</v>
          </cell>
          <cell r="H2536">
            <v>3463.9370574396698</v>
          </cell>
        </row>
        <row r="2537">
          <cell r="B2537" t="str">
            <v>PIT NO 3 21011482</v>
          </cell>
          <cell r="C2537">
            <v>103732101</v>
          </cell>
          <cell r="D2537" t="str">
            <v>PIT NO 3 2101</v>
          </cell>
          <cell r="E2537">
            <v>1482</v>
          </cell>
          <cell r="F2537" t="b">
            <v>0</v>
          </cell>
          <cell r="G2537">
            <v>19365.264454132299</v>
          </cell>
          <cell r="H2537">
            <v>19365.264454132299</v>
          </cell>
        </row>
        <row r="2538">
          <cell r="B2538" t="str">
            <v>PIT NO 3 2101CB</v>
          </cell>
          <cell r="C2538">
            <v>103732101</v>
          </cell>
          <cell r="D2538" t="str">
            <v>PIT NO 3 2101</v>
          </cell>
          <cell r="E2538" t="str">
            <v>CB</v>
          </cell>
          <cell r="F2538" t="b">
            <v>0</v>
          </cell>
          <cell r="G2538">
            <v>7292.0294117795402</v>
          </cell>
          <cell r="H2538">
            <v>7292.0294117795402</v>
          </cell>
        </row>
        <row r="2539">
          <cell r="B2539" t="str">
            <v>PIT NO 5 11011606</v>
          </cell>
          <cell r="C2539">
            <v>101321101</v>
          </cell>
          <cell r="D2539" t="str">
            <v>PIT NO 5 1101</v>
          </cell>
          <cell r="E2539">
            <v>1606</v>
          </cell>
          <cell r="F2539" t="b">
            <v>0</v>
          </cell>
          <cell r="G2539">
            <v>8892.9458594664902</v>
          </cell>
          <cell r="H2539">
            <v>8892.9458594664902</v>
          </cell>
        </row>
        <row r="2540">
          <cell r="B2540" t="str">
            <v>PIT NO 5 11011614</v>
          </cell>
          <cell r="C2540">
            <v>101321101</v>
          </cell>
          <cell r="D2540" t="str">
            <v>PIT NO 5 1101</v>
          </cell>
          <cell r="E2540">
            <v>1614</v>
          </cell>
          <cell r="F2540" t="b">
            <v>0</v>
          </cell>
          <cell r="G2540">
            <v>3000.41116634024</v>
          </cell>
          <cell r="H2540">
            <v>3000.41116634024</v>
          </cell>
        </row>
        <row r="2541">
          <cell r="B2541" t="str">
            <v>PIT NO 5 11011618</v>
          </cell>
          <cell r="C2541">
            <v>101321101</v>
          </cell>
          <cell r="D2541" t="str">
            <v>PIT NO 5 1101</v>
          </cell>
          <cell r="E2541">
            <v>1618</v>
          </cell>
          <cell r="F2541" t="b">
            <v>0</v>
          </cell>
          <cell r="G2541">
            <v>9746.1597558651392</v>
          </cell>
          <cell r="H2541">
            <v>9746.1597558651392</v>
          </cell>
        </row>
        <row r="2542">
          <cell r="B2542" t="str">
            <v>PIT NO 5 11011658</v>
          </cell>
          <cell r="C2542">
            <v>101321101</v>
          </cell>
          <cell r="D2542" t="str">
            <v>PIT NO 5 1101</v>
          </cell>
          <cell r="E2542">
            <v>1658</v>
          </cell>
          <cell r="F2542" t="b">
            <v>0</v>
          </cell>
          <cell r="G2542">
            <v>7306.3402334715702</v>
          </cell>
          <cell r="H2542">
            <v>7306.3402334715702</v>
          </cell>
        </row>
        <row r="2543">
          <cell r="B2543" t="str">
            <v>PIT NO 5 11011660</v>
          </cell>
          <cell r="C2543">
            <v>101321101</v>
          </cell>
          <cell r="D2543" t="str">
            <v>PIT NO 5 1101</v>
          </cell>
          <cell r="E2543">
            <v>1660</v>
          </cell>
          <cell r="F2543" t="b">
            <v>0</v>
          </cell>
          <cell r="G2543">
            <v>7855.6792934936202</v>
          </cell>
          <cell r="H2543">
            <v>7855.6792934936202</v>
          </cell>
        </row>
        <row r="2544">
          <cell r="B2544" t="str">
            <v>PIT NO 5 110190846</v>
          </cell>
          <cell r="C2544">
            <v>101321101</v>
          </cell>
          <cell r="D2544" t="str">
            <v>PIT NO 5 1101</v>
          </cell>
          <cell r="E2544">
            <v>90846</v>
          </cell>
          <cell r="F2544" t="b">
            <v>1</v>
          </cell>
          <cell r="G2544">
            <v>149.20496905529001</v>
          </cell>
          <cell r="H2544">
            <v>149.20496905529001</v>
          </cell>
        </row>
        <row r="2545">
          <cell r="B2545" t="str">
            <v>PIT NO 5 1101CB</v>
          </cell>
          <cell r="C2545">
            <v>101321101</v>
          </cell>
          <cell r="D2545" t="str">
            <v>PIT NO 5 1101</v>
          </cell>
          <cell r="E2545" t="str">
            <v>CB</v>
          </cell>
          <cell r="F2545" t="b">
            <v>0</v>
          </cell>
          <cell r="G2545">
            <v>1162.2395219073001</v>
          </cell>
          <cell r="H2545">
            <v>1162.2395219073001</v>
          </cell>
        </row>
        <row r="2546">
          <cell r="B2546" t="str">
            <v>PIT NO 7 1101CB</v>
          </cell>
          <cell r="C2546">
            <v>103501101</v>
          </cell>
          <cell r="D2546" t="str">
            <v>PIT NO 7 1101</v>
          </cell>
          <cell r="E2546" t="str">
            <v>CB</v>
          </cell>
          <cell r="F2546" t="b">
            <v>0</v>
          </cell>
          <cell r="G2546">
            <v>4357.8456708900603</v>
          </cell>
          <cell r="H2546">
            <v>4357.8456708900603</v>
          </cell>
        </row>
        <row r="2547">
          <cell r="B2547" t="str">
            <v>PLACER 1101106534</v>
          </cell>
          <cell r="C2547">
            <v>152461101</v>
          </cell>
          <cell r="D2547" t="str">
            <v>PLACER 1101</v>
          </cell>
          <cell r="E2547">
            <v>106534</v>
          </cell>
          <cell r="F2547" t="b">
            <v>0</v>
          </cell>
          <cell r="G2547">
            <v>4199.7802871886997</v>
          </cell>
          <cell r="H2547">
            <v>1949.24830152103</v>
          </cell>
        </row>
        <row r="2548">
          <cell r="B2548" t="str">
            <v>PLACER 1101208930</v>
          </cell>
          <cell r="C2548">
            <v>152461101</v>
          </cell>
          <cell r="D2548" t="str">
            <v>PLACER 1101</v>
          </cell>
          <cell r="E2548">
            <v>208930</v>
          </cell>
          <cell r="F2548" t="b">
            <v>1</v>
          </cell>
          <cell r="G2548">
            <v>1425.5586502657</v>
          </cell>
          <cell r="H2548">
            <v>187.12652976872999</v>
          </cell>
        </row>
        <row r="2549">
          <cell r="B2549" t="str">
            <v>PLACER 1102CB</v>
          </cell>
          <cell r="C2549">
            <v>152461102</v>
          </cell>
          <cell r="D2549" t="str">
            <v>PLACER 1102</v>
          </cell>
          <cell r="E2549" t="str">
            <v>CB</v>
          </cell>
          <cell r="F2549" t="b">
            <v>0</v>
          </cell>
          <cell r="G2549">
            <v>3445.1402868571699</v>
          </cell>
          <cell r="H2549">
            <v>3361.73016112817</v>
          </cell>
        </row>
        <row r="2550">
          <cell r="B2550" t="str">
            <v>PLACER 1103238990</v>
          </cell>
          <cell r="C2550">
            <v>152461103</v>
          </cell>
          <cell r="D2550" t="str">
            <v>PLACER 1103</v>
          </cell>
          <cell r="E2550">
            <v>238990</v>
          </cell>
          <cell r="F2550" t="b">
            <v>1</v>
          </cell>
          <cell r="G2550">
            <v>9730.7172551723997</v>
          </cell>
          <cell r="H2550">
            <v>65.077310589736996</v>
          </cell>
        </row>
        <row r="2551">
          <cell r="B2551" t="str">
            <v>PLACER 1103284874</v>
          </cell>
          <cell r="C2551">
            <v>152461103</v>
          </cell>
          <cell r="D2551" t="str">
            <v>PLACER 1103</v>
          </cell>
          <cell r="E2551">
            <v>284874</v>
          </cell>
          <cell r="F2551" t="b">
            <v>0</v>
          </cell>
          <cell r="G2551">
            <v>7928.0422667351204</v>
          </cell>
          <cell r="H2551">
            <v>3450.7709588472699</v>
          </cell>
        </row>
        <row r="2552">
          <cell r="B2552" t="str">
            <v>PLACER 1103429574</v>
          </cell>
          <cell r="C2552">
            <v>152461103</v>
          </cell>
          <cell r="D2552" t="str">
            <v>PLACER 1103</v>
          </cell>
          <cell r="E2552">
            <v>429574</v>
          </cell>
          <cell r="F2552" t="b">
            <v>0</v>
          </cell>
          <cell r="G2552">
            <v>15346.741498941299</v>
          </cell>
          <cell r="H2552">
            <v>8004.04743269152</v>
          </cell>
        </row>
        <row r="2553">
          <cell r="B2553" t="str">
            <v>PLACER 1103CB</v>
          </cell>
          <cell r="C2553">
            <v>152461103</v>
          </cell>
          <cell r="D2553" t="str">
            <v>PLACER 1103</v>
          </cell>
          <cell r="E2553" t="str">
            <v>CB</v>
          </cell>
          <cell r="F2553" t="b">
            <v>0</v>
          </cell>
          <cell r="G2553">
            <v>14529.9116469704</v>
          </cell>
          <cell r="H2553">
            <v>11213.2305116019</v>
          </cell>
        </row>
        <row r="2554">
          <cell r="B2554" t="str">
            <v>PLACER 110451732</v>
          </cell>
          <cell r="C2554">
            <v>152461104</v>
          </cell>
          <cell r="D2554" t="str">
            <v>PLACER 1104</v>
          </cell>
          <cell r="E2554">
            <v>51732</v>
          </cell>
          <cell r="F2554" t="b">
            <v>0</v>
          </cell>
          <cell r="G2554">
            <v>12971.5883823858</v>
          </cell>
          <cell r="H2554">
            <v>1093.59208388554</v>
          </cell>
        </row>
        <row r="2555">
          <cell r="B2555" t="str">
            <v>PLACERVILLE 1109CB</v>
          </cell>
          <cell r="C2555">
            <v>153081109</v>
          </cell>
          <cell r="D2555" t="str">
            <v>PLACERVILLE 1109</v>
          </cell>
          <cell r="E2555" t="str">
            <v>CB</v>
          </cell>
          <cell r="F2555" t="b">
            <v>0</v>
          </cell>
          <cell r="G2555">
            <v>17781.886327346499</v>
          </cell>
          <cell r="H2555">
            <v>17449.874245935302</v>
          </cell>
        </row>
        <row r="2556">
          <cell r="B2556" t="str">
            <v>PLACERVILLE 111019582</v>
          </cell>
          <cell r="C2556">
            <v>153081110</v>
          </cell>
          <cell r="D2556" t="str">
            <v>PLACERVILLE 1110</v>
          </cell>
          <cell r="E2556">
            <v>19582</v>
          </cell>
          <cell r="F2556" t="b">
            <v>0</v>
          </cell>
          <cell r="G2556">
            <v>11698.5343735979</v>
          </cell>
          <cell r="H2556">
            <v>11698.5343735979</v>
          </cell>
        </row>
        <row r="2557">
          <cell r="B2557" t="str">
            <v>PLACERVILLE 1110421358</v>
          </cell>
          <cell r="C2557">
            <v>153081110</v>
          </cell>
          <cell r="D2557" t="str">
            <v>PLACERVILLE 1110</v>
          </cell>
          <cell r="E2557">
            <v>421358</v>
          </cell>
          <cell r="F2557" t="b">
            <v>0</v>
          </cell>
          <cell r="G2557">
            <v>23870.671149366099</v>
          </cell>
          <cell r="H2557">
            <v>23870.671149366099</v>
          </cell>
        </row>
        <row r="2558">
          <cell r="B2558" t="str">
            <v>PLACERVILLE 1110953474</v>
          </cell>
          <cell r="C2558">
            <v>153081110</v>
          </cell>
          <cell r="D2558" t="str">
            <v>PLACERVILLE 1110</v>
          </cell>
          <cell r="E2558">
            <v>953474</v>
          </cell>
          <cell r="F2558" t="b">
            <v>0</v>
          </cell>
          <cell r="G2558">
            <v>17115.5789499899</v>
          </cell>
          <cell r="H2558">
            <v>17115.5789499899</v>
          </cell>
        </row>
        <row r="2559">
          <cell r="B2559" t="str">
            <v>PLACERVILLE 1110CB</v>
          </cell>
          <cell r="C2559">
            <v>153081110</v>
          </cell>
          <cell r="D2559" t="str">
            <v>PLACERVILLE 1110</v>
          </cell>
          <cell r="E2559" t="str">
            <v>CB</v>
          </cell>
          <cell r="F2559" t="b">
            <v>0</v>
          </cell>
          <cell r="G2559">
            <v>2889.8933438989402</v>
          </cell>
          <cell r="H2559">
            <v>1390.1140913824599</v>
          </cell>
        </row>
        <row r="2560">
          <cell r="B2560" t="str">
            <v>PLACERVILLE 1111508410</v>
          </cell>
          <cell r="C2560">
            <v>153081111</v>
          </cell>
          <cell r="D2560" t="str">
            <v>PLACERVILLE 1111</v>
          </cell>
          <cell r="E2560">
            <v>508410</v>
          </cell>
          <cell r="F2560" t="b">
            <v>0</v>
          </cell>
          <cell r="G2560">
            <v>8406.5824793239208</v>
          </cell>
          <cell r="H2560">
            <v>7530.8770902331598</v>
          </cell>
        </row>
        <row r="2561">
          <cell r="B2561" t="str">
            <v>PLACERVILLE 1111610322</v>
          </cell>
          <cell r="C2561">
            <v>153081111</v>
          </cell>
          <cell r="D2561" t="str">
            <v>PLACERVILLE 1111</v>
          </cell>
          <cell r="E2561">
            <v>610322</v>
          </cell>
          <cell r="F2561" t="b">
            <v>1</v>
          </cell>
          <cell r="G2561">
            <v>220.686681654202</v>
          </cell>
          <cell r="H2561">
            <v>220.686681654202</v>
          </cell>
        </row>
        <row r="2562">
          <cell r="B2562" t="str">
            <v>PLACERVILLE 11118582</v>
          </cell>
          <cell r="C2562">
            <v>153081111</v>
          </cell>
          <cell r="D2562" t="str">
            <v>PLACERVILLE 1111</v>
          </cell>
          <cell r="E2562">
            <v>8582</v>
          </cell>
          <cell r="F2562" t="b">
            <v>0</v>
          </cell>
          <cell r="G2562">
            <v>19173.639781845501</v>
          </cell>
          <cell r="H2562">
            <v>15254.777066656299</v>
          </cell>
        </row>
        <row r="2563">
          <cell r="B2563" t="str">
            <v>PLACERVILLE 1111CB</v>
          </cell>
          <cell r="C2563">
            <v>153081111</v>
          </cell>
          <cell r="D2563" t="str">
            <v>PLACERVILLE 1111</v>
          </cell>
          <cell r="E2563" t="str">
            <v>CB</v>
          </cell>
          <cell r="F2563" t="b">
            <v>0</v>
          </cell>
          <cell r="G2563">
            <v>2249.8408289414001</v>
          </cell>
          <cell r="H2563">
            <v>2245.2688315953201</v>
          </cell>
        </row>
        <row r="2564">
          <cell r="B2564" t="str">
            <v>PLACERVILLE 111219712</v>
          </cell>
          <cell r="C2564">
            <v>153081112</v>
          </cell>
          <cell r="D2564" t="str">
            <v>PLACERVILLE 1112</v>
          </cell>
          <cell r="E2564">
            <v>19712</v>
          </cell>
          <cell r="F2564" t="b">
            <v>0</v>
          </cell>
          <cell r="G2564">
            <v>20850.336901143601</v>
          </cell>
          <cell r="H2564">
            <v>20776.286755453999</v>
          </cell>
        </row>
        <row r="2565">
          <cell r="B2565" t="str">
            <v>PLACERVILLE 111219742</v>
          </cell>
          <cell r="C2565">
            <v>153081112</v>
          </cell>
          <cell r="D2565" t="str">
            <v>PLACERVILLE 1112</v>
          </cell>
          <cell r="E2565">
            <v>19742</v>
          </cell>
          <cell r="F2565" t="b">
            <v>0</v>
          </cell>
          <cell r="G2565">
            <v>12071.935297833999</v>
          </cell>
          <cell r="H2565">
            <v>10549.735636552599</v>
          </cell>
        </row>
        <row r="2566">
          <cell r="B2566" t="str">
            <v>PLACERVILLE 1112CB</v>
          </cell>
          <cell r="C2566">
            <v>153081112</v>
          </cell>
          <cell r="D2566" t="str">
            <v>PLACERVILLE 1112</v>
          </cell>
          <cell r="E2566" t="str">
            <v>CB</v>
          </cell>
          <cell r="F2566" t="b">
            <v>0</v>
          </cell>
          <cell r="G2566">
            <v>15016.506591441301</v>
          </cell>
          <cell r="H2566">
            <v>13697.3672129679</v>
          </cell>
        </row>
        <row r="2567">
          <cell r="B2567" t="str">
            <v>PLACERVILLE 21061104</v>
          </cell>
          <cell r="C2567">
            <v>153082106</v>
          </cell>
          <cell r="D2567" t="str">
            <v>PLACERVILLE 2106</v>
          </cell>
          <cell r="E2567">
            <v>1104</v>
          </cell>
          <cell r="F2567" t="b">
            <v>0</v>
          </cell>
          <cell r="G2567">
            <v>79643.684035623795</v>
          </cell>
          <cell r="H2567">
            <v>79643.684035623795</v>
          </cell>
        </row>
        <row r="2568">
          <cell r="B2568" t="str">
            <v>PLACERVILLE 210611132</v>
          </cell>
          <cell r="C2568">
            <v>153082106</v>
          </cell>
          <cell r="D2568" t="str">
            <v>PLACERVILLE 2106</v>
          </cell>
          <cell r="E2568">
            <v>11132</v>
          </cell>
          <cell r="F2568" t="b">
            <v>0</v>
          </cell>
          <cell r="G2568">
            <v>69633.695824392504</v>
          </cell>
          <cell r="H2568">
            <v>69633.695824392504</v>
          </cell>
        </row>
        <row r="2569">
          <cell r="B2569" t="str">
            <v>PLACERVILLE 210619552</v>
          </cell>
          <cell r="C2569">
            <v>153082106</v>
          </cell>
          <cell r="D2569" t="str">
            <v>PLACERVILLE 2106</v>
          </cell>
          <cell r="E2569">
            <v>19552</v>
          </cell>
          <cell r="F2569" t="b">
            <v>0</v>
          </cell>
          <cell r="G2569">
            <v>34339.9089454485</v>
          </cell>
          <cell r="H2569">
            <v>34339.9089454485</v>
          </cell>
        </row>
        <row r="2570">
          <cell r="B2570" t="str">
            <v>PLACERVILLE 210619732</v>
          </cell>
          <cell r="C2570">
            <v>153082106</v>
          </cell>
          <cell r="D2570" t="str">
            <v>PLACERVILLE 2106</v>
          </cell>
          <cell r="E2570">
            <v>19732</v>
          </cell>
          <cell r="F2570" t="b">
            <v>0</v>
          </cell>
          <cell r="G2570">
            <v>14898.6257709931</v>
          </cell>
          <cell r="H2570">
            <v>14898.6257709931</v>
          </cell>
        </row>
        <row r="2571">
          <cell r="B2571" t="str">
            <v>PLACERVILLE 21062224</v>
          </cell>
          <cell r="C2571">
            <v>153082106</v>
          </cell>
          <cell r="D2571" t="str">
            <v>PLACERVILLE 2106</v>
          </cell>
          <cell r="E2571">
            <v>2224</v>
          </cell>
          <cell r="F2571" t="b">
            <v>0</v>
          </cell>
          <cell r="G2571">
            <v>16910.651910111399</v>
          </cell>
          <cell r="H2571">
            <v>16910.651910111399</v>
          </cell>
        </row>
        <row r="2572">
          <cell r="B2572" t="str">
            <v>PLACERVILLE 210623190</v>
          </cell>
          <cell r="C2572">
            <v>153082106</v>
          </cell>
          <cell r="D2572" t="str">
            <v>PLACERVILLE 2106</v>
          </cell>
          <cell r="E2572">
            <v>23190</v>
          </cell>
          <cell r="F2572" t="b">
            <v>0</v>
          </cell>
          <cell r="G2572">
            <v>5918.8129567495398</v>
          </cell>
          <cell r="H2572">
            <v>5918.8129567495398</v>
          </cell>
        </row>
        <row r="2573">
          <cell r="B2573" t="str">
            <v>PLACERVILLE 21067522</v>
          </cell>
          <cell r="C2573">
            <v>153082106</v>
          </cell>
          <cell r="D2573" t="str">
            <v>PLACERVILLE 2106</v>
          </cell>
          <cell r="E2573">
            <v>7522</v>
          </cell>
          <cell r="F2573" t="b">
            <v>0</v>
          </cell>
          <cell r="G2573">
            <v>108391.330132396</v>
          </cell>
          <cell r="H2573">
            <v>108391.330132396</v>
          </cell>
        </row>
        <row r="2574">
          <cell r="B2574" t="str">
            <v>PLACERVILLE 210692012</v>
          </cell>
          <cell r="C2574">
            <v>153082106</v>
          </cell>
          <cell r="D2574" t="str">
            <v>PLACERVILLE 2106</v>
          </cell>
          <cell r="E2574">
            <v>92012</v>
          </cell>
          <cell r="F2574" t="b">
            <v>0</v>
          </cell>
          <cell r="G2574">
            <v>29794.636726126599</v>
          </cell>
          <cell r="H2574">
            <v>29794.636726126599</v>
          </cell>
        </row>
        <row r="2575">
          <cell r="B2575" t="str">
            <v>PLACERVILLE 2106935216</v>
          </cell>
          <cell r="C2575">
            <v>153082106</v>
          </cell>
          <cell r="D2575" t="str">
            <v>PLACERVILLE 2106</v>
          </cell>
          <cell r="E2575">
            <v>935216</v>
          </cell>
          <cell r="F2575" t="b">
            <v>0</v>
          </cell>
          <cell r="G2575">
            <v>33848.752915394703</v>
          </cell>
          <cell r="H2575">
            <v>33848.752915394703</v>
          </cell>
        </row>
        <row r="2576">
          <cell r="B2576" t="str">
            <v>PLACERVILLE 21069712</v>
          </cell>
          <cell r="C2576">
            <v>153082106</v>
          </cell>
          <cell r="D2576" t="str">
            <v>PLACERVILLE 2106</v>
          </cell>
          <cell r="E2576">
            <v>9712</v>
          </cell>
          <cell r="F2576" t="b">
            <v>0</v>
          </cell>
          <cell r="G2576">
            <v>39765.957940601598</v>
          </cell>
          <cell r="H2576">
            <v>39765.957940601598</v>
          </cell>
        </row>
        <row r="2577">
          <cell r="B2577" t="str">
            <v>PLACERVILLE 2106CB</v>
          </cell>
          <cell r="C2577">
            <v>153082106</v>
          </cell>
          <cell r="D2577" t="str">
            <v>PLACERVILLE 2106</v>
          </cell>
          <cell r="E2577" t="str">
            <v>CB</v>
          </cell>
          <cell r="F2577" t="b">
            <v>0</v>
          </cell>
          <cell r="G2577">
            <v>10545.3692547721</v>
          </cell>
          <cell r="H2577">
            <v>10545.3692547721</v>
          </cell>
        </row>
        <row r="2578">
          <cell r="B2578" t="str">
            <v>POINT ARENA 11011296</v>
          </cell>
          <cell r="C2578">
            <v>43381101</v>
          </cell>
          <cell r="D2578" t="str">
            <v>POINT ARENA 1101</v>
          </cell>
          <cell r="E2578">
            <v>1296</v>
          </cell>
          <cell r="F2578" t="b">
            <v>0</v>
          </cell>
          <cell r="G2578">
            <v>8913.7229911287395</v>
          </cell>
          <cell r="H2578">
            <v>5630.7667600733703</v>
          </cell>
        </row>
        <row r="2579">
          <cell r="B2579" t="str">
            <v>POINT ARENA 11012637</v>
          </cell>
          <cell r="C2579">
            <v>43381101</v>
          </cell>
          <cell r="D2579" t="str">
            <v>POINT ARENA 1101</v>
          </cell>
          <cell r="E2579">
            <v>2637</v>
          </cell>
          <cell r="F2579" t="b">
            <v>0</v>
          </cell>
          <cell r="G2579">
            <v>6500.6025053215399</v>
          </cell>
          <cell r="H2579">
            <v>6500.6025053215399</v>
          </cell>
        </row>
        <row r="2580">
          <cell r="B2580" t="str">
            <v>POINT ARENA 11013702</v>
          </cell>
          <cell r="C2580">
            <v>43381101</v>
          </cell>
          <cell r="D2580" t="str">
            <v>POINT ARENA 1101</v>
          </cell>
          <cell r="E2580">
            <v>3702</v>
          </cell>
          <cell r="F2580" t="b">
            <v>0</v>
          </cell>
          <cell r="G2580">
            <v>7962.9537622543703</v>
          </cell>
          <cell r="H2580">
            <v>7864.1374645975402</v>
          </cell>
        </row>
        <row r="2581">
          <cell r="B2581" t="str">
            <v>POINT ARENA 110137426</v>
          </cell>
          <cell r="C2581">
            <v>43381101</v>
          </cell>
          <cell r="D2581" t="str">
            <v>POINT ARENA 1101</v>
          </cell>
          <cell r="E2581">
            <v>37426</v>
          </cell>
          <cell r="F2581" t="b">
            <v>0</v>
          </cell>
          <cell r="G2581">
            <v>8142.4342633304004</v>
          </cell>
          <cell r="H2581">
            <v>1270.4089090176999</v>
          </cell>
        </row>
        <row r="2582">
          <cell r="B2582" t="str">
            <v>POINT ARENA 1101474</v>
          </cell>
          <cell r="C2582">
            <v>43381101</v>
          </cell>
          <cell r="D2582" t="str">
            <v>POINT ARENA 1101</v>
          </cell>
          <cell r="E2582">
            <v>474</v>
          </cell>
          <cell r="F2582" t="b">
            <v>0</v>
          </cell>
          <cell r="G2582">
            <v>14496.492549619499</v>
          </cell>
          <cell r="H2582">
            <v>14496.492549619499</v>
          </cell>
        </row>
        <row r="2583">
          <cell r="B2583" t="str">
            <v>POINT ARENA 1101476</v>
          </cell>
          <cell r="C2583">
            <v>43381101</v>
          </cell>
          <cell r="D2583" t="str">
            <v>POINT ARENA 1101</v>
          </cell>
          <cell r="E2583">
            <v>476</v>
          </cell>
          <cell r="F2583" t="b">
            <v>0</v>
          </cell>
          <cell r="G2583">
            <v>24463.889580612798</v>
          </cell>
          <cell r="H2583">
            <v>4825.12703022818</v>
          </cell>
        </row>
        <row r="2584">
          <cell r="B2584" t="str">
            <v>POINT ARENA 110147952</v>
          </cell>
          <cell r="C2584">
            <v>43381101</v>
          </cell>
          <cell r="D2584" t="str">
            <v>POINT ARENA 1101</v>
          </cell>
          <cell r="E2584">
            <v>47952</v>
          </cell>
          <cell r="F2584" t="b">
            <v>0</v>
          </cell>
          <cell r="G2584">
            <v>16717.629661728999</v>
          </cell>
          <cell r="H2584">
            <v>16717.629661728999</v>
          </cell>
        </row>
        <row r="2585">
          <cell r="B2585" t="str">
            <v>POINT ARENA 11014923</v>
          </cell>
          <cell r="C2585">
            <v>43381101</v>
          </cell>
          <cell r="D2585" t="str">
            <v>POINT ARENA 1101</v>
          </cell>
          <cell r="E2585">
            <v>4923</v>
          </cell>
          <cell r="F2585" t="b">
            <v>0</v>
          </cell>
          <cell r="G2585">
            <v>4611.3163685135796</v>
          </cell>
          <cell r="H2585">
            <v>4611.3163685135796</v>
          </cell>
        </row>
        <row r="2586">
          <cell r="B2586" t="str">
            <v>POINT ARENA 110183354</v>
          </cell>
          <cell r="C2586">
            <v>43381101</v>
          </cell>
          <cell r="D2586" t="str">
            <v>POINT ARENA 1101</v>
          </cell>
          <cell r="E2586">
            <v>83354</v>
          </cell>
          <cell r="F2586" t="b">
            <v>0</v>
          </cell>
          <cell r="G2586">
            <v>8260.8146547679098</v>
          </cell>
          <cell r="H2586">
            <v>8260.8146547679098</v>
          </cell>
        </row>
        <row r="2587">
          <cell r="B2587" t="str">
            <v>POINT ARENA 110198224</v>
          </cell>
          <cell r="C2587">
            <v>43381101</v>
          </cell>
          <cell r="D2587" t="str">
            <v>POINT ARENA 1101</v>
          </cell>
          <cell r="E2587">
            <v>98224</v>
          </cell>
          <cell r="F2587" t="b">
            <v>0</v>
          </cell>
          <cell r="G2587">
            <v>3847.8761984732701</v>
          </cell>
          <cell r="H2587">
            <v>3847.8761984732701</v>
          </cell>
        </row>
        <row r="2588">
          <cell r="B2588" t="str">
            <v>POINT ARENA 1101CB</v>
          </cell>
          <cell r="C2588">
            <v>43381101</v>
          </cell>
          <cell r="D2588" t="str">
            <v>POINT ARENA 1101</v>
          </cell>
          <cell r="E2588" t="str">
            <v>CB</v>
          </cell>
          <cell r="F2588" t="b">
            <v>1</v>
          </cell>
          <cell r="G2588">
            <v>64.916917035161404</v>
          </cell>
          <cell r="H2588">
            <v>64.916917035161404</v>
          </cell>
        </row>
        <row r="2589">
          <cell r="B2589" t="str">
            <v>POINT MORETTI 110110722</v>
          </cell>
          <cell r="C2589">
            <v>82931101</v>
          </cell>
          <cell r="D2589" t="str">
            <v>POINT MORETTI 1101</v>
          </cell>
          <cell r="E2589">
            <v>10722</v>
          </cell>
          <cell r="F2589" t="b">
            <v>1</v>
          </cell>
          <cell r="G2589">
            <v>937.94482900613605</v>
          </cell>
          <cell r="H2589">
            <v>937.94482900613605</v>
          </cell>
        </row>
        <row r="2590">
          <cell r="B2590" t="str">
            <v>POINT MORETTI 110110726</v>
          </cell>
          <cell r="C2590">
            <v>82931101</v>
          </cell>
          <cell r="D2590" t="str">
            <v>POINT MORETTI 1101</v>
          </cell>
          <cell r="E2590">
            <v>10726</v>
          </cell>
          <cell r="F2590" t="b">
            <v>0</v>
          </cell>
          <cell r="G2590">
            <v>16936.720996976899</v>
          </cell>
          <cell r="H2590">
            <v>16936.720996976899</v>
          </cell>
        </row>
        <row r="2591">
          <cell r="B2591" t="str">
            <v>POINT MORETTI 110112122</v>
          </cell>
          <cell r="C2591">
            <v>82931101</v>
          </cell>
          <cell r="D2591" t="str">
            <v>POINT MORETTI 1101</v>
          </cell>
          <cell r="E2591">
            <v>12122</v>
          </cell>
          <cell r="F2591" t="b">
            <v>0</v>
          </cell>
          <cell r="G2591">
            <v>12740.7086445637</v>
          </cell>
          <cell r="H2591">
            <v>10570.3766077527</v>
          </cell>
        </row>
        <row r="2592">
          <cell r="B2592" t="str">
            <v>POINT MORETTI 110135874</v>
          </cell>
          <cell r="C2592">
            <v>82931101</v>
          </cell>
          <cell r="D2592" t="str">
            <v>POINT MORETTI 1101</v>
          </cell>
          <cell r="E2592">
            <v>35874</v>
          </cell>
          <cell r="F2592" t="b">
            <v>1</v>
          </cell>
          <cell r="G2592">
            <v>329.48310617306601</v>
          </cell>
          <cell r="H2592">
            <v>329.48310617306601</v>
          </cell>
        </row>
        <row r="2593">
          <cell r="B2593" t="str">
            <v>POINT MORETTI 110136514</v>
          </cell>
          <cell r="C2593">
            <v>82931101</v>
          </cell>
          <cell r="D2593" t="str">
            <v>POINT MORETTI 1101</v>
          </cell>
          <cell r="E2593">
            <v>36514</v>
          </cell>
          <cell r="F2593" t="b">
            <v>0</v>
          </cell>
          <cell r="G2593">
            <v>11050.053058196299</v>
          </cell>
          <cell r="H2593">
            <v>11050.053058196299</v>
          </cell>
        </row>
        <row r="2594">
          <cell r="B2594" t="str">
            <v>POINT MORETTI 110136516</v>
          </cell>
          <cell r="C2594">
            <v>82931101</v>
          </cell>
          <cell r="D2594" t="str">
            <v>POINT MORETTI 1101</v>
          </cell>
          <cell r="E2594">
            <v>36516</v>
          </cell>
          <cell r="F2594" t="b">
            <v>0</v>
          </cell>
          <cell r="G2594">
            <v>6699.7019410779803</v>
          </cell>
          <cell r="H2594">
            <v>6699.7019410779803</v>
          </cell>
        </row>
        <row r="2595">
          <cell r="B2595" t="str">
            <v>POINT MORETTI 110139126</v>
          </cell>
          <cell r="C2595">
            <v>82931101</v>
          </cell>
          <cell r="D2595" t="str">
            <v>POINT MORETTI 1101</v>
          </cell>
          <cell r="E2595">
            <v>39126</v>
          </cell>
          <cell r="F2595" t="b">
            <v>0</v>
          </cell>
          <cell r="G2595">
            <v>3634.7812305182001</v>
          </cell>
          <cell r="H2595">
            <v>3634.7812305182001</v>
          </cell>
        </row>
        <row r="2596">
          <cell r="B2596" t="str">
            <v>POINT MORETTI 11015074</v>
          </cell>
          <cell r="C2596">
            <v>82931101</v>
          </cell>
          <cell r="D2596" t="str">
            <v>POINT MORETTI 1101</v>
          </cell>
          <cell r="E2596">
            <v>5074</v>
          </cell>
          <cell r="F2596" t="b">
            <v>0</v>
          </cell>
          <cell r="G2596">
            <v>4940.8280311552899</v>
          </cell>
          <cell r="H2596">
            <v>2196.7079403109801</v>
          </cell>
        </row>
        <row r="2597">
          <cell r="B2597" t="str">
            <v>POINT MORETTI 11015076</v>
          </cell>
          <cell r="C2597">
            <v>82931101</v>
          </cell>
          <cell r="D2597" t="str">
            <v>POINT MORETTI 1101</v>
          </cell>
          <cell r="E2597">
            <v>5076</v>
          </cell>
          <cell r="F2597" t="b">
            <v>0</v>
          </cell>
          <cell r="G2597">
            <v>14477.3636515707</v>
          </cell>
          <cell r="H2597">
            <v>12059.146825259701</v>
          </cell>
        </row>
        <row r="2598">
          <cell r="B2598" t="str">
            <v>POINT MORETTI 11015078</v>
          </cell>
          <cell r="C2598">
            <v>82931101</v>
          </cell>
          <cell r="D2598" t="str">
            <v>POINT MORETTI 1101</v>
          </cell>
          <cell r="E2598">
            <v>5078</v>
          </cell>
          <cell r="F2598" t="b">
            <v>0</v>
          </cell>
          <cell r="G2598">
            <v>23873.197175492201</v>
          </cell>
          <cell r="H2598">
            <v>23873.197175492201</v>
          </cell>
        </row>
        <row r="2599">
          <cell r="B2599" t="str">
            <v>POINT MORETTI 11015104</v>
          </cell>
          <cell r="C2599">
            <v>82931101</v>
          </cell>
          <cell r="D2599" t="str">
            <v>POINT MORETTI 1101</v>
          </cell>
          <cell r="E2599">
            <v>5104</v>
          </cell>
          <cell r="F2599" t="b">
            <v>0</v>
          </cell>
          <cell r="G2599">
            <v>2898.3736675027999</v>
          </cell>
          <cell r="H2599">
            <v>2898.3736675027999</v>
          </cell>
        </row>
        <row r="2600">
          <cell r="B2600" t="str">
            <v>POINT MORETTI 11015401</v>
          </cell>
          <cell r="C2600">
            <v>82931101</v>
          </cell>
          <cell r="D2600" t="str">
            <v>POINT MORETTI 1101</v>
          </cell>
          <cell r="E2600">
            <v>5401</v>
          </cell>
          <cell r="F2600" t="b">
            <v>0</v>
          </cell>
          <cell r="G2600">
            <v>4047.5170926926698</v>
          </cell>
          <cell r="H2600">
            <v>4047.5170926926698</v>
          </cell>
        </row>
        <row r="2601">
          <cell r="B2601" t="str">
            <v>POINT MORETTI 110183716</v>
          </cell>
          <cell r="C2601">
            <v>82931101</v>
          </cell>
          <cell r="D2601" t="str">
            <v>POINT MORETTI 1101</v>
          </cell>
          <cell r="E2601">
            <v>83716</v>
          </cell>
          <cell r="F2601" t="b">
            <v>0</v>
          </cell>
          <cell r="G2601">
            <v>4275.4859037917104</v>
          </cell>
          <cell r="H2601">
            <v>4027.3676566907402</v>
          </cell>
        </row>
        <row r="2602">
          <cell r="B2602" t="str">
            <v>POINT MORETTI 1101CB</v>
          </cell>
          <cell r="C2602">
            <v>82931101</v>
          </cell>
          <cell r="D2602" t="str">
            <v>POINT MORETTI 1101</v>
          </cell>
          <cell r="E2602" t="str">
            <v>CB</v>
          </cell>
          <cell r="F2602" t="b">
            <v>1</v>
          </cell>
          <cell r="G2602">
            <v>20.574022257506599</v>
          </cell>
          <cell r="H2602">
            <v>20.574022257506599</v>
          </cell>
        </row>
        <row r="2603">
          <cell r="B2603" t="str">
            <v>POSO MOUNTAIN 21011703</v>
          </cell>
          <cell r="C2603">
            <v>253642101</v>
          </cell>
          <cell r="D2603" t="str">
            <v>POSO MOUNTAIN 2101</v>
          </cell>
          <cell r="E2603">
            <v>1703</v>
          </cell>
          <cell r="F2603" t="b">
            <v>0</v>
          </cell>
          <cell r="G2603">
            <v>3959.90146738052</v>
          </cell>
          <cell r="H2603">
            <v>1455.5284882994899</v>
          </cell>
        </row>
        <row r="2604">
          <cell r="B2604" t="str">
            <v>POSO MOUNTAIN 21012181</v>
          </cell>
          <cell r="C2604">
            <v>253642101</v>
          </cell>
          <cell r="D2604" t="str">
            <v>POSO MOUNTAIN 2101</v>
          </cell>
          <cell r="E2604">
            <v>2181</v>
          </cell>
          <cell r="F2604" t="b">
            <v>0</v>
          </cell>
          <cell r="G2604">
            <v>38165.6009337711</v>
          </cell>
          <cell r="H2604">
            <v>27116.638334695101</v>
          </cell>
        </row>
        <row r="2605">
          <cell r="B2605" t="str">
            <v>POSO MOUNTAIN 21013990</v>
          </cell>
          <cell r="C2605">
            <v>253642101</v>
          </cell>
          <cell r="D2605" t="str">
            <v>POSO MOUNTAIN 2101</v>
          </cell>
          <cell r="E2605">
            <v>3990</v>
          </cell>
          <cell r="F2605" t="b">
            <v>0</v>
          </cell>
          <cell r="G2605">
            <v>8945.4958353596503</v>
          </cell>
          <cell r="H2605">
            <v>6963.5325727378204</v>
          </cell>
        </row>
        <row r="2606">
          <cell r="B2606" t="str">
            <v>POSO MOUNTAIN 21014456</v>
          </cell>
          <cell r="C2606">
            <v>253642101</v>
          </cell>
          <cell r="D2606" t="str">
            <v>POSO MOUNTAIN 2101</v>
          </cell>
          <cell r="E2606">
            <v>4456</v>
          </cell>
          <cell r="F2606" t="b">
            <v>0</v>
          </cell>
          <cell r="G2606">
            <v>37862.215562087898</v>
          </cell>
          <cell r="H2606">
            <v>37862.215562087898</v>
          </cell>
        </row>
        <row r="2607">
          <cell r="B2607" t="str">
            <v>POSO MOUNTAIN 2101CB</v>
          </cell>
          <cell r="C2607">
            <v>253642101</v>
          </cell>
          <cell r="D2607" t="str">
            <v>POSO MOUNTAIN 2101</v>
          </cell>
          <cell r="E2607" t="str">
            <v>CB</v>
          </cell>
          <cell r="F2607" t="b">
            <v>0</v>
          </cell>
          <cell r="G2607">
            <v>6924.1000998162299</v>
          </cell>
          <cell r="H2607">
            <v>6924.1000998162299</v>
          </cell>
        </row>
        <row r="2608">
          <cell r="B2608" t="str">
            <v>POSO MOUNTAIN 21033988</v>
          </cell>
          <cell r="C2608">
            <v>253642103</v>
          </cell>
          <cell r="D2608" t="str">
            <v>POSO MOUNTAIN 2103</v>
          </cell>
          <cell r="E2608">
            <v>3988</v>
          </cell>
          <cell r="F2608" t="b">
            <v>0</v>
          </cell>
          <cell r="G2608">
            <v>29512.46334178</v>
          </cell>
          <cell r="H2608">
            <v>27217.737420253899</v>
          </cell>
        </row>
        <row r="2609">
          <cell r="B2609" t="str">
            <v>POSO MOUNTAIN 2103CB</v>
          </cell>
          <cell r="C2609">
            <v>253642103</v>
          </cell>
          <cell r="D2609" t="str">
            <v>POSO MOUNTAIN 2103</v>
          </cell>
          <cell r="E2609" t="str">
            <v>CB</v>
          </cell>
          <cell r="F2609" t="b">
            <v>0</v>
          </cell>
          <cell r="G2609">
            <v>3746.9222281576299</v>
          </cell>
          <cell r="H2609">
            <v>3746.9222281576299</v>
          </cell>
        </row>
        <row r="2610">
          <cell r="B2610" t="str">
            <v>POSO MOUNTAIN 210448268</v>
          </cell>
          <cell r="C2610">
            <v>253642104</v>
          </cell>
          <cell r="D2610" t="str">
            <v>POSO MOUNTAIN 2104</v>
          </cell>
          <cell r="E2610">
            <v>48268</v>
          </cell>
          <cell r="F2610" t="b">
            <v>0</v>
          </cell>
          <cell r="G2610">
            <v>8165.62408347785</v>
          </cell>
          <cell r="H2610">
            <v>8152.5338653831104</v>
          </cell>
        </row>
        <row r="2611">
          <cell r="B2611" t="str">
            <v>POSO MOUNTAIN 2104CB</v>
          </cell>
          <cell r="C2611">
            <v>253642104</v>
          </cell>
          <cell r="D2611" t="str">
            <v>POSO MOUNTAIN 2104</v>
          </cell>
          <cell r="E2611" t="str">
            <v>CB</v>
          </cell>
          <cell r="F2611" t="b">
            <v>0</v>
          </cell>
          <cell r="G2611">
            <v>12231.090529994401</v>
          </cell>
          <cell r="H2611">
            <v>8613.6879690431197</v>
          </cell>
        </row>
        <row r="2612">
          <cell r="B2612" t="str">
            <v>POTTER VALLEY P H 110495878</v>
          </cell>
          <cell r="C2612">
            <v>42281104</v>
          </cell>
          <cell r="D2612" t="str">
            <v>POTTER VALLEY P H 1104</v>
          </cell>
          <cell r="E2612">
            <v>95878</v>
          </cell>
          <cell r="F2612" t="b">
            <v>0</v>
          </cell>
          <cell r="G2612">
            <v>30094.557324482801</v>
          </cell>
          <cell r="H2612">
            <v>9856.7704505893707</v>
          </cell>
        </row>
        <row r="2613">
          <cell r="B2613" t="str">
            <v>POTTER VALLEY P H 1104CB</v>
          </cell>
          <cell r="C2613">
            <v>42281104</v>
          </cell>
          <cell r="D2613" t="str">
            <v>POTTER VALLEY P H 1104</v>
          </cell>
          <cell r="E2613" t="str">
            <v>CB</v>
          </cell>
          <cell r="F2613" t="b">
            <v>1</v>
          </cell>
          <cell r="G2613">
            <v>158.44514892983699</v>
          </cell>
          <cell r="H2613">
            <v>158.44514892983699</v>
          </cell>
        </row>
        <row r="2614">
          <cell r="B2614" t="str">
            <v>POTTER VALLEY P H 11051904</v>
          </cell>
          <cell r="C2614">
            <v>42281105</v>
          </cell>
          <cell r="D2614" t="str">
            <v>POTTER VALLEY P H 1105</v>
          </cell>
          <cell r="E2614">
            <v>1904</v>
          </cell>
          <cell r="F2614" t="b">
            <v>0</v>
          </cell>
          <cell r="G2614">
            <v>64429.372828144697</v>
          </cell>
          <cell r="H2614">
            <v>51242.852060445199</v>
          </cell>
        </row>
        <row r="2615">
          <cell r="B2615" t="str">
            <v>POTTER VALLEY P H 110537476</v>
          </cell>
          <cell r="C2615">
            <v>42281105</v>
          </cell>
          <cell r="D2615" t="str">
            <v>POTTER VALLEY P H 1105</v>
          </cell>
          <cell r="E2615">
            <v>37476</v>
          </cell>
          <cell r="F2615" t="b">
            <v>0</v>
          </cell>
          <cell r="G2615">
            <v>14076.4929242298</v>
          </cell>
          <cell r="H2615">
            <v>4231.6101949234398</v>
          </cell>
        </row>
        <row r="2616">
          <cell r="B2616" t="str">
            <v>POTTER VALLEY P H 110564118</v>
          </cell>
          <cell r="C2616">
            <v>42281105</v>
          </cell>
          <cell r="D2616" t="str">
            <v>POTTER VALLEY P H 1105</v>
          </cell>
          <cell r="E2616">
            <v>64118</v>
          </cell>
          <cell r="F2616" t="b">
            <v>0</v>
          </cell>
          <cell r="G2616">
            <v>15416.941784149099</v>
          </cell>
          <cell r="H2616">
            <v>2646.9432765243901</v>
          </cell>
        </row>
        <row r="2617">
          <cell r="B2617" t="str">
            <v>POTTER VALLEY P H 110576498</v>
          </cell>
          <cell r="C2617">
            <v>42281105</v>
          </cell>
          <cell r="D2617" t="str">
            <v>POTTER VALLEY P H 1105</v>
          </cell>
          <cell r="E2617">
            <v>76498</v>
          </cell>
          <cell r="F2617" t="b">
            <v>0</v>
          </cell>
          <cell r="G2617">
            <v>23942.952852311901</v>
          </cell>
          <cell r="H2617">
            <v>23942.952852311901</v>
          </cell>
        </row>
        <row r="2618">
          <cell r="B2618" t="str">
            <v>POTTER VALLEY P H 1105990354</v>
          </cell>
          <cell r="C2618">
            <v>42281105</v>
          </cell>
          <cell r="D2618" t="str">
            <v>POTTER VALLEY P H 1105</v>
          </cell>
          <cell r="E2618">
            <v>990354</v>
          </cell>
          <cell r="F2618" t="b">
            <v>1</v>
          </cell>
          <cell r="G2618">
            <v>170.38541554511599</v>
          </cell>
          <cell r="H2618">
            <v>170.38541554511599</v>
          </cell>
        </row>
        <row r="2619">
          <cell r="B2619" t="str">
            <v>POTTER VALLEY P H 1105CB</v>
          </cell>
          <cell r="C2619">
            <v>42281105</v>
          </cell>
          <cell r="D2619" t="str">
            <v>POTTER VALLEY P H 1105</v>
          </cell>
          <cell r="E2619" t="str">
            <v>CB</v>
          </cell>
          <cell r="F2619" t="b">
            <v>1</v>
          </cell>
          <cell r="G2619">
            <v>89.3518240932857</v>
          </cell>
          <cell r="H2619">
            <v>89.3518240932857</v>
          </cell>
        </row>
        <row r="2620">
          <cell r="B2620" t="str">
            <v>PRUNEDALE 11103716</v>
          </cell>
          <cell r="C2620">
            <v>182961110</v>
          </cell>
          <cell r="D2620" t="str">
            <v>PRUNEDALE 1110</v>
          </cell>
          <cell r="E2620">
            <v>3716</v>
          </cell>
          <cell r="F2620" t="b">
            <v>1</v>
          </cell>
          <cell r="G2620">
            <v>21171.737162818499</v>
          </cell>
          <cell r="H2620">
            <v>690.73243616091395</v>
          </cell>
        </row>
        <row r="2621">
          <cell r="B2621" t="str">
            <v>PUEBLO 11041304</v>
          </cell>
          <cell r="C2621">
            <v>43291104</v>
          </cell>
          <cell r="D2621" t="str">
            <v>PUEBLO 1104</v>
          </cell>
          <cell r="E2621">
            <v>1304</v>
          </cell>
          <cell r="F2621" t="b">
            <v>0</v>
          </cell>
          <cell r="G2621">
            <v>30935.6957301531</v>
          </cell>
          <cell r="H2621">
            <v>30935.6957301531</v>
          </cell>
        </row>
        <row r="2622">
          <cell r="B2622" t="str">
            <v>PUEBLO 1104580658</v>
          </cell>
          <cell r="C2622">
            <v>43291104</v>
          </cell>
          <cell r="D2622" t="str">
            <v>PUEBLO 1104</v>
          </cell>
          <cell r="E2622">
            <v>580658</v>
          </cell>
          <cell r="F2622" t="b">
            <v>0</v>
          </cell>
          <cell r="G2622">
            <v>16767.5084529903</v>
          </cell>
          <cell r="H2622">
            <v>15111.3604405281</v>
          </cell>
        </row>
        <row r="2623">
          <cell r="B2623" t="str">
            <v>PUEBLO 1104640</v>
          </cell>
          <cell r="C2623">
            <v>43291104</v>
          </cell>
          <cell r="D2623" t="str">
            <v>PUEBLO 1104</v>
          </cell>
          <cell r="E2623">
            <v>640</v>
          </cell>
          <cell r="F2623" t="b">
            <v>0</v>
          </cell>
          <cell r="G2623">
            <v>5054.3066762533599</v>
          </cell>
          <cell r="H2623">
            <v>1636.7685117173701</v>
          </cell>
        </row>
        <row r="2624">
          <cell r="B2624" t="str">
            <v>PUEBLO 1104968601</v>
          </cell>
          <cell r="C2624">
            <v>43291104</v>
          </cell>
          <cell r="D2624" t="str">
            <v>PUEBLO 1104</v>
          </cell>
          <cell r="E2624">
            <v>968601</v>
          </cell>
          <cell r="F2624" t="b">
            <v>1</v>
          </cell>
          <cell r="G2624">
            <v>12.239829724112999</v>
          </cell>
          <cell r="H2624">
            <v>12.239829724112999</v>
          </cell>
        </row>
        <row r="2625">
          <cell r="B2625" t="str">
            <v>PUEBLO 1105348368</v>
          </cell>
          <cell r="C2625">
            <v>43291105</v>
          </cell>
          <cell r="D2625" t="str">
            <v>PUEBLO 1105</v>
          </cell>
          <cell r="E2625">
            <v>348368</v>
          </cell>
          <cell r="F2625" t="b">
            <v>0</v>
          </cell>
          <cell r="G2625">
            <v>14957.0247276063</v>
          </cell>
          <cell r="H2625">
            <v>4473.6470721261903</v>
          </cell>
        </row>
        <row r="2626">
          <cell r="B2626" t="str">
            <v>PUEBLO 1105419634</v>
          </cell>
          <cell r="C2626">
            <v>43291105</v>
          </cell>
          <cell r="D2626" t="str">
            <v>PUEBLO 1105</v>
          </cell>
          <cell r="E2626">
            <v>419634</v>
          </cell>
          <cell r="F2626" t="b">
            <v>1</v>
          </cell>
          <cell r="G2626">
            <v>1981.01331171934</v>
          </cell>
          <cell r="H2626">
            <v>165.107041177837</v>
          </cell>
        </row>
        <row r="2627">
          <cell r="B2627" t="str">
            <v>PUEBLO 1105637242</v>
          </cell>
          <cell r="C2627">
            <v>43291105</v>
          </cell>
          <cell r="D2627" t="str">
            <v>PUEBLO 1105</v>
          </cell>
          <cell r="E2627">
            <v>637242</v>
          </cell>
          <cell r="F2627" t="b">
            <v>0</v>
          </cell>
          <cell r="G2627">
            <v>35417.216259798603</v>
          </cell>
          <cell r="H2627">
            <v>27085.716020026</v>
          </cell>
        </row>
        <row r="2628">
          <cell r="B2628" t="str">
            <v>PUEBLO 1105684564</v>
          </cell>
          <cell r="C2628">
            <v>43291105</v>
          </cell>
          <cell r="D2628" t="str">
            <v>PUEBLO 1105</v>
          </cell>
          <cell r="E2628">
            <v>684564</v>
          </cell>
          <cell r="F2628" t="b">
            <v>1</v>
          </cell>
          <cell r="G2628">
            <v>4176.2924161133096</v>
          </cell>
          <cell r="H2628">
            <v>443.39056627306701</v>
          </cell>
        </row>
        <row r="2629">
          <cell r="B2629" t="str">
            <v>PUEBLO 1105696</v>
          </cell>
          <cell r="C2629">
            <v>43291105</v>
          </cell>
          <cell r="D2629" t="str">
            <v>PUEBLO 1105</v>
          </cell>
          <cell r="E2629">
            <v>696</v>
          </cell>
          <cell r="F2629" t="b">
            <v>0</v>
          </cell>
          <cell r="G2629">
            <v>11659.118418365901</v>
          </cell>
          <cell r="H2629">
            <v>6037.9333468757304</v>
          </cell>
        </row>
        <row r="2630">
          <cell r="B2630" t="str">
            <v>PUEBLO 1105716</v>
          </cell>
          <cell r="C2630">
            <v>43291105</v>
          </cell>
          <cell r="D2630" t="str">
            <v>PUEBLO 1105</v>
          </cell>
          <cell r="E2630">
            <v>716</v>
          </cell>
          <cell r="F2630" t="b">
            <v>1</v>
          </cell>
          <cell r="G2630">
            <v>14760.548953984</v>
          </cell>
          <cell r="H2630">
            <v>161.152971637425</v>
          </cell>
        </row>
        <row r="2631">
          <cell r="B2631" t="str">
            <v>PUEBLO 2102226562</v>
          </cell>
          <cell r="C2631">
            <v>43292102</v>
          </cell>
          <cell r="D2631" t="str">
            <v>PUEBLO 2102</v>
          </cell>
          <cell r="E2631">
            <v>226562</v>
          </cell>
          <cell r="F2631" t="b">
            <v>0</v>
          </cell>
          <cell r="G2631">
            <v>1660.7793820603799</v>
          </cell>
          <cell r="H2631">
            <v>1371.9928002605</v>
          </cell>
        </row>
        <row r="2632">
          <cell r="B2632" t="str">
            <v>PUEBLO 2102391312</v>
          </cell>
          <cell r="C2632">
            <v>43292102</v>
          </cell>
          <cell r="D2632" t="str">
            <v>PUEBLO 2102</v>
          </cell>
          <cell r="E2632">
            <v>391312</v>
          </cell>
          <cell r="F2632" t="b">
            <v>1</v>
          </cell>
          <cell r="G2632">
            <v>1866.0467713102901</v>
          </cell>
          <cell r="H2632">
            <v>229.63938800570401</v>
          </cell>
        </row>
        <row r="2633">
          <cell r="B2633" t="str">
            <v>PUEBLO 2102618</v>
          </cell>
          <cell r="C2633">
            <v>43292102</v>
          </cell>
          <cell r="D2633" t="str">
            <v>PUEBLO 2102</v>
          </cell>
          <cell r="E2633">
            <v>618</v>
          </cell>
          <cell r="F2633" t="b">
            <v>1</v>
          </cell>
          <cell r="G2633">
            <v>16180.0385658205</v>
          </cell>
          <cell r="H2633">
            <v>742.25722057617304</v>
          </cell>
        </row>
        <row r="2634">
          <cell r="B2634" t="str">
            <v>PUEBLO 2102647842</v>
          </cell>
          <cell r="C2634">
            <v>43292102</v>
          </cell>
          <cell r="D2634" t="str">
            <v>PUEBLO 2102</v>
          </cell>
          <cell r="E2634">
            <v>647842</v>
          </cell>
          <cell r="F2634" t="b">
            <v>1</v>
          </cell>
          <cell r="G2634">
            <v>1016.92836047199</v>
          </cell>
          <cell r="H2634">
            <v>187.73254595644599</v>
          </cell>
        </row>
        <row r="2635">
          <cell r="B2635" t="str">
            <v>PUEBLO 2102773926</v>
          </cell>
          <cell r="C2635">
            <v>43292102</v>
          </cell>
          <cell r="D2635" t="str">
            <v>PUEBLO 2102</v>
          </cell>
          <cell r="E2635">
            <v>773926</v>
          </cell>
          <cell r="F2635" t="b">
            <v>1</v>
          </cell>
          <cell r="G2635">
            <v>3395.21457290224</v>
          </cell>
          <cell r="H2635">
            <v>706.74170553338297</v>
          </cell>
        </row>
        <row r="2636">
          <cell r="B2636" t="str">
            <v>PUEBLO 2102792</v>
          </cell>
          <cell r="C2636">
            <v>43292102</v>
          </cell>
          <cell r="D2636" t="str">
            <v>PUEBLO 2102</v>
          </cell>
          <cell r="E2636">
            <v>792</v>
          </cell>
          <cell r="F2636" t="b">
            <v>0</v>
          </cell>
          <cell r="G2636">
            <v>33585.8451925595</v>
          </cell>
          <cell r="H2636">
            <v>31119.161499454302</v>
          </cell>
        </row>
        <row r="2637">
          <cell r="B2637" t="str">
            <v>PUEBLO 2102850102</v>
          </cell>
          <cell r="C2637">
            <v>43292102</v>
          </cell>
          <cell r="D2637" t="str">
            <v>PUEBLO 2102</v>
          </cell>
          <cell r="E2637">
            <v>850102</v>
          </cell>
          <cell r="F2637" t="b">
            <v>1</v>
          </cell>
          <cell r="G2637">
            <v>3948.9066566699698</v>
          </cell>
          <cell r="H2637">
            <v>287.44042612219602</v>
          </cell>
        </row>
        <row r="2638">
          <cell r="B2638" t="str">
            <v>PUEBLO 2102895310</v>
          </cell>
          <cell r="C2638">
            <v>43292102</v>
          </cell>
          <cell r="D2638" t="str">
            <v>PUEBLO 2102</v>
          </cell>
          <cell r="E2638">
            <v>895310</v>
          </cell>
          <cell r="F2638" t="b">
            <v>1</v>
          </cell>
          <cell r="G2638">
            <v>4366.1321175448002</v>
          </cell>
          <cell r="H2638">
            <v>592.95916457244005</v>
          </cell>
        </row>
        <row r="2639">
          <cell r="B2639" t="str">
            <v>PUEBLO 2102943820</v>
          </cell>
          <cell r="C2639">
            <v>43292102</v>
          </cell>
          <cell r="D2639" t="str">
            <v>PUEBLO 2102</v>
          </cell>
          <cell r="E2639">
            <v>943820</v>
          </cell>
          <cell r="F2639" t="b">
            <v>0</v>
          </cell>
          <cell r="G2639">
            <v>3953.9710956255999</v>
          </cell>
          <cell r="H2639">
            <v>3039.5844512744502</v>
          </cell>
        </row>
        <row r="2640">
          <cell r="B2640" t="str">
            <v>PUEBLO 21031970</v>
          </cell>
          <cell r="C2640">
            <v>43292103</v>
          </cell>
          <cell r="D2640" t="str">
            <v>PUEBLO 2103</v>
          </cell>
          <cell r="E2640">
            <v>1970</v>
          </cell>
          <cell r="F2640" t="b">
            <v>1</v>
          </cell>
          <cell r="G2640">
            <v>6915.7170308447303</v>
          </cell>
          <cell r="H2640">
            <v>0</v>
          </cell>
        </row>
        <row r="2641">
          <cell r="B2641" t="str">
            <v>PUEBLO 2103253312</v>
          </cell>
          <cell r="C2641">
            <v>43292103</v>
          </cell>
          <cell r="D2641" t="str">
            <v>PUEBLO 2103</v>
          </cell>
          <cell r="E2641">
            <v>253312</v>
          </cell>
          <cell r="F2641" t="b">
            <v>1</v>
          </cell>
          <cell r="G2641">
            <v>698.802592086765</v>
          </cell>
          <cell r="H2641">
            <v>682.80061253800795</v>
          </cell>
        </row>
        <row r="2642">
          <cell r="B2642" t="str">
            <v>PUEBLO 2103373667</v>
          </cell>
          <cell r="C2642">
            <v>43292103</v>
          </cell>
          <cell r="D2642" t="str">
            <v>PUEBLO 2103</v>
          </cell>
          <cell r="E2642">
            <v>373667</v>
          </cell>
          <cell r="F2642" t="b">
            <v>0</v>
          </cell>
          <cell r="G2642">
            <v>6861.5817180446002</v>
          </cell>
          <cell r="H2642">
            <v>5269.4020940758701</v>
          </cell>
        </row>
        <row r="2643">
          <cell r="B2643" t="str">
            <v>PUEBLO 2103678</v>
          </cell>
          <cell r="C2643">
            <v>43292103</v>
          </cell>
          <cell r="D2643" t="str">
            <v>PUEBLO 2103</v>
          </cell>
          <cell r="E2643">
            <v>678</v>
          </cell>
          <cell r="F2643" t="b">
            <v>0</v>
          </cell>
          <cell r="G2643">
            <v>57111.221051189503</v>
          </cell>
          <cell r="H2643">
            <v>56857.879527852303</v>
          </cell>
        </row>
        <row r="2644">
          <cell r="B2644" t="str">
            <v>PUEBLO 2103706399</v>
          </cell>
          <cell r="C2644">
            <v>43292103</v>
          </cell>
          <cell r="D2644" t="str">
            <v>PUEBLO 2103</v>
          </cell>
          <cell r="E2644">
            <v>706399</v>
          </cell>
          <cell r="F2644" t="b">
            <v>1</v>
          </cell>
          <cell r="G2644">
            <v>1848.727636695</v>
          </cell>
          <cell r="H2644">
            <v>537.97165671339906</v>
          </cell>
        </row>
        <row r="2645">
          <cell r="B2645" t="str">
            <v>PUEBLO 210375612</v>
          </cell>
          <cell r="C2645">
            <v>43292103</v>
          </cell>
          <cell r="D2645" t="str">
            <v>PUEBLO 2103</v>
          </cell>
          <cell r="E2645">
            <v>75612</v>
          </cell>
          <cell r="F2645" t="b">
            <v>1</v>
          </cell>
          <cell r="G2645">
            <v>15618.678734167101</v>
          </cell>
          <cell r="H2645">
            <v>0</v>
          </cell>
        </row>
        <row r="2646">
          <cell r="B2646" t="str">
            <v>PUEBLO 2103776244</v>
          </cell>
          <cell r="C2646">
            <v>43292103</v>
          </cell>
          <cell r="D2646" t="str">
            <v>PUEBLO 2103</v>
          </cell>
          <cell r="E2646">
            <v>776244</v>
          </cell>
          <cell r="F2646" t="b">
            <v>1</v>
          </cell>
          <cell r="G2646">
            <v>783.93852228517096</v>
          </cell>
          <cell r="H2646">
            <v>274.58020635571501</v>
          </cell>
        </row>
        <row r="2647">
          <cell r="B2647" t="str">
            <v>PUEBLO 2103895784</v>
          </cell>
          <cell r="C2647">
            <v>43292103</v>
          </cell>
          <cell r="D2647" t="str">
            <v>PUEBLO 2103</v>
          </cell>
          <cell r="E2647">
            <v>895784</v>
          </cell>
          <cell r="F2647" t="b">
            <v>0</v>
          </cell>
          <cell r="G2647">
            <v>16727.216340644602</v>
          </cell>
          <cell r="H2647">
            <v>12538.9099748403</v>
          </cell>
        </row>
        <row r="2648">
          <cell r="B2648" t="str">
            <v>PURISIMA 110149394</v>
          </cell>
          <cell r="C2648">
            <v>182971101</v>
          </cell>
          <cell r="D2648" t="str">
            <v>PURISIMA 1101</v>
          </cell>
          <cell r="E2648">
            <v>49394</v>
          </cell>
          <cell r="F2648" t="b">
            <v>0</v>
          </cell>
          <cell r="G2648">
            <v>14105.1914893004</v>
          </cell>
          <cell r="H2648">
            <v>1836.8422092189301</v>
          </cell>
        </row>
        <row r="2649">
          <cell r="B2649" t="str">
            <v>PURISIMA 110154728</v>
          </cell>
          <cell r="C2649">
            <v>182971101</v>
          </cell>
          <cell r="D2649" t="str">
            <v>PURISIMA 1101</v>
          </cell>
          <cell r="E2649">
            <v>54728</v>
          </cell>
          <cell r="F2649" t="b">
            <v>0</v>
          </cell>
          <cell r="G2649">
            <v>7898.4984373029802</v>
          </cell>
          <cell r="H2649">
            <v>1667.87198687667</v>
          </cell>
        </row>
        <row r="2650">
          <cell r="B2650" t="str">
            <v>PURISIMA 1101CB</v>
          </cell>
          <cell r="C2650">
            <v>182971101</v>
          </cell>
          <cell r="D2650" t="str">
            <v>PURISIMA 1101</v>
          </cell>
          <cell r="E2650" t="str">
            <v>CB</v>
          </cell>
          <cell r="F2650" t="b">
            <v>0</v>
          </cell>
          <cell r="G2650">
            <v>7381.7292752651501</v>
          </cell>
          <cell r="H2650">
            <v>5917.6188896521599</v>
          </cell>
        </row>
        <row r="2651">
          <cell r="B2651" t="str">
            <v>PURISIMA 1101Y42</v>
          </cell>
          <cell r="C2651">
            <v>182971101</v>
          </cell>
          <cell r="D2651" t="str">
            <v>PURISIMA 1101</v>
          </cell>
          <cell r="E2651" t="str">
            <v>Y42</v>
          </cell>
          <cell r="F2651" t="b">
            <v>0</v>
          </cell>
          <cell r="G2651">
            <v>26985.495576155601</v>
          </cell>
          <cell r="H2651">
            <v>5628.4598850861803</v>
          </cell>
        </row>
        <row r="2652">
          <cell r="B2652" t="str">
            <v>PURISIMA 1101Y44</v>
          </cell>
          <cell r="C2652">
            <v>182971101</v>
          </cell>
          <cell r="D2652" t="str">
            <v>PURISIMA 1101</v>
          </cell>
          <cell r="E2652" t="str">
            <v>Y44</v>
          </cell>
          <cell r="F2652" t="b">
            <v>0</v>
          </cell>
          <cell r="G2652">
            <v>18687.867402647</v>
          </cell>
          <cell r="H2652">
            <v>16745.931064232602</v>
          </cell>
        </row>
        <row r="2653">
          <cell r="B2653" t="str">
            <v>PUTAH CREEK 110246012</v>
          </cell>
          <cell r="C2653">
            <v>63681102</v>
          </cell>
          <cell r="D2653" t="str">
            <v>PUTAH CREEK 1102</v>
          </cell>
          <cell r="E2653">
            <v>46012</v>
          </cell>
          <cell r="F2653" t="b">
            <v>0</v>
          </cell>
          <cell r="G2653">
            <v>4834.6735814507001</v>
          </cell>
          <cell r="H2653">
            <v>1025.14472552087</v>
          </cell>
        </row>
        <row r="2654">
          <cell r="B2654" t="str">
            <v>PUTAH CREEK 110264044</v>
          </cell>
          <cell r="C2654">
            <v>63681102</v>
          </cell>
          <cell r="D2654" t="str">
            <v>PUTAH CREEK 1102</v>
          </cell>
          <cell r="E2654">
            <v>64044</v>
          </cell>
          <cell r="F2654" t="b">
            <v>0</v>
          </cell>
          <cell r="G2654">
            <v>11992.1978941906</v>
          </cell>
          <cell r="H2654">
            <v>9649.0485066525907</v>
          </cell>
        </row>
        <row r="2655">
          <cell r="B2655" t="str">
            <v>PUTAH CREEK 110267858</v>
          </cell>
          <cell r="C2655">
            <v>63681102</v>
          </cell>
          <cell r="D2655" t="str">
            <v>PUTAH CREEK 1102</v>
          </cell>
          <cell r="E2655">
            <v>67858</v>
          </cell>
          <cell r="F2655" t="b">
            <v>0</v>
          </cell>
          <cell r="G2655">
            <v>18377.341498317899</v>
          </cell>
          <cell r="H2655">
            <v>18377.341498317899</v>
          </cell>
        </row>
        <row r="2656">
          <cell r="B2656" t="str">
            <v>PUTAH CREEK 1102710384</v>
          </cell>
          <cell r="C2656">
            <v>63681102</v>
          </cell>
          <cell r="D2656" t="str">
            <v>PUTAH CREEK 1102</v>
          </cell>
          <cell r="E2656">
            <v>710384</v>
          </cell>
          <cell r="F2656" t="b">
            <v>0</v>
          </cell>
          <cell r="G2656">
            <v>15468.9282297709</v>
          </cell>
          <cell r="H2656">
            <v>8584.2297555652294</v>
          </cell>
        </row>
        <row r="2657">
          <cell r="B2657" t="str">
            <v>PUTAH CREEK 11028352</v>
          </cell>
          <cell r="C2657">
            <v>63681102</v>
          </cell>
          <cell r="D2657" t="str">
            <v>PUTAH CREEK 1102</v>
          </cell>
          <cell r="E2657">
            <v>8352</v>
          </cell>
          <cell r="F2657" t="b">
            <v>0</v>
          </cell>
          <cell r="G2657">
            <v>19103.673104640598</v>
          </cell>
          <cell r="H2657">
            <v>10298.4219040509</v>
          </cell>
        </row>
        <row r="2658">
          <cell r="B2658" t="str">
            <v>PUTAH CREEK 11033783</v>
          </cell>
          <cell r="C2658">
            <v>63681103</v>
          </cell>
          <cell r="D2658" t="str">
            <v>PUTAH CREEK 1103</v>
          </cell>
          <cell r="E2658">
            <v>3783</v>
          </cell>
          <cell r="F2658" t="b">
            <v>1</v>
          </cell>
          <cell r="G2658">
            <v>16200.7400749925</v>
          </cell>
          <cell r="H2658">
            <v>142.51093589679201</v>
          </cell>
        </row>
        <row r="2659">
          <cell r="B2659" t="str">
            <v>PUTAH CREEK 1103654021</v>
          </cell>
          <cell r="C2659">
            <v>63681103</v>
          </cell>
          <cell r="D2659" t="str">
            <v>PUTAH CREEK 1103</v>
          </cell>
          <cell r="E2659">
            <v>654021</v>
          </cell>
          <cell r="F2659" t="b">
            <v>1</v>
          </cell>
          <cell r="G2659">
            <v>1396.0556640485199</v>
          </cell>
          <cell r="H2659">
            <v>329.19541437237802</v>
          </cell>
        </row>
        <row r="2660">
          <cell r="B2660" t="str">
            <v>PUTAH CREEK 110396792</v>
          </cell>
          <cell r="C2660">
            <v>63681103</v>
          </cell>
          <cell r="D2660" t="str">
            <v>PUTAH CREEK 1103</v>
          </cell>
          <cell r="E2660">
            <v>96792</v>
          </cell>
          <cell r="F2660" t="b">
            <v>0</v>
          </cell>
          <cell r="G2660">
            <v>8212.3137194259998</v>
          </cell>
          <cell r="H2660">
            <v>6394.0350923412198</v>
          </cell>
        </row>
        <row r="2661">
          <cell r="B2661" t="str">
            <v>PUTAH CREEK 1105617260</v>
          </cell>
          <cell r="C2661">
            <v>63681105</v>
          </cell>
          <cell r="D2661" t="str">
            <v>PUTAH CREEK 1105</v>
          </cell>
          <cell r="E2661">
            <v>617260</v>
          </cell>
          <cell r="F2661" t="b">
            <v>0</v>
          </cell>
          <cell r="G2661">
            <v>4545.7003418065397</v>
          </cell>
          <cell r="H2661">
            <v>1876.8401803643201</v>
          </cell>
        </row>
        <row r="2662">
          <cell r="B2662" t="str">
            <v>PUTAH CREEK 1105665952</v>
          </cell>
          <cell r="C2662">
            <v>63681105</v>
          </cell>
          <cell r="D2662" t="str">
            <v>PUTAH CREEK 1105</v>
          </cell>
          <cell r="E2662">
            <v>665952</v>
          </cell>
          <cell r="F2662" t="b">
            <v>1</v>
          </cell>
          <cell r="G2662">
            <v>1521.6619724100799</v>
          </cell>
          <cell r="H2662">
            <v>243.38244219654001</v>
          </cell>
        </row>
        <row r="2663">
          <cell r="B2663" t="str">
            <v>PUTAH CREEK 1105748272</v>
          </cell>
          <cell r="C2663">
            <v>63681105</v>
          </cell>
          <cell r="D2663" t="str">
            <v>PUTAH CREEK 1105</v>
          </cell>
          <cell r="E2663">
            <v>748272</v>
          </cell>
          <cell r="F2663" t="b">
            <v>0</v>
          </cell>
          <cell r="G2663">
            <v>6311.5498392040299</v>
          </cell>
          <cell r="H2663">
            <v>1206.1255418754499</v>
          </cell>
        </row>
        <row r="2664">
          <cell r="B2664" t="str">
            <v>RACETRACK 170310850</v>
          </cell>
          <cell r="C2664">
            <v>163761703</v>
          </cell>
          <cell r="D2664" t="str">
            <v>RACETRACK 1703</v>
          </cell>
          <cell r="E2664">
            <v>10850</v>
          </cell>
          <cell r="F2664" t="b">
            <v>1</v>
          </cell>
          <cell r="G2664">
            <v>3044.0071508615902</v>
          </cell>
          <cell r="H2664">
            <v>994.88421106303997</v>
          </cell>
        </row>
        <row r="2665">
          <cell r="B2665" t="str">
            <v>RACETRACK 170310870</v>
          </cell>
          <cell r="C2665">
            <v>163761703</v>
          </cell>
          <cell r="D2665" t="str">
            <v>RACETRACK 1703</v>
          </cell>
          <cell r="E2665">
            <v>10870</v>
          </cell>
          <cell r="F2665" t="b">
            <v>0</v>
          </cell>
          <cell r="G2665">
            <v>4188.8092118730001</v>
          </cell>
          <cell r="H2665">
            <v>3071.5505164811698</v>
          </cell>
        </row>
        <row r="2666">
          <cell r="B2666" t="str">
            <v>RACETRACK 170311270</v>
          </cell>
          <cell r="C2666">
            <v>163761703</v>
          </cell>
          <cell r="D2666" t="str">
            <v>RACETRACK 1703</v>
          </cell>
          <cell r="E2666">
            <v>11270</v>
          </cell>
          <cell r="F2666" t="b">
            <v>0</v>
          </cell>
          <cell r="G2666">
            <v>20312.1456316861</v>
          </cell>
          <cell r="H2666">
            <v>20312.1456316861</v>
          </cell>
        </row>
        <row r="2667">
          <cell r="B2667" t="str">
            <v>RACETRACK 17032553</v>
          </cell>
          <cell r="C2667">
            <v>163761703</v>
          </cell>
          <cell r="D2667" t="str">
            <v>RACETRACK 1703</v>
          </cell>
          <cell r="E2667">
            <v>2553</v>
          </cell>
          <cell r="F2667" t="b">
            <v>0</v>
          </cell>
          <cell r="G2667">
            <v>3992.311701956</v>
          </cell>
          <cell r="H2667">
            <v>1548.3172852335599</v>
          </cell>
        </row>
        <row r="2668">
          <cell r="B2668" t="str">
            <v>RACETRACK 17036014</v>
          </cell>
          <cell r="C2668">
            <v>163761703</v>
          </cell>
          <cell r="D2668" t="str">
            <v>RACETRACK 1703</v>
          </cell>
          <cell r="E2668">
            <v>6014</v>
          </cell>
          <cell r="F2668" t="b">
            <v>0</v>
          </cell>
          <cell r="G2668">
            <v>11167.253152073899</v>
          </cell>
          <cell r="H2668">
            <v>11167.253152073899</v>
          </cell>
        </row>
        <row r="2669">
          <cell r="B2669" t="str">
            <v>RACETRACK 17038120</v>
          </cell>
          <cell r="C2669">
            <v>163761703</v>
          </cell>
          <cell r="D2669" t="str">
            <v>RACETRACK 1703</v>
          </cell>
          <cell r="E2669">
            <v>8120</v>
          </cell>
          <cell r="F2669" t="b">
            <v>0</v>
          </cell>
          <cell r="G2669">
            <v>14371.6326331082</v>
          </cell>
          <cell r="H2669">
            <v>14371.6326331082</v>
          </cell>
        </row>
        <row r="2670">
          <cell r="B2670" t="str">
            <v>RACETRACK 17039190</v>
          </cell>
          <cell r="C2670">
            <v>163761703</v>
          </cell>
          <cell r="D2670" t="str">
            <v>RACETRACK 1703</v>
          </cell>
          <cell r="E2670">
            <v>9190</v>
          </cell>
          <cell r="F2670" t="b">
            <v>0</v>
          </cell>
          <cell r="G2670">
            <v>14438.9194831604</v>
          </cell>
          <cell r="H2670">
            <v>14438.9194831604</v>
          </cell>
        </row>
        <row r="2671">
          <cell r="B2671" t="str">
            <v>RACETRACK 1703CB</v>
          </cell>
          <cell r="C2671">
            <v>163761703</v>
          </cell>
          <cell r="D2671" t="str">
            <v>RACETRACK 1703</v>
          </cell>
          <cell r="E2671" t="str">
            <v>CB</v>
          </cell>
          <cell r="F2671" t="b">
            <v>0</v>
          </cell>
          <cell r="G2671">
            <v>28877.591716272698</v>
          </cell>
          <cell r="H2671">
            <v>25353.141626073899</v>
          </cell>
        </row>
        <row r="2672">
          <cell r="B2672" t="str">
            <v>RACETRACK 170455798</v>
          </cell>
          <cell r="C2672">
            <v>163761704</v>
          </cell>
          <cell r="D2672" t="str">
            <v>RACETRACK 1704</v>
          </cell>
          <cell r="E2672">
            <v>55798</v>
          </cell>
          <cell r="F2672" t="b">
            <v>0</v>
          </cell>
          <cell r="G2672">
            <v>37886.619609950802</v>
          </cell>
          <cell r="H2672">
            <v>37886.619609950802</v>
          </cell>
        </row>
        <row r="2673">
          <cell r="B2673" t="str">
            <v>RACETRACK 1704CB</v>
          </cell>
          <cell r="C2673">
            <v>163761704</v>
          </cell>
          <cell r="D2673" t="str">
            <v>RACETRACK 1704</v>
          </cell>
          <cell r="E2673" t="str">
            <v>CB</v>
          </cell>
          <cell r="F2673" t="b">
            <v>0</v>
          </cell>
          <cell r="G2673">
            <v>36834.543611233297</v>
          </cell>
          <cell r="H2673">
            <v>36834.543611233297</v>
          </cell>
        </row>
        <row r="2674">
          <cell r="B2674" t="str">
            <v>RADUM 1105806392</v>
          </cell>
          <cell r="C2674">
            <v>13151105</v>
          </cell>
          <cell r="D2674" t="str">
            <v>RADUM 1105</v>
          </cell>
          <cell r="E2674">
            <v>806392</v>
          </cell>
          <cell r="F2674" t="b">
            <v>0</v>
          </cell>
          <cell r="G2674">
            <v>8744.0051245773993</v>
          </cell>
          <cell r="H2674">
            <v>5446.9276849279804</v>
          </cell>
        </row>
        <row r="2675">
          <cell r="B2675" t="str">
            <v>RALSTON 1101100040</v>
          </cell>
          <cell r="C2675">
            <v>24141101</v>
          </cell>
          <cell r="D2675" t="str">
            <v>RALSTON 1101</v>
          </cell>
          <cell r="E2675">
            <v>100040</v>
          </cell>
          <cell r="F2675" t="b">
            <v>0</v>
          </cell>
          <cell r="G2675">
            <v>1340.2292840501</v>
          </cell>
          <cell r="H2675">
            <v>1324.2273844948099</v>
          </cell>
        </row>
        <row r="2676">
          <cell r="B2676" t="str">
            <v>RALSTON 1101420730</v>
          </cell>
          <cell r="C2676">
            <v>24141101</v>
          </cell>
          <cell r="D2676" t="str">
            <v>RALSTON 1101</v>
          </cell>
          <cell r="E2676">
            <v>420730</v>
          </cell>
          <cell r="F2676" t="b">
            <v>0</v>
          </cell>
          <cell r="G2676">
            <v>2651.7059721809001</v>
          </cell>
          <cell r="H2676">
            <v>1292.63239153264</v>
          </cell>
        </row>
        <row r="2677">
          <cell r="B2677" t="str">
            <v>RALSTON 110148936</v>
          </cell>
          <cell r="C2677">
            <v>24141101</v>
          </cell>
          <cell r="D2677" t="str">
            <v>RALSTON 1101</v>
          </cell>
          <cell r="E2677">
            <v>48936</v>
          </cell>
          <cell r="F2677" t="b">
            <v>0</v>
          </cell>
          <cell r="G2677">
            <v>9703.0007922683308</v>
          </cell>
          <cell r="H2677">
            <v>7437.2140326885901</v>
          </cell>
        </row>
        <row r="2678">
          <cell r="B2678" t="str">
            <v>RALSTON 1101836528</v>
          </cell>
          <cell r="C2678">
            <v>24141101</v>
          </cell>
          <cell r="D2678" t="str">
            <v>RALSTON 1101</v>
          </cell>
          <cell r="E2678">
            <v>836528</v>
          </cell>
          <cell r="F2678" t="b">
            <v>0</v>
          </cell>
          <cell r="G2678">
            <v>4695.3621084666001</v>
          </cell>
          <cell r="H2678">
            <v>4679.5840179626302</v>
          </cell>
        </row>
        <row r="2679">
          <cell r="B2679" t="str">
            <v>RALSTON 1101CB</v>
          </cell>
          <cell r="C2679">
            <v>24141101</v>
          </cell>
          <cell r="D2679" t="str">
            <v>RALSTON 1101</v>
          </cell>
          <cell r="E2679" t="str">
            <v>CB</v>
          </cell>
          <cell r="F2679" t="b">
            <v>1</v>
          </cell>
          <cell r="G2679">
            <v>4645.0370104450403</v>
          </cell>
          <cell r="H2679">
            <v>606.80440284081999</v>
          </cell>
        </row>
        <row r="2680">
          <cell r="B2680" t="str">
            <v>RALSTON 11022028</v>
          </cell>
          <cell r="C2680">
            <v>24141102</v>
          </cell>
          <cell r="D2680" t="str">
            <v>RALSTON 1102</v>
          </cell>
          <cell r="E2680">
            <v>2028</v>
          </cell>
          <cell r="F2680" t="b">
            <v>0</v>
          </cell>
          <cell r="G2680">
            <v>3747.97407668612</v>
          </cell>
          <cell r="H2680">
            <v>3373.7724043550302</v>
          </cell>
        </row>
        <row r="2681">
          <cell r="B2681" t="str">
            <v>RALSTON 11029126</v>
          </cell>
          <cell r="C2681">
            <v>24141102</v>
          </cell>
          <cell r="D2681" t="str">
            <v>RALSTON 1102</v>
          </cell>
          <cell r="E2681">
            <v>9126</v>
          </cell>
          <cell r="F2681" t="b">
            <v>0</v>
          </cell>
          <cell r="G2681">
            <v>3038.29024652096</v>
          </cell>
          <cell r="H2681">
            <v>1621.4045476993399</v>
          </cell>
        </row>
        <row r="2682">
          <cell r="B2682" t="str">
            <v>RALSTON 1102CB</v>
          </cell>
          <cell r="C2682">
            <v>24141102</v>
          </cell>
          <cell r="D2682" t="str">
            <v>RALSTON 1102</v>
          </cell>
          <cell r="E2682" t="str">
            <v>CB</v>
          </cell>
          <cell r="F2682" t="b">
            <v>0</v>
          </cell>
          <cell r="G2682">
            <v>6891.3641347274997</v>
          </cell>
          <cell r="H2682">
            <v>1520.12806965295</v>
          </cell>
        </row>
        <row r="2683">
          <cell r="B2683" t="str">
            <v>RAWSON 1103428534</v>
          </cell>
          <cell r="C2683">
            <v>103531103</v>
          </cell>
          <cell r="D2683" t="str">
            <v>RAWSON 1103</v>
          </cell>
          <cell r="E2683">
            <v>428534</v>
          </cell>
          <cell r="F2683" t="b">
            <v>0</v>
          </cell>
          <cell r="G2683">
            <v>8740.09321080058</v>
          </cell>
          <cell r="H2683">
            <v>7301.7326108739398</v>
          </cell>
        </row>
        <row r="2684">
          <cell r="B2684" t="str">
            <v>RED BLUFF 11011334</v>
          </cell>
          <cell r="C2684">
            <v>103541101</v>
          </cell>
          <cell r="D2684" t="str">
            <v>RED BLUFF 1101</v>
          </cell>
          <cell r="E2684">
            <v>1334</v>
          </cell>
          <cell r="F2684" t="b">
            <v>0</v>
          </cell>
          <cell r="G2684">
            <v>25612.991156906301</v>
          </cell>
          <cell r="H2684">
            <v>2886.1164532345601</v>
          </cell>
        </row>
        <row r="2685">
          <cell r="B2685" t="str">
            <v>RED BLUFF 11011556</v>
          </cell>
          <cell r="C2685">
            <v>103541101</v>
          </cell>
          <cell r="D2685" t="str">
            <v>RED BLUFF 1101</v>
          </cell>
          <cell r="E2685">
            <v>1556</v>
          </cell>
          <cell r="F2685" t="b">
            <v>0</v>
          </cell>
          <cell r="G2685">
            <v>64601.0138397868</v>
          </cell>
          <cell r="H2685">
            <v>61930.082371117802</v>
          </cell>
        </row>
        <row r="2686">
          <cell r="B2686" t="str">
            <v>RED BLUFF 110176020</v>
          </cell>
          <cell r="C2686">
            <v>103541101</v>
          </cell>
          <cell r="D2686" t="str">
            <v>RED BLUFF 1101</v>
          </cell>
          <cell r="E2686">
            <v>76020</v>
          </cell>
          <cell r="F2686" t="b">
            <v>0</v>
          </cell>
          <cell r="G2686">
            <v>23407.8426447563</v>
          </cell>
          <cell r="H2686">
            <v>15031.7581219986</v>
          </cell>
        </row>
        <row r="2687">
          <cell r="B2687" t="str">
            <v>RED BLUFF 11031702</v>
          </cell>
          <cell r="C2687">
            <v>103541103</v>
          </cell>
          <cell r="D2687" t="str">
            <v>RED BLUFF 1103</v>
          </cell>
          <cell r="E2687">
            <v>1702</v>
          </cell>
          <cell r="F2687" t="b">
            <v>0</v>
          </cell>
          <cell r="G2687">
            <v>29294.347957785201</v>
          </cell>
          <cell r="H2687">
            <v>26958.204369013602</v>
          </cell>
        </row>
        <row r="2688">
          <cell r="B2688" t="str">
            <v>RED BLUFF 1103CB</v>
          </cell>
          <cell r="C2688">
            <v>103541103</v>
          </cell>
          <cell r="D2688" t="str">
            <v>RED BLUFF 1103</v>
          </cell>
          <cell r="E2688" t="str">
            <v>CB</v>
          </cell>
          <cell r="F2688" t="b">
            <v>1</v>
          </cell>
          <cell r="G2688">
            <v>31613.070377395699</v>
          </cell>
          <cell r="H2688">
            <v>164.663585199377</v>
          </cell>
        </row>
        <row r="2689">
          <cell r="B2689" t="str">
            <v>RED BLUFF 11041302</v>
          </cell>
          <cell r="C2689">
            <v>103541104</v>
          </cell>
          <cell r="D2689" t="str">
            <v>RED BLUFF 1104</v>
          </cell>
          <cell r="E2689">
            <v>1302</v>
          </cell>
          <cell r="F2689" t="b">
            <v>0</v>
          </cell>
          <cell r="G2689">
            <v>23388.516884949699</v>
          </cell>
          <cell r="H2689">
            <v>22389.971076691902</v>
          </cell>
        </row>
        <row r="2690">
          <cell r="B2690" t="str">
            <v>RED BLUFF 1104135854</v>
          </cell>
          <cell r="C2690">
            <v>103541104</v>
          </cell>
          <cell r="D2690" t="str">
            <v>RED BLUFF 1104</v>
          </cell>
          <cell r="E2690">
            <v>135854</v>
          </cell>
          <cell r="F2690" t="b">
            <v>0</v>
          </cell>
          <cell r="G2690">
            <v>4250.0634286492404</v>
          </cell>
          <cell r="H2690">
            <v>2325.1243977168001</v>
          </cell>
        </row>
        <row r="2691">
          <cell r="B2691" t="str">
            <v>RED BLUFF 11041566</v>
          </cell>
          <cell r="C2691">
            <v>103541104</v>
          </cell>
          <cell r="D2691" t="str">
            <v>RED BLUFF 1104</v>
          </cell>
          <cell r="E2691">
            <v>1566</v>
          </cell>
          <cell r="F2691" t="b">
            <v>0</v>
          </cell>
          <cell r="G2691">
            <v>24740.573628939401</v>
          </cell>
          <cell r="H2691">
            <v>19451.094637857699</v>
          </cell>
        </row>
        <row r="2692">
          <cell r="B2692" t="str">
            <v>RED BLUFF 11041630</v>
          </cell>
          <cell r="C2692">
            <v>103541104</v>
          </cell>
          <cell r="D2692" t="str">
            <v>RED BLUFF 1104</v>
          </cell>
          <cell r="E2692">
            <v>1630</v>
          </cell>
          <cell r="F2692" t="b">
            <v>0</v>
          </cell>
          <cell r="G2692">
            <v>22751.249202577001</v>
          </cell>
          <cell r="H2692">
            <v>4020.9241879813499</v>
          </cell>
        </row>
        <row r="2693">
          <cell r="B2693" t="str">
            <v>RED BLUFF 110451238</v>
          </cell>
          <cell r="C2693">
            <v>103541104</v>
          </cell>
          <cell r="D2693" t="str">
            <v>RED BLUFF 1104</v>
          </cell>
          <cell r="E2693">
            <v>51238</v>
          </cell>
          <cell r="F2693" t="b">
            <v>0</v>
          </cell>
          <cell r="G2693">
            <v>63137.738754720798</v>
          </cell>
          <cell r="H2693">
            <v>63137.738754720798</v>
          </cell>
        </row>
        <row r="2694">
          <cell r="B2694" t="str">
            <v>RED BLUFF 1105146070</v>
          </cell>
          <cell r="C2694">
            <v>103541105</v>
          </cell>
          <cell r="D2694" t="str">
            <v>RED BLUFF 1105</v>
          </cell>
          <cell r="E2694">
            <v>146070</v>
          </cell>
          <cell r="F2694" t="b">
            <v>0</v>
          </cell>
          <cell r="G2694">
            <v>22680.392106830499</v>
          </cell>
          <cell r="H2694">
            <v>20479.5895784885</v>
          </cell>
        </row>
        <row r="2695">
          <cell r="B2695" t="str">
            <v>RED BLUFF 11051564</v>
          </cell>
          <cell r="C2695">
            <v>103541105</v>
          </cell>
          <cell r="D2695" t="str">
            <v>RED BLUFF 1105</v>
          </cell>
          <cell r="E2695">
            <v>1564</v>
          </cell>
          <cell r="F2695" t="b">
            <v>0</v>
          </cell>
          <cell r="G2695">
            <v>17092.583180027701</v>
          </cell>
          <cell r="H2695">
            <v>1891.6003111222001</v>
          </cell>
        </row>
        <row r="2696">
          <cell r="B2696" t="str">
            <v>RED BLUFF 1105161818</v>
          </cell>
          <cell r="C2696">
            <v>103541105</v>
          </cell>
          <cell r="D2696" t="str">
            <v>RED BLUFF 1105</v>
          </cell>
          <cell r="E2696">
            <v>161818</v>
          </cell>
          <cell r="F2696" t="b">
            <v>1</v>
          </cell>
          <cell r="G2696">
            <v>7658.7383744839399</v>
          </cell>
          <cell r="H2696">
            <v>212.36375046901799</v>
          </cell>
        </row>
        <row r="2697">
          <cell r="B2697" t="str">
            <v>REDBUD 1101323962</v>
          </cell>
          <cell r="C2697">
            <v>43191101</v>
          </cell>
          <cell r="D2697" t="str">
            <v>REDBUD 1101</v>
          </cell>
          <cell r="E2697">
            <v>323962</v>
          </cell>
          <cell r="F2697" t="b">
            <v>0</v>
          </cell>
          <cell r="G2697">
            <v>46007.991250915598</v>
          </cell>
          <cell r="H2697">
            <v>33116.542531508698</v>
          </cell>
        </row>
        <row r="2698">
          <cell r="B2698" t="str">
            <v>REDBUD 1101400</v>
          </cell>
          <cell r="C2698">
            <v>43191101</v>
          </cell>
          <cell r="D2698" t="str">
            <v>REDBUD 1101</v>
          </cell>
          <cell r="E2698">
            <v>400</v>
          </cell>
          <cell r="F2698" t="b">
            <v>0</v>
          </cell>
          <cell r="G2698">
            <v>1650.1100112543099</v>
          </cell>
          <cell r="H2698">
            <v>1410.48890573576</v>
          </cell>
        </row>
        <row r="2699">
          <cell r="B2699" t="str">
            <v>REDBUD 1101454</v>
          </cell>
          <cell r="C2699">
            <v>43191101</v>
          </cell>
          <cell r="D2699" t="str">
            <v>REDBUD 1101</v>
          </cell>
          <cell r="E2699">
            <v>454</v>
          </cell>
          <cell r="F2699" t="b">
            <v>0</v>
          </cell>
          <cell r="G2699">
            <v>8909.2194862055203</v>
          </cell>
          <cell r="H2699">
            <v>8909.2194862055203</v>
          </cell>
        </row>
        <row r="2700">
          <cell r="B2700" t="str">
            <v>REDBUD 1101708166</v>
          </cell>
          <cell r="C2700">
            <v>43191101</v>
          </cell>
          <cell r="D2700" t="str">
            <v>REDBUD 1101</v>
          </cell>
          <cell r="E2700">
            <v>708166</v>
          </cell>
          <cell r="F2700" t="b">
            <v>0</v>
          </cell>
          <cell r="G2700">
            <v>33499.355503257</v>
          </cell>
          <cell r="H2700">
            <v>18511.185385978701</v>
          </cell>
        </row>
        <row r="2701">
          <cell r="B2701" t="str">
            <v>REDBUD 110191960</v>
          </cell>
          <cell r="C2701">
            <v>43191101</v>
          </cell>
          <cell r="D2701" t="str">
            <v>REDBUD 1101</v>
          </cell>
          <cell r="E2701">
            <v>91960</v>
          </cell>
          <cell r="F2701" t="b">
            <v>0</v>
          </cell>
          <cell r="G2701">
            <v>11326.1042061147</v>
          </cell>
          <cell r="H2701">
            <v>10487.688342673</v>
          </cell>
        </row>
        <row r="2702">
          <cell r="B2702" t="str">
            <v>REDBUD 1101CB</v>
          </cell>
          <cell r="C2702">
            <v>43191101</v>
          </cell>
          <cell r="D2702" t="str">
            <v>REDBUD 1101</v>
          </cell>
          <cell r="E2702" t="str">
            <v>CB</v>
          </cell>
          <cell r="F2702" t="b">
            <v>0</v>
          </cell>
          <cell r="G2702">
            <v>11764.5734780239</v>
          </cell>
          <cell r="H2702">
            <v>5407.52854090857</v>
          </cell>
        </row>
        <row r="2703">
          <cell r="B2703" t="str">
            <v>REDBUD 11021212</v>
          </cell>
          <cell r="C2703">
            <v>43191102</v>
          </cell>
          <cell r="D2703" t="str">
            <v>REDBUD 1102</v>
          </cell>
          <cell r="E2703">
            <v>1212</v>
          </cell>
          <cell r="F2703" t="b">
            <v>1</v>
          </cell>
          <cell r="G2703">
            <v>6586.9974604082099</v>
          </cell>
          <cell r="H2703">
            <v>0</v>
          </cell>
        </row>
        <row r="2704">
          <cell r="B2704" t="str">
            <v>REDBUD 11022013</v>
          </cell>
          <cell r="C2704">
            <v>43191102</v>
          </cell>
          <cell r="D2704" t="str">
            <v>REDBUD 1102</v>
          </cell>
          <cell r="E2704">
            <v>2013</v>
          </cell>
          <cell r="F2704" t="b">
            <v>1</v>
          </cell>
          <cell r="G2704">
            <v>7412.4545217635696</v>
          </cell>
          <cell r="H2704">
            <v>238.96785032390301</v>
          </cell>
        </row>
        <row r="2705">
          <cell r="B2705" t="str">
            <v>REDBUD 1102432</v>
          </cell>
          <cell r="C2705">
            <v>43191102</v>
          </cell>
          <cell r="D2705" t="str">
            <v>REDBUD 1102</v>
          </cell>
          <cell r="E2705">
            <v>432</v>
          </cell>
          <cell r="F2705" t="b">
            <v>0</v>
          </cell>
          <cell r="G2705">
            <v>18069.968605488</v>
          </cell>
          <cell r="H2705">
            <v>1802.36388294617</v>
          </cell>
        </row>
        <row r="2706">
          <cell r="B2706" t="str">
            <v>REDBUD 110244119</v>
          </cell>
          <cell r="C2706">
            <v>43191102</v>
          </cell>
          <cell r="D2706" t="str">
            <v>REDBUD 1102</v>
          </cell>
          <cell r="E2706">
            <v>44119</v>
          </cell>
          <cell r="F2706" t="b">
            <v>1</v>
          </cell>
          <cell r="G2706">
            <v>4510.2451212913702</v>
          </cell>
          <cell r="H2706">
            <v>512.721364663636</v>
          </cell>
        </row>
        <row r="2707">
          <cell r="B2707" t="str">
            <v>REDBUD 1102510</v>
          </cell>
          <cell r="C2707">
            <v>43191102</v>
          </cell>
          <cell r="D2707" t="str">
            <v>REDBUD 1102</v>
          </cell>
          <cell r="E2707">
            <v>510</v>
          </cell>
          <cell r="F2707" t="b">
            <v>0</v>
          </cell>
          <cell r="G2707">
            <v>13083.2787915771</v>
          </cell>
          <cell r="H2707">
            <v>6767.6988572622704</v>
          </cell>
        </row>
        <row r="2708">
          <cell r="B2708" t="str">
            <v>REDBUD 1102922</v>
          </cell>
          <cell r="C2708">
            <v>43191102</v>
          </cell>
          <cell r="D2708" t="str">
            <v>REDBUD 1102</v>
          </cell>
          <cell r="E2708">
            <v>922</v>
          </cell>
          <cell r="F2708" t="b">
            <v>0</v>
          </cell>
          <cell r="G2708">
            <v>12634.840691877</v>
          </cell>
          <cell r="H2708">
            <v>12589.4257558847</v>
          </cell>
        </row>
        <row r="2709">
          <cell r="B2709" t="str">
            <v>REDBUD 1102CB</v>
          </cell>
          <cell r="C2709">
            <v>43191102</v>
          </cell>
          <cell r="D2709" t="str">
            <v>REDBUD 1102</v>
          </cell>
          <cell r="E2709" t="str">
            <v>CB</v>
          </cell>
          <cell r="F2709" t="b">
            <v>0</v>
          </cell>
          <cell r="G2709">
            <v>32077.070141063599</v>
          </cell>
          <cell r="H2709">
            <v>28146.425619195499</v>
          </cell>
        </row>
        <row r="2710">
          <cell r="B2710" t="str">
            <v>REEDLEY 1104887932</v>
          </cell>
          <cell r="C2710">
            <v>252341104</v>
          </cell>
          <cell r="D2710" t="str">
            <v>REEDLEY 1104</v>
          </cell>
          <cell r="E2710">
            <v>887932</v>
          </cell>
          <cell r="F2710" t="b">
            <v>0</v>
          </cell>
          <cell r="G2710">
            <v>7830.5819764661901</v>
          </cell>
          <cell r="H2710">
            <v>2732.0867832816898</v>
          </cell>
        </row>
        <row r="2711">
          <cell r="B2711" t="str">
            <v>REEDLEY 1112477952</v>
          </cell>
          <cell r="C2711">
            <v>252341112</v>
          </cell>
          <cell r="D2711" t="str">
            <v>REEDLEY 1112</v>
          </cell>
          <cell r="E2711">
            <v>477952</v>
          </cell>
          <cell r="F2711" t="b">
            <v>1</v>
          </cell>
          <cell r="G2711">
            <v>2593.1423127703601</v>
          </cell>
          <cell r="H2711">
            <v>282.84654111422498</v>
          </cell>
        </row>
        <row r="2712">
          <cell r="B2712" t="str">
            <v>REEDLEY 11127240</v>
          </cell>
          <cell r="C2712">
            <v>252341112</v>
          </cell>
          <cell r="D2712" t="str">
            <v>REEDLEY 1112</v>
          </cell>
          <cell r="E2712">
            <v>7240</v>
          </cell>
          <cell r="F2712" t="b">
            <v>0</v>
          </cell>
          <cell r="G2712">
            <v>41066.749103139802</v>
          </cell>
          <cell r="H2712">
            <v>1553.9231130328201</v>
          </cell>
        </row>
        <row r="2713">
          <cell r="B2713" t="str">
            <v>RESEARCH 2102183888</v>
          </cell>
          <cell r="C2713">
            <v>14692102</v>
          </cell>
          <cell r="D2713" t="str">
            <v>RESEARCH 2102</v>
          </cell>
          <cell r="E2713">
            <v>183888</v>
          </cell>
          <cell r="F2713" t="b">
            <v>0</v>
          </cell>
          <cell r="G2713">
            <v>4871.8576879807797</v>
          </cell>
          <cell r="H2713">
            <v>1898.9744942017301</v>
          </cell>
        </row>
        <row r="2714">
          <cell r="B2714" t="str">
            <v>RESEARCH 2102446423</v>
          </cell>
          <cell r="C2714">
            <v>14692102</v>
          </cell>
          <cell r="D2714" t="str">
            <v>RESEARCH 2102</v>
          </cell>
          <cell r="E2714">
            <v>446423</v>
          </cell>
          <cell r="F2714" t="b">
            <v>0</v>
          </cell>
          <cell r="G2714">
            <v>2345.77491893352</v>
          </cell>
          <cell r="H2714">
            <v>1135.4020205126001</v>
          </cell>
        </row>
        <row r="2715">
          <cell r="B2715" t="str">
            <v>RESEARCH 210263274</v>
          </cell>
          <cell r="C2715">
            <v>14692102</v>
          </cell>
          <cell r="D2715" t="str">
            <v>RESEARCH 2102</v>
          </cell>
          <cell r="E2715">
            <v>63274</v>
          </cell>
          <cell r="F2715" t="b">
            <v>1</v>
          </cell>
          <cell r="G2715">
            <v>13077.116063777599</v>
          </cell>
          <cell r="H2715">
            <v>74.365236895784804</v>
          </cell>
        </row>
        <row r="2716">
          <cell r="B2716" t="str">
            <v>RESEARCH 2102644462</v>
          </cell>
          <cell r="C2716">
            <v>14692102</v>
          </cell>
          <cell r="D2716" t="str">
            <v>RESEARCH 2102</v>
          </cell>
          <cell r="E2716">
            <v>644462</v>
          </cell>
          <cell r="F2716" t="b">
            <v>1</v>
          </cell>
          <cell r="G2716">
            <v>2486.8084764159698</v>
          </cell>
          <cell r="H2716">
            <v>567.616138830208</v>
          </cell>
        </row>
        <row r="2717">
          <cell r="B2717" t="str">
            <v>RESERVATION ROAD 11013026</v>
          </cell>
          <cell r="C2717">
            <v>182731101</v>
          </cell>
          <cell r="D2717" t="str">
            <v>RESERVATION ROAD 1101</v>
          </cell>
          <cell r="E2717">
            <v>3026</v>
          </cell>
          <cell r="F2717" t="b">
            <v>0</v>
          </cell>
          <cell r="G2717">
            <v>36330.525120385202</v>
          </cell>
          <cell r="H2717">
            <v>35201.258240828902</v>
          </cell>
        </row>
        <row r="2718">
          <cell r="B2718" t="str">
            <v>RESERVATION ROAD 1101CB</v>
          </cell>
          <cell r="C2718">
            <v>182731101</v>
          </cell>
          <cell r="D2718" t="str">
            <v>RESERVATION ROAD 1101</v>
          </cell>
          <cell r="E2718" t="str">
            <v>CB</v>
          </cell>
          <cell r="F2718" t="b">
            <v>0</v>
          </cell>
          <cell r="G2718">
            <v>15128.6126997752</v>
          </cell>
          <cell r="H2718">
            <v>8212.8879652553096</v>
          </cell>
        </row>
        <row r="2719">
          <cell r="B2719" t="str">
            <v>RESERVATION ROAD 110222136</v>
          </cell>
          <cell r="C2719">
            <v>182731102</v>
          </cell>
          <cell r="D2719" t="str">
            <v>RESERVATION ROAD 1102</v>
          </cell>
          <cell r="E2719">
            <v>22136</v>
          </cell>
          <cell r="F2719" t="b">
            <v>0</v>
          </cell>
          <cell r="G2719">
            <v>8542.0355507894892</v>
          </cell>
          <cell r="H2719">
            <v>2842.9957285454998</v>
          </cell>
        </row>
        <row r="2720">
          <cell r="B2720" t="str">
            <v>RESERVATION ROAD 11023030</v>
          </cell>
          <cell r="C2720">
            <v>182731102</v>
          </cell>
          <cell r="D2720" t="str">
            <v>RESERVATION ROAD 1102</v>
          </cell>
          <cell r="E2720">
            <v>3030</v>
          </cell>
          <cell r="F2720" t="b">
            <v>0</v>
          </cell>
          <cell r="G2720">
            <v>41820.8596114213</v>
          </cell>
          <cell r="H2720">
            <v>16131.841774340901</v>
          </cell>
        </row>
        <row r="2721">
          <cell r="B2721" t="str">
            <v>RESERVATION ROAD 11023032</v>
          </cell>
          <cell r="C2721">
            <v>182731102</v>
          </cell>
          <cell r="D2721" t="str">
            <v>RESERVATION ROAD 1102</v>
          </cell>
          <cell r="E2721">
            <v>3032</v>
          </cell>
          <cell r="F2721" t="b">
            <v>0</v>
          </cell>
          <cell r="G2721">
            <v>15762.9703952415</v>
          </cell>
          <cell r="H2721">
            <v>5799.1689851668898</v>
          </cell>
        </row>
        <row r="2722">
          <cell r="B2722" t="str">
            <v>RESERVATION ROAD 1102303870</v>
          </cell>
          <cell r="C2722">
            <v>182731102</v>
          </cell>
          <cell r="D2722" t="str">
            <v>RESERVATION ROAD 1102</v>
          </cell>
          <cell r="E2722">
            <v>303870</v>
          </cell>
          <cell r="F2722" t="b">
            <v>0</v>
          </cell>
          <cell r="G2722">
            <v>1292.42482752719</v>
          </cell>
          <cell r="H2722">
            <v>1028.46383429976</v>
          </cell>
        </row>
        <row r="2723">
          <cell r="B2723" t="str">
            <v>RESERVATION ROAD 1102CB</v>
          </cell>
          <cell r="C2723">
            <v>182731102</v>
          </cell>
          <cell r="D2723" t="str">
            <v>RESERVATION ROAD 1102</v>
          </cell>
          <cell r="E2723" t="str">
            <v>CB</v>
          </cell>
          <cell r="F2723" t="b">
            <v>0</v>
          </cell>
          <cell r="G2723">
            <v>27553.079202999601</v>
          </cell>
          <cell r="H2723">
            <v>12591.579525699701</v>
          </cell>
        </row>
        <row r="2724">
          <cell r="B2724" t="str">
            <v>RIDGE 0401CB</v>
          </cell>
          <cell r="C2724">
            <v>12840401</v>
          </cell>
          <cell r="D2724" t="str">
            <v>RIDGE 0401</v>
          </cell>
          <cell r="E2724" t="str">
            <v>CB</v>
          </cell>
          <cell r="F2724" t="b">
            <v>0</v>
          </cell>
          <cell r="G2724">
            <v>4270.3120640851903</v>
          </cell>
          <cell r="H2724">
            <v>4270.3120640851903</v>
          </cell>
        </row>
        <row r="2725">
          <cell r="B2725" t="str">
            <v>RIDGE 0402CB</v>
          </cell>
          <cell r="C2725">
            <v>12840402</v>
          </cell>
          <cell r="D2725" t="str">
            <v>RIDGE 0402</v>
          </cell>
          <cell r="E2725" t="str">
            <v>CB</v>
          </cell>
          <cell r="F2725" t="b">
            <v>0</v>
          </cell>
          <cell r="G2725">
            <v>3860.7171284750698</v>
          </cell>
          <cell r="H2725">
            <v>2930.22711555567</v>
          </cell>
        </row>
        <row r="2726">
          <cell r="B2726" t="str">
            <v>RINCON 1101205854</v>
          </cell>
          <cell r="C2726">
            <v>43321101</v>
          </cell>
          <cell r="D2726" t="str">
            <v>RINCON 1101</v>
          </cell>
          <cell r="E2726">
            <v>205854</v>
          </cell>
          <cell r="F2726" t="b">
            <v>1</v>
          </cell>
          <cell r="G2726">
            <v>505.107935991945</v>
          </cell>
          <cell r="H2726">
            <v>505.107935991945</v>
          </cell>
        </row>
        <row r="2727">
          <cell r="B2727" t="str">
            <v>RINCON 1101539980</v>
          </cell>
          <cell r="C2727">
            <v>43321101</v>
          </cell>
          <cell r="D2727" t="str">
            <v>RINCON 1101</v>
          </cell>
          <cell r="E2727">
            <v>539980</v>
          </cell>
          <cell r="F2727" t="b">
            <v>1</v>
          </cell>
          <cell r="G2727">
            <v>697.29034164981397</v>
          </cell>
          <cell r="H2727">
            <v>474.65464916448099</v>
          </cell>
        </row>
        <row r="2728">
          <cell r="B2728" t="str">
            <v>RINCON 1101576</v>
          </cell>
          <cell r="C2728">
            <v>43321101</v>
          </cell>
          <cell r="D2728" t="str">
            <v>RINCON 1101</v>
          </cell>
          <cell r="E2728">
            <v>576</v>
          </cell>
          <cell r="F2728" t="b">
            <v>0</v>
          </cell>
          <cell r="G2728">
            <v>13079.425483249701</v>
          </cell>
          <cell r="H2728">
            <v>1582.55922629206</v>
          </cell>
        </row>
        <row r="2729">
          <cell r="B2729" t="str">
            <v>RINCON 1101578</v>
          </cell>
          <cell r="C2729">
            <v>43321101</v>
          </cell>
          <cell r="D2729" t="str">
            <v>RINCON 1101</v>
          </cell>
          <cell r="E2729">
            <v>578</v>
          </cell>
          <cell r="F2729" t="b">
            <v>0</v>
          </cell>
          <cell r="G2729">
            <v>29556.667602150199</v>
          </cell>
          <cell r="H2729">
            <v>27517.497748217302</v>
          </cell>
        </row>
        <row r="2730">
          <cell r="B2730" t="str">
            <v>RINCON 1101663641</v>
          </cell>
          <cell r="C2730">
            <v>43321101</v>
          </cell>
          <cell r="D2730" t="str">
            <v>RINCON 1101</v>
          </cell>
          <cell r="E2730">
            <v>663641</v>
          </cell>
          <cell r="F2730" t="b">
            <v>0</v>
          </cell>
          <cell r="G2730">
            <v>1909.33404400227</v>
          </cell>
          <cell r="H2730">
            <v>1173.5612522666499</v>
          </cell>
        </row>
        <row r="2731">
          <cell r="B2731" t="str">
            <v>RINCON 1101839669</v>
          </cell>
          <cell r="C2731">
            <v>43321101</v>
          </cell>
          <cell r="D2731" t="str">
            <v>RINCON 1101</v>
          </cell>
          <cell r="E2731">
            <v>839669</v>
          </cell>
          <cell r="F2731" t="b">
            <v>1</v>
          </cell>
          <cell r="G2731">
            <v>1273.78357663885</v>
          </cell>
          <cell r="H2731">
            <v>989.21902951081597</v>
          </cell>
        </row>
        <row r="2732">
          <cell r="B2732" t="str">
            <v>RINCON 1101CB</v>
          </cell>
          <cell r="C2732">
            <v>43321101</v>
          </cell>
          <cell r="D2732" t="str">
            <v>RINCON 1101</v>
          </cell>
          <cell r="E2732" t="str">
            <v>CB</v>
          </cell>
          <cell r="F2732" t="b">
            <v>0</v>
          </cell>
          <cell r="G2732">
            <v>7739.8410858978696</v>
          </cell>
          <cell r="H2732">
            <v>2580.5040696255801</v>
          </cell>
        </row>
        <row r="2733">
          <cell r="B2733" t="str">
            <v>RINCON 1102640</v>
          </cell>
          <cell r="C2733">
            <v>43321102</v>
          </cell>
          <cell r="D2733" t="str">
            <v>RINCON 1102</v>
          </cell>
          <cell r="E2733">
            <v>640</v>
          </cell>
          <cell r="F2733" t="b">
            <v>1</v>
          </cell>
          <cell r="G2733">
            <v>6850.9553423106599</v>
          </cell>
          <cell r="H2733">
            <v>0</v>
          </cell>
        </row>
        <row r="2734">
          <cell r="B2734" t="str">
            <v>RINCON 1102782389</v>
          </cell>
          <cell r="C2734">
            <v>43321102</v>
          </cell>
          <cell r="D2734" t="str">
            <v>RINCON 1102</v>
          </cell>
          <cell r="E2734">
            <v>782389</v>
          </cell>
          <cell r="F2734" t="b">
            <v>1</v>
          </cell>
          <cell r="G2734">
            <v>861.60155122830201</v>
          </cell>
          <cell r="H2734">
            <v>585.95969516302705</v>
          </cell>
        </row>
        <row r="2735">
          <cell r="B2735" t="str">
            <v>RINCON 1102CB</v>
          </cell>
          <cell r="C2735">
            <v>43321102</v>
          </cell>
          <cell r="D2735" t="str">
            <v>RINCON 1102</v>
          </cell>
          <cell r="E2735" t="str">
            <v>CB</v>
          </cell>
          <cell r="F2735" t="b">
            <v>0</v>
          </cell>
          <cell r="G2735">
            <v>5699.8132387856704</v>
          </cell>
          <cell r="H2735">
            <v>4772.46852602121</v>
          </cell>
        </row>
        <row r="2736">
          <cell r="B2736" t="str">
            <v>RINCON 1103198</v>
          </cell>
          <cell r="C2736">
            <v>43321103</v>
          </cell>
          <cell r="D2736" t="str">
            <v>RINCON 1103</v>
          </cell>
          <cell r="E2736">
            <v>198</v>
          </cell>
          <cell r="F2736" t="b">
            <v>0</v>
          </cell>
          <cell r="G2736">
            <v>10335.817910175199</v>
          </cell>
          <cell r="H2736">
            <v>10335.817910175199</v>
          </cell>
        </row>
        <row r="2737">
          <cell r="B2737" t="str">
            <v>RINCON 1103472</v>
          </cell>
          <cell r="C2737">
            <v>43321103</v>
          </cell>
          <cell r="D2737" t="str">
            <v>RINCON 1103</v>
          </cell>
          <cell r="E2737">
            <v>472</v>
          </cell>
          <cell r="F2737" t="b">
            <v>0</v>
          </cell>
          <cell r="G2737">
            <v>7739.15513687161</v>
          </cell>
          <cell r="H2737">
            <v>4930.8207690173303</v>
          </cell>
        </row>
        <row r="2738">
          <cell r="B2738" t="str">
            <v>RINCON 1103474</v>
          </cell>
          <cell r="C2738">
            <v>43321103</v>
          </cell>
          <cell r="D2738" t="str">
            <v>RINCON 1103</v>
          </cell>
          <cell r="E2738">
            <v>474</v>
          </cell>
          <cell r="F2738" t="b">
            <v>0</v>
          </cell>
          <cell r="G2738">
            <v>29501.144772830201</v>
          </cell>
          <cell r="H2738">
            <v>29501.144772830201</v>
          </cell>
        </row>
        <row r="2739">
          <cell r="B2739" t="str">
            <v>RINCON 11035152</v>
          </cell>
          <cell r="C2739">
            <v>43321103</v>
          </cell>
          <cell r="D2739" t="str">
            <v>RINCON 1103</v>
          </cell>
          <cell r="E2739">
            <v>5152</v>
          </cell>
          <cell r="F2739" t="b">
            <v>0</v>
          </cell>
          <cell r="G2739">
            <v>2685.0441546176498</v>
          </cell>
          <cell r="H2739">
            <v>2685.0441546176498</v>
          </cell>
        </row>
        <row r="2740">
          <cell r="B2740" t="str">
            <v>RINCON 1103568</v>
          </cell>
          <cell r="C2740">
            <v>43321103</v>
          </cell>
          <cell r="D2740" t="str">
            <v>RINCON 1103</v>
          </cell>
          <cell r="E2740">
            <v>568</v>
          </cell>
          <cell r="F2740" t="b">
            <v>0</v>
          </cell>
          <cell r="G2740">
            <v>20285.883213253699</v>
          </cell>
          <cell r="H2740">
            <v>20285.883213253699</v>
          </cell>
        </row>
        <row r="2741">
          <cell r="B2741" t="str">
            <v>RINCON 1103CB</v>
          </cell>
          <cell r="C2741">
            <v>43321103</v>
          </cell>
          <cell r="D2741" t="str">
            <v>RINCON 1103</v>
          </cell>
          <cell r="E2741" t="str">
            <v>CB</v>
          </cell>
          <cell r="F2741" t="b">
            <v>0</v>
          </cell>
          <cell r="G2741">
            <v>6066.7415075839799</v>
          </cell>
          <cell r="H2741">
            <v>3931.2505188917398</v>
          </cell>
        </row>
        <row r="2742">
          <cell r="B2742" t="str">
            <v>RINCON 1104786782</v>
          </cell>
          <cell r="C2742">
            <v>43321104</v>
          </cell>
          <cell r="D2742" t="str">
            <v>RINCON 1104</v>
          </cell>
          <cell r="E2742">
            <v>786782</v>
          </cell>
          <cell r="F2742" t="b">
            <v>0</v>
          </cell>
          <cell r="G2742">
            <v>5173.0207264327601</v>
          </cell>
          <cell r="H2742">
            <v>3549.2326150583899</v>
          </cell>
        </row>
        <row r="2743">
          <cell r="B2743" t="str">
            <v>RINCON 1104CB</v>
          </cell>
          <cell r="C2743">
            <v>43321104</v>
          </cell>
          <cell r="D2743" t="str">
            <v>RINCON 1104</v>
          </cell>
          <cell r="E2743" t="str">
            <v>CB</v>
          </cell>
          <cell r="F2743" t="b">
            <v>1</v>
          </cell>
          <cell r="G2743">
            <v>3983.6129721427801</v>
          </cell>
          <cell r="H2743">
            <v>901.43318802735996</v>
          </cell>
        </row>
        <row r="2744">
          <cell r="B2744" t="str">
            <v>RIO DEL MAR 0401931192</v>
          </cell>
          <cell r="C2744">
            <v>83260401</v>
          </cell>
          <cell r="D2744" t="str">
            <v>RIO DEL MAR 0401</v>
          </cell>
          <cell r="E2744">
            <v>931192</v>
          </cell>
          <cell r="F2744" t="b">
            <v>0</v>
          </cell>
          <cell r="G2744">
            <v>11415.597112270199</v>
          </cell>
          <cell r="H2744">
            <v>3615.6701361301102</v>
          </cell>
        </row>
        <row r="2745">
          <cell r="B2745" t="str">
            <v>RIO DELL 11021504</v>
          </cell>
          <cell r="C2745">
            <v>192251102</v>
          </cell>
          <cell r="D2745" t="str">
            <v>RIO DELL 1102</v>
          </cell>
          <cell r="E2745">
            <v>1504</v>
          </cell>
          <cell r="F2745" t="b">
            <v>0</v>
          </cell>
          <cell r="G2745">
            <v>19432.047451965002</v>
          </cell>
          <cell r="H2745">
            <v>17454.8051120829</v>
          </cell>
        </row>
        <row r="2746">
          <cell r="B2746" t="str">
            <v>RIO DELL 1102214052</v>
          </cell>
          <cell r="C2746">
            <v>192251102</v>
          </cell>
          <cell r="D2746" t="str">
            <v>RIO DELL 1102</v>
          </cell>
          <cell r="E2746">
            <v>214052</v>
          </cell>
          <cell r="F2746" t="b">
            <v>1</v>
          </cell>
          <cell r="G2746">
            <v>1011.6764453944</v>
          </cell>
          <cell r="H2746">
            <v>941.15870726872799</v>
          </cell>
        </row>
        <row r="2747">
          <cell r="B2747" t="str">
            <v>RIO DELL 11024230</v>
          </cell>
          <cell r="C2747">
            <v>192251102</v>
          </cell>
          <cell r="D2747" t="str">
            <v>RIO DELL 1102</v>
          </cell>
          <cell r="E2747">
            <v>4230</v>
          </cell>
          <cell r="F2747" t="b">
            <v>0</v>
          </cell>
          <cell r="G2747">
            <v>36923.387403140703</v>
          </cell>
          <cell r="H2747">
            <v>36847.624826813299</v>
          </cell>
        </row>
        <row r="2748">
          <cell r="B2748" t="str">
            <v>RIO DELL 110270960</v>
          </cell>
          <cell r="C2748">
            <v>192251102</v>
          </cell>
          <cell r="D2748" t="str">
            <v>RIO DELL 1102</v>
          </cell>
          <cell r="E2748">
            <v>70960</v>
          </cell>
          <cell r="F2748" t="b">
            <v>0</v>
          </cell>
          <cell r="G2748">
            <v>18837.827846555701</v>
          </cell>
          <cell r="H2748">
            <v>9297.8122467411395</v>
          </cell>
        </row>
        <row r="2749">
          <cell r="B2749" t="str">
            <v>RIO DELL 11027124</v>
          </cell>
          <cell r="C2749">
            <v>192251102</v>
          </cell>
          <cell r="D2749" t="str">
            <v>RIO DELL 1102</v>
          </cell>
          <cell r="E2749">
            <v>7124</v>
          </cell>
          <cell r="F2749" t="b">
            <v>0</v>
          </cell>
          <cell r="G2749">
            <v>1081.37433168949</v>
          </cell>
          <cell r="H2749">
            <v>1081.37433168949</v>
          </cell>
        </row>
        <row r="2750">
          <cell r="B2750" t="str">
            <v>RIO DELL 110275970</v>
          </cell>
          <cell r="C2750">
            <v>192251102</v>
          </cell>
          <cell r="D2750" t="str">
            <v>RIO DELL 1102</v>
          </cell>
          <cell r="E2750">
            <v>75970</v>
          </cell>
          <cell r="F2750" t="b">
            <v>0</v>
          </cell>
          <cell r="G2750">
            <v>11378.8383657997</v>
          </cell>
          <cell r="H2750">
            <v>11378.8383657997</v>
          </cell>
        </row>
        <row r="2751">
          <cell r="B2751" t="str">
            <v>RIO DELL 1102772210</v>
          </cell>
          <cell r="C2751">
            <v>192251102</v>
          </cell>
          <cell r="D2751" t="str">
            <v>RIO DELL 1102</v>
          </cell>
          <cell r="E2751">
            <v>772210</v>
          </cell>
          <cell r="F2751" t="b">
            <v>0</v>
          </cell>
          <cell r="G2751">
            <v>5622.5297289063301</v>
          </cell>
          <cell r="H2751">
            <v>1329.77933855316</v>
          </cell>
        </row>
        <row r="2752">
          <cell r="B2752" t="str">
            <v>RIO DELL 11028852</v>
          </cell>
          <cell r="C2752">
            <v>192251102</v>
          </cell>
          <cell r="D2752" t="str">
            <v>RIO DELL 1102</v>
          </cell>
          <cell r="E2752">
            <v>8852</v>
          </cell>
          <cell r="F2752" t="b">
            <v>0</v>
          </cell>
          <cell r="G2752">
            <v>7650.5093589870203</v>
          </cell>
          <cell r="H2752">
            <v>7473.98989687219</v>
          </cell>
        </row>
        <row r="2753">
          <cell r="B2753" t="str">
            <v>RIO DELL 1102CB</v>
          </cell>
          <cell r="C2753">
            <v>192251102</v>
          </cell>
          <cell r="D2753" t="str">
            <v>RIO DELL 1102</v>
          </cell>
          <cell r="E2753" t="str">
            <v>CB</v>
          </cell>
          <cell r="F2753" t="b">
            <v>1</v>
          </cell>
          <cell r="G2753">
            <v>10445.4546966909</v>
          </cell>
          <cell r="H2753">
            <v>0</v>
          </cell>
        </row>
        <row r="2754">
          <cell r="B2754" t="str">
            <v>RISING RIVER 11011530</v>
          </cell>
          <cell r="C2754">
            <v>103551101</v>
          </cell>
          <cell r="D2754" t="str">
            <v>RISING RIVER 1101</v>
          </cell>
          <cell r="E2754">
            <v>1530</v>
          </cell>
          <cell r="F2754" t="b">
            <v>0</v>
          </cell>
          <cell r="G2754">
            <v>28483.8521222571</v>
          </cell>
          <cell r="H2754">
            <v>18168.0105576838</v>
          </cell>
        </row>
        <row r="2755">
          <cell r="B2755" t="str">
            <v>RISING RIVER 11011532</v>
          </cell>
          <cell r="C2755">
            <v>103551101</v>
          </cell>
          <cell r="D2755" t="str">
            <v>RISING RIVER 1101</v>
          </cell>
          <cell r="E2755">
            <v>1532</v>
          </cell>
          <cell r="F2755" t="b">
            <v>0</v>
          </cell>
          <cell r="G2755">
            <v>7926.8977530452403</v>
          </cell>
          <cell r="H2755">
            <v>6133.1892999869797</v>
          </cell>
        </row>
        <row r="2756">
          <cell r="B2756" t="str">
            <v>RISING RIVER 11019032</v>
          </cell>
          <cell r="C2756">
            <v>103551101</v>
          </cell>
          <cell r="D2756" t="str">
            <v>RISING RIVER 1101</v>
          </cell>
          <cell r="E2756">
            <v>9032</v>
          </cell>
          <cell r="F2756" t="b">
            <v>0</v>
          </cell>
          <cell r="G2756">
            <v>37853.358100378398</v>
          </cell>
          <cell r="H2756">
            <v>36827.563314977699</v>
          </cell>
        </row>
        <row r="2757">
          <cell r="B2757" t="str">
            <v>RISING RIVER 1101CB</v>
          </cell>
          <cell r="C2757">
            <v>103551101</v>
          </cell>
          <cell r="D2757" t="str">
            <v>RISING RIVER 1101</v>
          </cell>
          <cell r="E2757" t="str">
            <v>CB</v>
          </cell>
          <cell r="F2757" t="b">
            <v>0</v>
          </cell>
          <cell r="G2757">
            <v>21509.969368366899</v>
          </cell>
          <cell r="H2757">
            <v>15956.2358730631</v>
          </cell>
        </row>
        <row r="2758">
          <cell r="B2758" t="str">
            <v>ROB ROY 210410298</v>
          </cell>
          <cell r="C2758">
            <v>83692104</v>
          </cell>
          <cell r="D2758" t="str">
            <v>ROB ROY 2104</v>
          </cell>
          <cell r="E2758">
            <v>10298</v>
          </cell>
          <cell r="F2758" t="b">
            <v>0</v>
          </cell>
          <cell r="G2758">
            <v>21540.325333705001</v>
          </cell>
          <cell r="H2758">
            <v>17635.974648382999</v>
          </cell>
        </row>
        <row r="2759">
          <cell r="B2759" t="str">
            <v>ROB ROY 210410714</v>
          </cell>
          <cell r="C2759">
            <v>83692104</v>
          </cell>
          <cell r="D2759" t="str">
            <v>ROB ROY 2104</v>
          </cell>
          <cell r="E2759">
            <v>10714</v>
          </cell>
          <cell r="F2759" t="b">
            <v>0</v>
          </cell>
          <cell r="G2759">
            <v>31415.188820610099</v>
          </cell>
          <cell r="H2759">
            <v>22795.515690628701</v>
          </cell>
        </row>
        <row r="2760">
          <cell r="B2760" t="str">
            <v>ROB ROY 210410930</v>
          </cell>
          <cell r="C2760">
            <v>83692104</v>
          </cell>
          <cell r="D2760" t="str">
            <v>ROB ROY 2104</v>
          </cell>
          <cell r="E2760">
            <v>10930</v>
          </cell>
          <cell r="F2760" t="b">
            <v>0</v>
          </cell>
          <cell r="G2760">
            <v>18316.5864041858</v>
          </cell>
          <cell r="H2760">
            <v>1585.2477129945</v>
          </cell>
        </row>
        <row r="2761">
          <cell r="B2761" t="str">
            <v>ROB ROY 210410954</v>
          </cell>
          <cell r="C2761">
            <v>83692104</v>
          </cell>
          <cell r="D2761" t="str">
            <v>ROB ROY 2104</v>
          </cell>
          <cell r="E2761">
            <v>10954</v>
          </cell>
          <cell r="F2761" t="b">
            <v>0</v>
          </cell>
          <cell r="G2761">
            <v>11428.748304913601</v>
          </cell>
          <cell r="H2761">
            <v>11428.748304913601</v>
          </cell>
        </row>
        <row r="2762">
          <cell r="B2762" t="str">
            <v>ROB ROY 210410960</v>
          </cell>
          <cell r="C2762">
            <v>83692104</v>
          </cell>
          <cell r="D2762" t="str">
            <v>ROB ROY 2104</v>
          </cell>
          <cell r="E2762">
            <v>10960</v>
          </cell>
          <cell r="F2762" t="b">
            <v>0</v>
          </cell>
          <cell r="G2762">
            <v>45089.9596984577</v>
          </cell>
          <cell r="H2762">
            <v>30132.538653887099</v>
          </cell>
        </row>
        <row r="2763">
          <cell r="B2763" t="str">
            <v>ROB ROY 210412596</v>
          </cell>
          <cell r="C2763">
            <v>83692104</v>
          </cell>
          <cell r="D2763" t="str">
            <v>ROB ROY 2104</v>
          </cell>
          <cell r="E2763">
            <v>12596</v>
          </cell>
          <cell r="F2763" t="b">
            <v>0</v>
          </cell>
          <cell r="G2763">
            <v>17025.8656728977</v>
          </cell>
          <cell r="H2763">
            <v>12925.078560323</v>
          </cell>
        </row>
        <row r="2764">
          <cell r="B2764" t="str">
            <v>ROB ROY 21045082</v>
          </cell>
          <cell r="C2764">
            <v>83692104</v>
          </cell>
          <cell r="D2764" t="str">
            <v>ROB ROY 2104</v>
          </cell>
          <cell r="E2764">
            <v>5082</v>
          </cell>
          <cell r="F2764" t="b">
            <v>0</v>
          </cell>
          <cell r="G2764">
            <v>33362.418006462598</v>
          </cell>
          <cell r="H2764">
            <v>32012.7006768875</v>
          </cell>
        </row>
        <row r="2765">
          <cell r="B2765" t="str">
            <v>ROB ROY 21045304</v>
          </cell>
          <cell r="C2765">
            <v>83692104</v>
          </cell>
          <cell r="D2765" t="str">
            <v>ROB ROY 2104</v>
          </cell>
          <cell r="E2765">
            <v>5304</v>
          </cell>
          <cell r="F2765" t="b">
            <v>0</v>
          </cell>
          <cell r="G2765">
            <v>8039.9736547574703</v>
          </cell>
          <cell r="H2765">
            <v>5763.2850119582799</v>
          </cell>
        </row>
        <row r="2766">
          <cell r="B2766" t="str">
            <v>ROB ROY 21046577</v>
          </cell>
          <cell r="C2766">
            <v>83692104</v>
          </cell>
          <cell r="D2766" t="str">
            <v>ROB ROY 2104</v>
          </cell>
          <cell r="E2766">
            <v>6577</v>
          </cell>
          <cell r="F2766" t="b">
            <v>0</v>
          </cell>
          <cell r="G2766">
            <v>5581.4139146421903</v>
          </cell>
          <cell r="H2766">
            <v>5581.4139146421903</v>
          </cell>
        </row>
        <row r="2767">
          <cell r="B2767" t="str">
            <v>ROB ROY 21049973</v>
          </cell>
          <cell r="C2767">
            <v>83692104</v>
          </cell>
          <cell r="D2767" t="str">
            <v>ROB ROY 2104</v>
          </cell>
          <cell r="E2767">
            <v>9973</v>
          </cell>
          <cell r="F2767" t="b">
            <v>1</v>
          </cell>
          <cell r="G2767">
            <v>921.51823176058497</v>
          </cell>
          <cell r="H2767">
            <v>921.51823176058497</v>
          </cell>
        </row>
        <row r="2768">
          <cell r="B2768" t="str">
            <v>ROB ROY 2104CB</v>
          </cell>
          <cell r="C2768">
            <v>83692104</v>
          </cell>
          <cell r="D2768" t="str">
            <v>ROB ROY 2104</v>
          </cell>
          <cell r="E2768" t="str">
            <v>CB</v>
          </cell>
          <cell r="F2768" t="b">
            <v>0</v>
          </cell>
          <cell r="G2768">
            <v>23033.379206698301</v>
          </cell>
          <cell r="H2768">
            <v>23033.379206698301</v>
          </cell>
        </row>
        <row r="2769">
          <cell r="B2769" t="str">
            <v>ROB ROY 210512474</v>
          </cell>
          <cell r="C2769">
            <v>83692105</v>
          </cell>
          <cell r="D2769" t="str">
            <v>ROB ROY 2105</v>
          </cell>
          <cell r="E2769">
            <v>12474</v>
          </cell>
          <cell r="F2769" t="b">
            <v>0</v>
          </cell>
          <cell r="G2769">
            <v>13789.0354782014</v>
          </cell>
          <cell r="H2769">
            <v>5487.3000736473196</v>
          </cell>
        </row>
        <row r="2770">
          <cell r="B2770" t="str">
            <v>ROB ROY 210512584</v>
          </cell>
          <cell r="C2770">
            <v>83692105</v>
          </cell>
          <cell r="D2770" t="str">
            <v>ROB ROY 2105</v>
          </cell>
          <cell r="E2770">
            <v>12584</v>
          </cell>
          <cell r="F2770" t="b">
            <v>0</v>
          </cell>
          <cell r="G2770">
            <v>41638.889721319298</v>
          </cell>
          <cell r="H2770">
            <v>5651.1648454135702</v>
          </cell>
        </row>
        <row r="2771">
          <cell r="B2771" t="str">
            <v>ROB ROY 210512586</v>
          </cell>
          <cell r="C2771">
            <v>83692105</v>
          </cell>
          <cell r="D2771" t="str">
            <v>ROB ROY 2105</v>
          </cell>
          <cell r="E2771">
            <v>12586</v>
          </cell>
          <cell r="F2771" t="b">
            <v>0</v>
          </cell>
          <cell r="G2771">
            <v>10478.250612842899</v>
          </cell>
          <cell r="H2771">
            <v>3041.3303635040502</v>
          </cell>
        </row>
        <row r="2772">
          <cell r="B2772" t="str">
            <v>ROB ROY 210538430</v>
          </cell>
          <cell r="C2772">
            <v>83692105</v>
          </cell>
          <cell r="D2772" t="str">
            <v>ROB ROY 2105</v>
          </cell>
          <cell r="E2772">
            <v>38430</v>
          </cell>
          <cell r="F2772" t="b">
            <v>0</v>
          </cell>
          <cell r="G2772">
            <v>10237.4777237854</v>
          </cell>
          <cell r="H2772">
            <v>6060.3575350320798</v>
          </cell>
        </row>
        <row r="2773">
          <cell r="B2773" t="str">
            <v>ROB ROY 21055090</v>
          </cell>
          <cell r="C2773">
            <v>83692105</v>
          </cell>
          <cell r="D2773" t="str">
            <v>ROB ROY 2105</v>
          </cell>
          <cell r="E2773">
            <v>5090</v>
          </cell>
          <cell r="F2773" t="b">
            <v>0</v>
          </cell>
          <cell r="G2773">
            <v>34218.656570002902</v>
          </cell>
          <cell r="H2773">
            <v>34218.656570002902</v>
          </cell>
        </row>
        <row r="2774">
          <cell r="B2774" t="str">
            <v>ROB ROY 21055166</v>
          </cell>
          <cell r="C2774">
            <v>83692105</v>
          </cell>
          <cell r="D2774" t="str">
            <v>ROB ROY 2105</v>
          </cell>
          <cell r="E2774">
            <v>5166</v>
          </cell>
          <cell r="F2774" t="b">
            <v>0</v>
          </cell>
          <cell r="G2774">
            <v>8840.5785571237593</v>
          </cell>
          <cell r="H2774">
            <v>8840.5785571237593</v>
          </cell>
        </row>
        <row r="2775">
          <cell r="B2775" t="str">
            <v>ROB ROY 210571630</v>
          </cell>
          <cell r="C2775">
            <v>83692105</v>
          </cell>
          <cell r="D2775" t="str">
            <v>ROB ROY 2105</v>
          </cell>
          <cell r="E2775">
            <v>71630</v>
          </cell>
          <cell r="F2775" t="b">
            <v>0</v>
          </cell>
          <cell r="G2775">
            <v>3041.9597004975699</v>
          </cell>
          <cell r="H2775">
            <v>2182.1843229328701</v>
          </cell>
        </row>
        <row r="2776">
          <cell r="B2776" t="str">
            <v>ROB ROY 2105CB</v>
          </cell>
          <cell r="C2776">
            <v>83692105</v>
          </cell>
          <cell r="D2776" t="str">
            <v>ROB ROY 2105</v>
          </cell>
          <cell r="E2776" t="str">
            <v>CB</v>
          </cell>
          <cell r="F2776" t="b">
            <v>0</v>
          </cell>
          <cell r="G2776">
            <v>2115.1185675882598</v>
          </cell>
          <cell r="H2776">
            <v>1181.1240946733601</v>
          </cell>
        </row>
        <row r="2777">
          <cell r="B2777" t="str">
            <v>ROSSMOOR 110168920</v>
          </cell>
          <cell r="C2777">
            <v>14161101</v>
          </cell>
          <cell r="D2777" t="str">
            <v>ROSSMOOR 1101</v>
          </cell>
          <cell r="E2777">
            <v>68920</v>
          </cell>
          <cell r="F2777" t="b">
            <v>0</v>
          </cell>
          <cell r="G2777">
            <v>11754.438162856701</v>
          </cell>
          <cell r="H2777">
            <v>10341.5361418795</v>
          </cell>
        </row>
        <row r="2778">
          <cell r="B2778" t="str">
            <v>ROSSMOOR 11018132</v>
          </cell>
          <cell r="C2778">
            <v>14161101</v>
          </cell>
          <cell r="D2778" t="str">
            <v>ROSSMOOR 1101</v>
          </cell>
          <cell r="E2778">
            <v>8132</v>
          </cell>
          <cell r="F2778" t="b">
            <v>0</v>
          </cell>
          <cell r="G2778">
            <v>5814.9581618455104</v>
          </cell>
          <cell r="H2778">
            <v>4248.0139655319099</v>
          </cell>
        </row>
        <row r="2779">
          <cell r="B2779" t="str">
            <v>ROSSMOOR 110181770</v>
          </cell>
          <cell r="C2779">
            <v>14161101</v>
          </cell>
          <cell r="D2779" t="str">
            <v>ROSSMOOR 1101</v>
          </cell>
          <cell r="E2779">
            <v>81770</v>
          </cell>
          <cell r="F2779" t="b">
            <v>1</v>
          </cell>
          <cell r="G2779">
            <v>2254.8682302954599</v>
          </cell>
          <cell r="H2779">
            <v>110.42245055572801</v>
          </cell>
        </row>
        <row r="2780">
          <cell r="B2780" t="str">
            <v>ROSSMOOR 1101L503R</v>
          </cell>
          <cell r="C2780">
            <v>14161101</v>
          </cell>
          <cell r="D2780" t="str">
            <v>ROSSMOOR 1101</v>
          </cell>
          <cell r="E2780" t="str">
            <v>L503R</v>
          </cell>
          <cell r="F2780" t="b">
            <v>0</v>
          </cell>
          <cell r="G2780">
            <v>6910.8038098259904</v>
          </cell>
          <cell r="H2780">
            <v>6910.8038098259904</v>
          </cell>
        </row>
        <row r="2781">
          <cell r="B2781" t="str">
            <v>ROSSMOOR 1102457174</v>
          </cell>
          <cell r="C2781">
            <v>14161102</v>
          </cell>
          <cell r="D2781" t="str">
            <v>ROSSMOOR 1102</v>
          </cell>
          <cell r="E2781">
            <v>457174</v>
          </cell>
          <cell r="F2781" t="b">
            <v>1</v>
          </cell>
          <cell r="G2781">
            <v>1940.650704804</v>
          </cell>
          <cell r="H2781">
            <v>925.54513201560098</v>
          </cell>
        </row>
        <row r="2782">
          <cell r="B2782" t="str">
            <v>ROSSMOOR 110479146</v>
          </cell>
          <cell r="C2782">
            <v>14161104</v>
          </cell>
          <cell r="D2782" t="str">
            <v>ROSSMOOR 1104</v>
          </cell>
          <cell r="E2782">
            <v>79146</v>
          </cell>
          <cell r="F2782" t="b">
            <v>1</v>
          </cell>
          <cell r="G2782">
            <v>3115.0804014432301</v>
          </cell>
          <cell r="H2782">
            <v>85.6156696299076</v>
          </cell>
        </row>
        <row r="2783">
          <cell r="B2783" t="str">
            <v>ROSSMOOR 1104892332</v>
          </cell>
          <cell r="C2783">
            <v>14161104</v>
          </cell>
          <cell r="D2783" t="str">
            <v>ROSSMOOR 1104</v>
          </cell>
          <cell r="E2783">
            <v>892332</v>
          </cell>
          <cell r="F2783" t="b">
            <v>1</v>
          </cell>
          <cell r="G2783">
            <v>410.22303084879098</v>
          </cell>
          <cell r="H2783">
            <v>410.22303084879098</v>
          </cell>
        </row>
        <row r="2784">
          <cell r="B2784" t="str">
            <v>ROSSMOOR 1104CB</v>
          </cell>
          <cell r="C2784">
            <v>14161104</v>
          </cell>
          <cell r="D2784" t="str">
            <v>ROSSMOOR 1104</v>
          </cell>
          <cell r="E2784" t="str">
            <v>CB</v>
          </cell>
          <cell r="F2784" t="b">
            <v>1</v>
          </cell>
          <cell r="G2784">
            <v>17820.871304739099</v>
          </cell>
          <cell r="H2784">
            <v>0</v>
          </cell>
        </row>
        <row r="2785">
          <cell r="B2785" t="str">
            <v>ROSSMOOR 110639424</v>
          </cell>
          <cell r="C2785">
            <v>14161106</v>
          </cell>
          <cell r="D2785" t="str">
            <v>ROSSMOOR 1106</v>
          </cell>
          <cell r="E2785">
            <v>39424</v>
          </cell>
          <cell r="F2785" t="b">
            <v>0</v>
          </cell>
          <cell r="G2785">
            <v>3992.92251291087</v>
          </cell>
          <cell r="H2785">
            <v>1481.6597528473701</v>
          </cell>
        </row>
        <row r="2786">
          <cell r="B2786" t="str">
            <v>ROSSMOOR 110676468</v>
          </cell>
          <cell r="C2786">
            <v>14161106</v>
          </cell>
          <cell r="D2786" t="str">
            <v>ROSSMOOR 1106</v>
          </cell>
          <cell r="E2786">
            <v>76468</v>
          </cell>
          <cell r="F2786" t="b">
            <v>0</v>
          </cell>
          <cell r="G2786">
            <v>4744.0084540163298</v>
          </cell>
          <cell r="H2786">
            <v>1281.0775636776</v>
          </cell>
        </row>
        <row r="2787">
          <cell r="B2787" t="str">
            <v>ROSSMOOR 1106CB</v>
          </cell>
          <cell r="C2787">
            <v>14161106</v>
          </cell>
          <cell r="D2787" t="str">
            <v>ROSSMOOR 1106</v>
          </cell>
          <cell r="E2787" t="str">
            <v>CB</v>
          </cell>
          <cell r="F2787" t="b">
            <v>0</v>
          </cell>
          <cell r="G2787">
            <v>7735.77333185312</v>
          </cell>
          <cell r="H2787">
            <v>2937.1415421628999</v>
          </cell>
        </row>
        <row r="2788">
          <cell r="B2788" t="str">
            <v>ROSSMOOR 1106L522R</v>
          </cell>
          <cell r="C2788">
            <v>14161106</v>
          </cell>
          <cell r="D2788" t="str">
            <v>ROSSMOOR 1106</v>
          </cell>
          <cell r="E2788" t="str">
            <v>L522R</v>
          </cell>
          <cell r="F2788" t="b">
            <v>0</v>
          </cell>
          <cell r="G2788">
            <v>6797.2077213206303</v>
          </cell>
          <cell r="H2788">
            <v>3031.8636220513199</v>
          </cell>
        </row>
        <row r="2789">
          <cell r="B2789" t="str">
            <v>ROSSMOOR 1106L541R</v>
          </cell>
          <cell r="C2789">
            <v>14161106</v>
          </cell>
          <cell r="D2789" t="str">
            <v>ROSSMOOR 1106</v>
          </cell>
          <cell r="E2789" t="str">
            <v>L541R</v>
          </cell>
          <cell r="F2789" t="b">
            <v>1</v>
          </cell>
          <cell r="G2789">
            <v>978.58780733193203</v>
          </cell>
          <cell r="H2789">
            <v>0</v>
          </cell>
        </row>
        <row r="2790">
          <cell r="B2790" t="str">
            <v>ROSSMOOR 1107857172</v>
          </cell>
          <cell r="C2790">
            <v>14161107</v>
          </cell>
          <cell r="D2790" t="str">
            <v>ROSSMOOR 1107</v>
          </cell>
          <cell r="E2790">
            <v>857172</v>
          </cell>
          <cell r="F2790" t="b">
            <v>1</v>
          </cell>
          <cell r="G2790">
            <v>1843.2098616891799</v>
          </cell>
          <cell r="H2790">
            <v>152.03856011237099</v>
          </cell>
        </row>
        <row r="2791">
          <cell r="B2791" t="str">
            <v>ROSSMOOR 110837848</v>
          </cell>
          <cell r="C2791">
            <v>14161108</v>
          </cell>
          <cell r="D2791" t="str">
            <v>ROSSMOOR 1108</v>
          </cell>
          <cell r="E2791">
            <v>37848</v>
          </cell>
          <cell r="F2791" t="b">
            <v>0</v>
          </cell>
          <cell r="G2791">
            <v>9580.5994251812008</v>
          </cell>
          <cell r="H2791">
            <v>9580.5994251812008</v>
          </cell>
        </row>
        <row r="2792">
          <cell r="B2792" t="str">
            <v>ROSSMOOR 110845268</v>
          </cell>
          <cell r="C2792">
            <v>14161108</v>
          </cell>
          <cell r="D2792" t="str">
            <v>ROSSMOOR 1108</v>
          </cell>
          <cell r="E2792">
            <v>45268</v>
          </cell>
          <cell r="F2792" t="b">
            <v>0</v>
          </cell>
          <cell r="G2792">
            <v>12405.156265115</v>
          </cell>
          <cell r="H2792">
            <v>4400.5556564752596</v>
          </cell>
        </row>
        <row r="2793">
          <cell r="B2793" t="str">
            <v>ROSSMOOR 1108CB</v>
          </cell>
          <cell r="C2793">
            <v>14161108</v>
          </cell>
          <cell r="D2793" t="str">
            <v>ROSSMOOR 1108</v>
          </cell>
          <cell r="E2793" t="str">
            <v>CB</v>
          </cell>
          <cell r="F2793" t="b">
            <v>0</v>
          </cell>
          <cell r="G2793">
            <v>11748.894893877099</v>
          </cell>
          <cell r="H2793">
            <v>6728.9489451210302</v>
          </cell>
        </row>
        <row r="2794">
          <cell r="B2794" t="str">
            <v>ROSSMOOR 1109CB</v>
          </cell>
          <cell r="C2794">
            <v>14161109</v>
          </cell>
          <cell r="D2794" t="str">
            <v>ROSSMOOR 1109</v>
          </cell>
          <cell r="E2794" t="str">
            <v>CB</v>
          </cell>
          <cell r="F2794" t="b">
            <v>1</v>
          </cell>
          <cell r="G2794">
            <v>244.70233051063099</v>
          </cell>
          <cell r="H2794">
            <v>7.5709911595361996</v>
          </cell>
        </row>
        <row r="2795">
          <cell r="B2795" t="str">
            <v>SALMON CREEK 1101194</v>
          </cell>
          <cell r="C2795">
            <v>43161101</v>
          </cell>
          <cell r="D2795" t="str">
            <v>SALMON CREEK 1101</v>
          </cell>
          <cell r="E2795">
            <v>194</v>
          </cell>
          <cell r="F2795" t="b">
            <v>0</v>
          </cell>
          <cell r="G2795">
            <v>13676.5570077304</v>
          </cell>
          <cell r="H2795">
            <v>10907.743852498899</v>
          </cell>
        </row>
        <row r="2796">
          <cell r="B2796" t="str">
            <v>SALMON CREEK 1101196</v>
          </cell>
          <cell r="C2796">
            <v>43161101</v>
          </cell>
          <cell r="D2796" t="str">
            <v>SALMON CREEK 1101</v>
          </cell>
          <cell r="E2796">
            <v>196</v>
          </cell>
          <cell r="F2796" t="b">
            <v>0</v>
          </cell>
          <cell r="G2796">
            <v>11699.1956635037</v>
          </cell>
          <cell r="H2796">
            <v>9030.0657247520194</v>
          </cell>
        </row>
        <row r="2797">
          <cell r="B2797" t="str">
            <v>SALMON CREEK 110137368</v>
          </cell>
          <cell r="C2797">
            <v>43161101</v>
          </cell>
          <cell r="D2797" t="str">
            <v>SALMON CREEK 1101</v>
          </cell>
          <cell r="E2797">
            <v>37368</v>
          </cell>
          <cell r="F2797" t="b">
            <v>0</v>
          </cell>
          <cell r="G2797">
            <v>9786.5771903727291</v>
          </cell>
          <cell r="H2797">
            <v>9786.5771903727291</v>
          </cell>
        </row>
        <row r="2798">
          <cell r="B2798" t="str">
            <v>SALMON CREEK 1101461703</v>
          </cell>
          <cell r="C2798">
            <v>43161101</v>
          </cell>
          <cell r="D2798" t="str">
            <v>SALMON CREEK 1101</v>
          </cell>
          <cell r="E2798">
            <v>461703</v>
          </cell>
          <cell r="F2798" t="b">
            <v>0</v>
          </cell>
          <cell r="G2798">
            <v>1414.64997841887</v>
          </cell>
          <cell r="H2798">
            <v>1414.64997841887</v>
          </cell>
        </row>
        <row r="2799">
          <cell r="B2799" t="str">
            <v>SALMON CREEK 110188998</v>
          </cell>
          <cell r="C2799">
            <v>43161101</v>
          </cell>
          <cell r="D2799" t="str">
            <v>SALMON CREEK 1101</v>
          </cell>
          <cell r="E2799">
            <v>88998</v>
          </cell>
          <cell r="F2799" t="b">
            <v>0</v>
          </cell>
          <cell r="G2799">
            <v>22218.031385920902</v>
          </cell>
          <cell r="H2799">
            <v>12794.9323936534</v>
          </cell>
        </row>
        <row r="2800">
          <cell r="B2800" t="str">
            <v>SALT SPRINGS 210110416</v>
          </cell>
          <cell r="C2800">
            <v>163692101</v>
          </cell>
          <cell r="D2800" t="str">
            <v>SALT SPRINGS 2101</v>
          </cell>
          <cell r="E2800">
            <v>10416</v>
          </cell>
          <cell r="F2800" t="b">
            <v>0</v>
          </cell>
          <cell r="G2800">
            <v>1110.19760988745</v>
          </cell>
          <cell r="H2800">
            <v>1110.19760988745</v>
          </cell>
        </row>
        <row r="2801">
          <cell r="B2801" t="str">
            <v>SALT SPRINGS 21011216</v>
          </cell>
          <cell r="C2801">
            <v>163692101</v>
          </cell>
          <cell r="D2801" t="str">
            <v>SALT SPRINGS 2101</v>
          </cell>
          <cell r="E2801">
            <v>1216</v>
          </cell>
          <cell r="F2801" t="b">
            <v>0</v>
          </cell>
          <cell r="G2801">
            <v>8821.9490973187403</v>
          </cell>
          <cell r="H2801">
            <v>8821.9490973187403</v>
          </cell>
        </row>
        <row r="2802">
          <cell r="B2802" t="str">
            <v>SALT SPRINGS 21011232</v>
          </cell>
          <cell r="C2802">
            <v>163692101</v>
          </cell>
          <cell r="D2802" t="str">
            <v>SALT SPRINGS 2101</v>
          </cell>
          <cell r="E2802">
            <v>1232</v>
          </cell>
          <cell r="F2802" t="b">
            <v>0</v>
          </cell>
          <cell r="G2802">
            <v>14610.2629510238</v>
          </cell>
          <cell r="H2802">
            <v>12420.8061412058</v>
          </cell>
        </row>
        <row r="2803">
          <cell r="B2803" t="str">
            <v>SALT SPRINGS 21013116</v>
          </cell>
          <cell r="C2803">
            <v>163692101</v>
          </cell>
          <cell r="D2803" t="str">
            <v>SALT SPRINGS 2101</v>
          </cell>
          <cell r="E2803">
            <v>3116</v>
          </cell>
          <cell r="F2803" t="b">
            <v>0</v>
          </cell>
          <cell r="G2803">
            <v>1685.10428417143</v>
          </cell>
          <cell r="H2803">
            <v>1250.9686609559101</v>
          </cell>
        </row>
        <row r="2804">
          <cell r="B2804" t="str">
            <v>SALT SPRINGS 21014913</v>
          </cell>
          <cell r="C2804">
            <v>163692101</v>
          </cell>
          <cell r="D2804" t="str">
            <v>SALT SPRINGS 2101</v>
          </cell>
          <cell r="E2804">
            <v>4913</v>
          </cell>
          <cell r="F2804" t="b">
            <v>0</v>
          </cell>
          <cell r="G2804">
            <v>6065.3094303858097</v>
          </cell>
          <cell r="H2804">
            <v>6065.3094303858097</v>
          </cell>
        </row>
        <row r="2805">
          <cell r="B2805" t="str">
            <v>SALT SPRINGS 21023116</v>
          </cell>
          <cell r="C2805">
            <v>163692102</v>
          </cell>
          <cell r="D2805" t="str">
            <v>SALT SPRINGS 2102</v>
          </cell>
          <cell r="E2805">
            <v>3116</v>
          </cell>
          <cell r="F2805" t="b">
            <v>1</v>
          </cell>
          <cell r="G2805">
            <v>87.147480517098899</v>
          </cell>
          <cell r="H2805">
            <v>87.147480517098899</v>
          </cell>
        </row>
        <row r="2806">
          <cell r="B2806" t="str">
            <v>SALT SPRINGS 21023142</v>
          </cell>
          <cell r="C2806">
            <v>163692102</v>
          </cell>
          <cell r="D2806" t="str">
            <v>SALT SPRINGS 2102</v>
          </cell>
          <cell r="E2806">
            <v>3142</v>
          </cell>
          <cell r="F2806" t="b">
            <v>0</v>
          </cell>
          <cell r="G2806">
            <v>28901.728294740002</v>
          </cell>
          <cell r="H2806">
            <v>28901.728294740002</v>
          </cell>
        </row>
        <row r="2807">
          <cell r="B2807" t="str">
            <v>SALT SPRINGS 210237300</v>
          </cell>
          <cell r="C2807">
            <v>163692102</v>
          </cell>
          <cell r="D2807" t="str">
            <v>SALT SPRINGS 2102</v>
          </cell>
          <cell r="E2807">
            <v>37300</v>
          </cell>
          <cell r="F2807" t="b">
            <v>0</v>
          </cell>
          <cell r="G2807">
            <v>11208.5924453765</v>
          </cell>
          <cell r="H2807">
            <v>11208.5924453765</v>
          </cell>
        </row>
        <row r="2808">
          <cell r="B2808" t="str">
            <v>SALT SPRINGS 21024796</v>
          </cell>
          <cell r="C2808">
            <v>163692102</v>
          </cell>
          <cell r="D2808" t="str">
            <v>SALT SPRINGS 2102</v>
          </cell>
          <cell r="E2808">
            <v>4796</v>
          </cell>
          <cell r="F2808" t="b">
            <v>0</v>
          </cell>
          <cell r="G2808">
            <v>11571.4706209054</v>
          </cell>
          <cell r="H2808">
            <v>11571.4706209054</v>
          </cell>
        </row>
        <row r="2809">
          <cell r="B2809" t="str">
            <v>SALT SPRINGS 21028442</v>
          </cell>
          <cell r="C2809">
            <v>163692102</v>
          </cell>
          <cell r="D2809" t="str">
            <v>SALT SPRINGS 2102</v>
          </cell>
          <cell r="E2809">
            <v>8442</v>
          </cell>
          <cell r="F2809" t="b">
            <v>0</v>
          </cell>
          <cell r="G2809">
            <v>19428.972695272401</v>
          </cell>
          <cell r="H2809">
            <v>19428.972695272401</v>
          </cell>
        </row>
        <row r="2810">
          <cell r="B2810" t="str">
            <v>SALT SPRINGS 210297924</v>
          </cell>
          <cell r="C2810">
            <v>163692102</v>
          </cell>
          <cell r="D2810" t="str">
            <v>SALT SPRINGS 2102</v>
          </cell>
          <cell r="E2810">
            <v>97924</v>
          </cell>
          <cell r="F2810" t="b">
            <v>0</v>
          </cell>
          <cell r="G2810">
            <v>8287.4088839241504</v>
          </cell>
          <cell r="H2810">
            <v>8287.4088839241504</v>
          </cell>
        </row>
        <row r="2811">
          <cell r="B2811" t="str">
            <v>SALT SPRINGS 2102L491</v>
          </cell>
          <cell r="C2811">
            <v>163692102</v>
          </cell>
          <cell r="D2811" t="str">
            <v>SALT SPRINGS 2102</v>
          </cell>
          <cell r="E2811" t="str">
            <v>L491</v>
          </cell>
          <cell r="F2811" t="b">
            <v>0</v>
          </cell>
          <cell r="G2811">
            <v>3564.5514145721299</v>
          </cell>
          <cell r="H2811">
            <v>3564.5514145721299</v>
          </cell>
        </row>
        <row r="2812">
          <cell r="B2812" t="str">
            <v>SALT SPRINGS 2102L7283</v>
          </cell>
          <cell r="C2812">
            <v>163692102</v>
          </cell>
          <cell r="D2812" t="str">
            <v>SALT SPRINGS 2102</v>
          </cell>
          <cell r="E2812" t="str">
            <v>L7283</v>
          </cell>
          <cell r="F2812" t="b">
            <v>0</v>
          </cell>
          <cell r="G2812">
            <v>1053.49447840875</v>
          </cell>
          <cell r="H2812">
            <v>1053.49447840875</v>
          </cell>
        </row>
        <row r="2813">
          <cell r="B2813" t="str">
            <v>SAN ARDO 1101610148</v>
          </cell>
          <cell r="C2813">
            <v>182191101</v>
          </cell>
          <cell r="D2813" t="str">
            <v>SAN ARDO 1101</v>
          </cell>
          <cell r="E2813">
            <v>610148</v>
          </cell>
          <cell r="F2813" t="b">
            <v>0</v>
          </cell>
          <cell r="G2813">
            <v>19896.303683878301</v>
          </cell>
          <cell r="H2813">
            <v>3154.55836364884</v>
          </cell>
        </row>
        <row r="2814">
          <cell r="B2814" t="str">
            <v>SAN ARDO 1101650772</v>
          </cell>
          <cell r="C2814">
            <v>182191101</v>
          </cell>
          <cell r="D2814" t="str">
            <v>SAN ARDO 1101</v>
          </cell>
          <cell r="E2814">
            <v>650772</v>
          </cell>
          <cell r="F2814" t="b">
            <v>0</v>
          </cell>
          <cell r="G2814">
            <v>4368.3364145277001</v>
          </cell>
          <cell r="H2814">
            <v>1261.37019362716</v>
          </cell>
        </row>
        <row r="2815">
          <cell r="B2815" t="str">
            <v>SAN ARDO 11017632</v>
          </cell>
          <cell r="C2815">
            <v>182191101</v>
          </cell>
          <cell r="D2815" t="str">
            <v>SAN ARDO 1101</v>
          </cell>
          <cell r="E2815">
            <v>7632</v>
          </cell>
          <cell r="F2815" t="b">
            <v>0</v>
          </cell>
          <cell r="G2815">
            <v>13210.235284397701</v>
          </cell>
          <cell r="H2815">
            <v>3566.10229352958</v>
          </cell>
        </row>
        <row r="2816">
          <cell r="B2816" t="str">
            <v>SAN BENITO 2101221165</v>
          </cell>
          <cell r="C2816">
            <v>182742101</v>
          </cell>
          <cell r="D2816" t="str">
            <v>SAN BENITO 2101</v>
          </cell>
          <cell r="E2816">
            <v>221165</v>
          </cell>
          <cell r="F2816" t="b">
            <v>0</v>
          </cell>
          <cell r="G2816">
            <v>7814.4254404856301</v>
          </cell>
          <cell r="H2816">
            <v>7056.9287990860503</v>
          </cell>
        </row>
        <row r="2817">
          <cell r="B2817" t="str">
            <v>SAN BENITO 2101295566</v>
          </cell>
          <cell r="C2817">
            <v>182742101</v>
          </cell>
          <cell r="D2817" t="str">
            <v>SAN BENITO 2101</v>
          </cell>
          <cell r="E2817">
            <v>295566</v>
          </cell>
          <cell r="F2817" t="b">
            <v>1</v>
          </cell>
          <cell r="G2817">
            <v>3409.6410964413699</v>
          </cell>
          <cell r="H2817">
            <v>751.53398943405796</v>
          </cell>
        </row>
        <row r="2818">
          <cell r="B2818" t="str">
            <v>SAN BENITO 2104785888</v>
          </cell>
          <cell r="C2818">
            <v>182742104</v>
          </cell>
          <cell r="D2818" t="str">
            <v>SAN BENITO 2104</v>
          </cell>
          <cell r="E2818">
            <v>785888</v>
          </cell>
          <cell r="F2818" t="b">
            <v>0</v>
          </cell>
          <cell r="G2818">
            <v>11268.807767026199</v>
          </cell>
          <cell r="H2818">
            <v>7730.7085270638599</v>
          </cell>
        </row>
        <row r="2819">
          <cell r="B2819" t="str">
            <v>SAN BENITO 210488772</v>
          </cell>
          <cell r="C2819">
            <v>182742104</v>
          </cell>
          <cell r="D2819" t="str">
            <v>SAN BENITO 2104</v>
          </cell>
          <cell r="E2819">
            <v>88772</v>
          </cell>
          <cell r="F2819" t="b">
            <v>0</v>
          </cell>
          <cell r="G2819">
            <v>69339.292824065094</v>
          </cell>
          <cell r="H2819">
            <v>39135.7755638491</v>
          </cell>
        </row>
        <row r="2820">
          <cell r="B2820" t="str">
            <v>SAN BERNARD 1101438074</v>
          </cell>
          <cell r="C2820">
            <v>253191101</v>
          </cell>
          <cell r="D2820" t="str">
            <v>SAN BERNARD 1101</v>
          </cell>
          <cell r="E2820">
            <v>438074</v>
          </cell>
          <cell r="F2820" t="b">
            <v>1</v>
          </cell>
          <cell r="G2820">
            <v>2039.2275196667999</v>
          </cell>
          <cell r="H2820">
            <v>516.24784820195998</v>
          </cell>
        </row>
        <row r="2821">
          <cell r="B2821" t="str">
            <v>SAN BERNARD 1101641042</v>
          </cell>
          <cell r="C2821">
            <v>253191101</v>
          </cell>
          <cell r="D2821" t="str">
            <v>SAN BERNARD 1101</v>
          </cell>
          <cell r="E2821">
            <v>641042</v>
          </cell>
          <cell r="F2821" t="b">
            <v>0</v>
          </cell>
          <cell r="G2821">
            <v>10558.786051077101</v>
          </cell>
          <cell r="H2821">
            <v>2300.7683872256798</v>
          </cell>
        </row>
        <row r="2822">
          <cell r="B2822" t="str">
            <v>SAN CARLOS 1103313472</v>
          </cell>
          <cell r="C2822">
            <v>24181103</v>
          </cell>
          <cell r="D2822" t="str">
            <v>SAN CARLOS 1103</v>
          </cell>
          <cell r="E2822">
            <v>313472</v>
          </cell>
          <cell r="F2822" t="b">
            <v>1</v>
          </cell>
          <cell r="G2822">
            <v>1178.1951233105799</v>
          </cell>
          <cell r="H2822">
            <v>43.160848952726198</v>
          </cell>
        </row>
        <row r="2823">
          <cell r="B2823" t="str">
            <v>SAN CARLOS 1103586832</v>
          </cell>
          <cell r="C2823">
            <v>24181103</v>
          </cell>
          <cell r="D2823" t="str">
            <v>SAN CARLOS 1103</v>
          </cell>
          <cell r="E2823">
            <v>586832</v>
          </cell>
          <cell r="F2823" t="b">
            <v>0</v>
          </cell>
          <cell r="G2823">
            <v>6692.9944666483298</v>
          </cell>
          <cell r="H2823">
            <v>6145.6408213548802</v>
          </cell>
        </row>
        <row r="2824">
          <cell r="B2824" t="str">
            <v>SAN CARLOS 1103785521</v>
          </cell>
          <cell r="C2824">
            <v>24181103</v>
          </cell>
          <cell r="D2824" t="str">
            <v>SAN CARLOS 1103</v>
          </cell>
          <cell r="E2824">
            <v>785521</v>
          </cell>
          <cell r="F2824" t="b">
            <v>1</v>
          </cell>
          <cell r="G2824">
            <v>292.99595168231701</v>
          </cell>
          <cell r="H2824">
            <v>109.02126448587801</v>
          </cell>
        </row>
        <row r="2825">
          <cell r="B2825" t="str">
            <v>SAN CARLOS 1103888954</v>
          </cell>
          <cell r="C2825">
            <v>24181103</v>
          </cell>
          <cell r="D2825" t="str">
            <v>SAN CARLOS 1103</v>
          </cell>
          <cell r="E2825">
            <v>888954</v>
          </cell>
          <cell r="F2825" t="b">
            <v>1</v>
          </cell>
          <cell r="G2825">
            <v>504.712896398628</v>
          </cell>
          <cell r="H2825">
            <v>0</v>
          </cell>
        </row>
        <row r="2826">
          <cell r="B2826" t="str">
            <v>SAN CARLOS 11039148</v>
          </cell>
          <cell r="C2826">
            <v>24181103</v>
          </cell>
          <cell r="D2826" t="str">
            <v>SAN CARLOS 1103</v>
          </cell>
          <cell r="E2826">
            <v>9148</v>
          </cell>
          <cell r="F2826" t="b">
            <v>1</v>
          </cell>
          <cell r="G2826">
            <v>6634.7635386328702</v>
          </cell>
          <cell r="H2826">
            <v>0</v>
          </cell>
        </row>
        <row r="2827">
          <cell r="B2827" t="str">
            <v>SAN CARLOS 110436864</v>
          </cell>
          <cell r="C2827">
            <v>24181104</v>
          </cell>
          <cell r="D2827" t="str">
            <v>SAN CARLOS 1104</v>
          </cell>
          <cell r="E2827">
            <v>36864</v>
          </cell>
          <cell r="F2827" t="b">
            <v>1</v>
          </cell>
          <cell r="G2827">
            <v>910.394887460674</v>
          </cell>
          <cell r="H2827">
            <v>889.72216556135902</v>
          </cell>
        </row>
        <row r="2828">
          <cell r="B2828" t="str">
            <v>SAN CARLOS 110475210</v>
          </cell>
          <cell r="C2828">
            <v>24181104</v>
          </cell>
          <cell r="D2828" t="str">
            <v>SAN CARLOS 1104</v>
          </cell>
          <cell r="E2828">
            <v>75210</v>
          </cell>
          <cell r="F2828" t="b">
            <v>1</v>
          </cell>
          <cell r="G2828">
            <v>618.92600114351603</v>
          </cell>
          <cell r="H2828">
            <v>618.92600114351603</v>
          </cell>
        </row>
        <row r="2829">
          <cell r="B2829" t="str">
            <v>SAN CARLOS 110479774</v>
          </cell>
          <cell r="C2829">
            <v>24181104</v>
          </cell>
          <cell r="D2829" t="str">
            <v>SAN CARLOS 1104</v>
          </cell>
          <cell r="E2829">
            <v>79774</v>
          </cell>
          <cell r="F2829" t="b">
            <v>0</v>
          </cell>
          <cell r="G2829">
            <v>2604.0952387165898</v>
          </cell>
          <cell r="H2829">
            <v>1435.88206591428</v>
          </cell>
        </row>
        <row r="2830">
          <cell r="B2830" t="str">
            <v>SAN CARLOS 11048846</v>
          </cell>
          <cell r="C2830">
            <v>24181104</v>
          </cell>
          <cell r="D2830" t="str">
            <v>SAN CARLOS 1104</v>
          </cell>
          <cell r="E2830">
            <v>8846</v>
          </cell>
          <cell r="F2830" t="b">
            <v>0</v>
          </cell>
          <cell r="G2830">
            <v>7060.9910851839704</v>
          </cell>
          <cell r="H2830">
            <v>3588.6165109493299</v>
          </cell>
        </row>
        <row r="2831">
          <cell r="B2831" t="str">
            <v>SAN CARLOS 11048942</v>
          </cell>
          <cell r="C2831">
            <v>24181104</v>
          </cell>
          <cell r="D2831" t="str">
            <v>SAN CARLOS 1104</v>
          </cell>
          <cell r="E2831">
            <v>8942</v>
          </cell>
          <cell r="F2831" t="b">
            <v>0</v>
          </cell>
          <cell r="G2831">
            <v>4451.7025118844804</v>
          </cell>
          <cell r="H2831">
            <v>3407.8974376245401</v>
          </cell>
        </row>
        <row r="2832">
          <cell r="B2832" t="str">
            <v>SAN CARLOS 11049048</v>
          </cell>
          <cell r="C2832">
            <v>24181104</v>
          </cell>
          <cell r="D2832" t="str">
            <v>SAN CARLOS 1104</v>
          </cell>
          <cell r="E2832">
            <v>9048</v>
          </cell>
          <cell r="F2832" t="b">
            <v>1</v>
          </cell>
          <cell r="G2832">
            <v>24.590900043100401</v>
          </cell>
          <cell r="H2832">
            <v>24.590900043100401</v>
          </cell>
        </row>
        <row r="2833">
          <cell r="B2833" t="str">
            <v>SAN CARLOS 11049052</v>
          </cell>
          <cell r="C2833">
            <v>24181104</v>
          </cell>
          <cell r="D2833" t="str">
            <v>SAN CARLOS 1104</v>
          </cell>
          <cell r="E2833">
            <v>9052</v>
          </cell>
          <cell r="F2833" t="b">
            <v>0</v>
          </cell>
          <cell r="G2833">
            <v>8315.3581366211602</v>
          </cell>
          <cell r="H2833">
            <v>7722.32545998349</v>
          </cell>
        </row>
        <row r="2834">
          <cell r="B2834" t="str">
            <v>SAN JOAQUIN #2 110310320</v>
          </cell>
          <cell r="C2834">
            <v>252521103</v>
          </cell>
          <cell r="D2834" t="str">
            <v>SAN JOAQUIN #2 1103</v>
          </cell>
          <cell r="E2834">
            <v>10320</v>
          </cell>
          <cell r="F2834" t="b">
            <v>0</v>
          </cell>
          <cell r="G2834">
            <v>18962.089784003001</v>
          </cell>
          <cell r="H2834">
            <v>18962.089784003001</v>
          </cell>
        </row>
        <row r="2835">
          <cell r="B2835" t="str">
            <v>SAN JOAQUIN #2 1103157026</v>
          </cell>
          <cell r="C2835">
            <v>252521103</v>
          </cell>
          <cell r="D2835" t="str">
            <v>SAN JOAQUIN #2 1103</v>
          </cell>
          <cell r="E2835">
            <v>157026</v>
          </cell>
          <cell r="F2835" t="b">
            <v>0</v>
          </cell>
          <cell r="G2835">
            <v>5200.0769877068797</v>
          </cell>
          <cell r="H2835">
            <v>5200.0769877068797</v>
          </cell>
        </row>
        <row r="2836">
          <cell r="B2836" t="str">
            <v>SAN JOAQUIN #2 1103CB</v>
          </cell>
          <cell r="C2836">
            <v>252521103</v>
          </cell>
          <cell r="D2836" t="str">
            <v>SAN JOAQUIN #2 1103</v>
          </cell>
          <cell r="E2836" t="str">
            <v>CB</v>
          </cell>
          <cell r="F2836" t="b">
            <v>0</v>
          </cell>
          <cell r="G2836">
            <v>109280.434890132</v>
          </cell>
          <cell r="H2836">
            <v>109280.434890132</v>
          </cell>
        </row>
        <row r="2837">
          <cell r="B2837" t="str">
            <v>SAN JOAQUIN #3 1101673480</v>
          </cell>
          <cell r="C2837">
            <v>252531101</v>
          </cell>
          <cell r="D2837" t="str">
            <v>SAN JOAQUIN #3 1101</v>
          </cell>
          <cell r="E2837">
            <v>673480</v>
          </cell>
          <cell r="F2837" t="b">
            <v>0</v>
          </cell>
          <cell r="G2837">
            <v>20487.839207032699</v>
          </cell>
          <cell r="H2837">
            <v>20487.839207032699</v>
          </cell>
        </row>
        <row r="2838">
          <cell r="B2838" t="str">
            <v>SAN JOAQUIN #3 1101CB</v>
          </cell>
          <cell r="C2838">
            <v>252531101</v>
          </cell>
          <cell r="D2838" t="str">
            <v>SAN JOAQUIN #3 1101</v>
          </cell>
          <cell r="E2838" t="str">
            <v>CB</v>
          </cell>
          <cell r="F2838" t="b">
            <v>0</v>
          </cell>
          <cell r="G2838">
            <v>19055.286615081699</v>
          </cell>
          <cell r="H2838">
            <v>19055.286615081699</v>
          </cell>
        </row>
        <row r="2839">
          <cell r="B2839" t="str">
            <v>SAN JOAQUIN #3 110210342</v>
          </cell>
          <cell r="C2839">
            <v>252531102</v>
          </cell>
          <cell r="D2839" t="str">
            <v>SAN JOAQUIN #3 1102</v>
          </cell>
          <cell r="E2839">
            <v>10342</v>
          </cell>
          <cell r="F2839" t="b">
            <v>0</v>
          </cell>
          <cell r="G2839">
            <v>2930.8819003119002</v>
          </cell>
          <cell r="H2839">
            <v>2930.8819003119002</v>
          </cell>
        </row>
        <row r="2840">
          <cell r="B2840" t="str">
            <v>SAN JOAQUIN #3 1102CB</v>
          </cell>
          <cell r="C2840">
            <v>252531102</v>
          </cell>
          <cell r="D2840" t="str">
            <v>SAN JOAQUIN #3 1102</v>
          </cell>
          <cell r="E2840" t="str">
            <v>CB</v>
          </cell>
          <cell r="F2840" t="b">
            <v>0</v>
          </cell>
          <cell r="G2840">
            <v>15601.4012222207</v>
          </cell>
          <cell r="H2840">
            <v>15601.4012222207</v>
          </cell>
        </row>
        <row r="2841">
          <cell r="B2841" t="str">
            <v>SAN JOAQUIN #3 1103501771</v>
          </cell>
          <cell r="C2841">
            <v>252531103</v>
          </cell>
          <cell r="D2841" t="str">
            <v>SAN JOAQUIN #3 1103</v>
          </cell>
          <cell r="E2841">
            <v>501771</v>
          </cell>
          <cell r="F2841" t="b">
            <v>0</v>
          </cell>
          <cell r="G2841">
            <v>7891.6601401960397</v>
          </cell>
          <cell r="H2841">
            <v>7891.6601401960397</v>
          </cell>
        </row>
        <row r="2842">
          <cell r="B2842" t="str">
            <v>SAN JOAQUIN #3 11035100</v>
          </cell>
          <cell r="C2842">
            <v>252531103</v>
          </cell>
          <cell r="D2842" t="str">
            <v>SAN JOAQUIN #3 1103</v>
          </cell>
          <cell r="E2842">
            <v>5100</v>
          </cell>
          <cell r="F2842" t="b">
            <v>0</v>
          </cell>
          <cell r="G2842">
            <v>34326.3843740101</v>
          </cell>
          <cell r="H2842">
            <v>34326.3843740101</v>
          </cell>
        </row>
        <row r="2843">
          <cell r="B2843" t="str">
            <v>SAN JOAQUIN #3 1103CB</v>
          </cell>
          <cell r="C2843">
            <v>252531103</v>
          </cell>
          <cell r="D2843" t="str">
            <v>SAN JOAQUIN #3 1103</v>
          </cell>
          <cell r="E2843" t="str">
            <v>CB</v>
          </cell>
          <cell r="F2843" t="b">
            <v>0</v>
          </cell>
          <cell r="G2843">
            <v>45670.421724974898</v>
          </cell>
          <cell r="H2843">
            <v>45670.421724974898</v>
          </cell>
        </row>
        <row r="2844">
          <cell r="B2844" t="str">
            <v>SAN JUSTO 1101201311</v>
          </cell>
          <cell r="C2844">
            <v>183181101</v>
          </cell>
          <cell r="D2844" t="str">
            <v>SAN JUSTO 1101</v>
          </cell>
          <cell r="E2844">
            <v>201311</v>
          </cell>
          <cell r="F2844" t="b">
            <v>0</v>
          </cell>
          <cell r="G2844">
            <v>17668.963554441299</v>
          </cell>
          <cell r="H2844">
            <v>12645.7550752109</v>
          </cell>
        </row>
        <row r="2845">
          <cell r="B2845" t="str">
            <v>SAN JUSTO 110136902</v>
          </cell>
          <cell r="C2845">
            <v>183181101</v>
          </cell>
          <cell r="D2845" t="str">
            <v>SAN JUSTO 1101</v>
          </cell>
          <cell r="E2845">
            <v>36902</v>
          </cell>
          <cell r="F2845" t="b">
            <v>0</v>
          </cell>
          <cell r="G2845">
            <v>23754.988493711699</v>
          </cell>
          <cell r="H2845">
            <v>19990.555744881</v>
          </cell>
        </row>
        <row r="2846">
          <cell r="B2846" t="str">
            <v>SAN JUSTO 11014002</v>
          </cell>
          <cell r="C2846">
            <v>183181101</v>
          </cell>
          <cell r="D2846" t="str">
            <v>SAN JUSTO 1101</v>
          </cell>
          <cell r="E2846">
            <v>4002</v>
          </cell>
          <cell r="F2846" t="b">
            <v>0</v>
          </cell>
          <cell r="G2846">
            <v>30655.793245938399</v>
          </cell>
          <cell r="H2846">
            <v>29553.7890854406</v>
          </cell>
        </row>
        <row r="2847">
          <cell r="B2847" t="str">
            <v>SAN LEANDRO U 1109936988</v>
          </cell>
          <cell r="C2847">
            <v>13111109</v>
          </cell>
          <cell r="D2847" t="str">
            <v>SAN LEANDRO U 1109</v>
          </cell>
          <cell r="E2847">
            <v>936988</v>
          </cell>
          <cell r="F2847" t="b">
            <v>0</v>
          </cell>
          <cell r="G2847">
            <v>10891.055397390999</v>
          </cell>
          <cell r="H2847">
            <v>10891.055397390999</v>
          </cell>
        </row>
        <row r="2848">
          <cell r="B2848" t="str">
            <v>SAN LEANDRO U 1109CR002</v>
          </cell>
          <cell r="C2848">
            <v>13111109</v>
          </cell>
          <cell r="D2848" t="str">
            <v>SAN LEANDRO U 1109</v>
          </cell>
          <cell r="E2848" t="str">
            <v>CR002</v>
          </cell>
          <cell r="F2848" t="b">
            <v>1</v>
          </cell>
          <cell r="G2848">
            <v>1715.85212016115</v>
          </cell>
          <cell r="H2848">
            <v>269.84084816450502</v>
          </cell>
        </row>
        <row r="2849">
          <cell r="B2849" t="str">
            <v>SAN LEANDRO U 1109CR182</v>
          </cell>
          <cell r="C2849">
            <v>13111109</v>
          </cell>
          <cell r="D2849" t="str">
            <v>SAN LEANDRO U 1109</v>
          </cell>
          <cell r="E2849" t="str">
            <v>CR182</v>
          </cell>
          <cell r="F2849" t="b">
            <v>0</v>
          </cell>
          <cell r="G2849">
            <v>7768.8153716627003</v>
          </cell>
          <cell r="H2849">
            <v>7768.8153716627003</v>
          </cell>
        </row>
        <row r="2850">
          <cell r="B2850" t="str">
            <v>SAN LEANDRO U 1109CR284</v>
          </cell>
          <cell r="C2850">
            <v>13111109</v>
          </cell>
          <cell r="D2850" t="str">
            <v>SAN LEANDRO U 1109</v>
          </cell>
          <cell r="E2850" t="str">
            <v>CR284</v>
          </cell>
          <cell r="F2850" t="b">
            <v>0</v>
          </cell>
          <cell r="G2850">
            <v>1550.6573843865599</v>
          </cell>
          <cell r="H2850">
            <v>1235.8311051819501</v>
          </cell>
        </row>
        <row r="2851">
          <cell r="B2851" t="str">
            <v>SAN LEANDRO U 1114458451</v>
          </cell>
          <cell r="C2851">
            <v>13111114</v>
          </cell>
          <cell r="D2851" t="str">
            <v>SAN LEANDRO U 1114</v>
          </cell>
          <cell r="E2851">
            <v>458451</v>
          </cell>
          <cell r="F2851" t="b">
            <v>0</v>
          </cell>
          <cell r="G2851">
            <v>3952.17280617185</v>
          </cell>
          <cell r="H2851">
            <v>1967.4653155659701</v>
          </cell>
        </row>
        <row r="2852">
          <cell r="B2852" t="str">
            <v>SAN LEANDRO U 1114501762</v>
          </cell>
          <cell r="C2852">
            <v>13111114</v>
          </cell>
          <cell r="D2852" t="str">
            <v>SAN LEANDRO U 1114</v>
          </cell>
          <cell r="E2852">
            <v>501762</v>
          </cell>
          <cell r="F2852" t="b">
            <v>1</v>
          </cell>
          <cell r="G2852">
            <v>2438.6275378885398</v>
          </cell>
          <cell r="H2852">
            <v>775.05080672691099</v>
          </cell>
        </row>
        <row r="2853">
          <cell r="B2853" t="str">
            <v>SAN LEANDRO U 1114653758</v>
          </cell>
          <cell r="C2853">
            <v>13111114</v>
          </cell>
          <cell r="D2853" t="str">
            <v>SAN LEANDRO U 1114</v>
          </cell>
          <cell r="E2853">
            <v>653758</v>
          </cell>
          <cell r="F2853" t="b">
            <v>1</v>
          </cell>
          <cell r="G2853">
            <v>582.36730472753095</v>
          </cell>
          <cell r="H2853">
            <v>582.36730472753095</v>
          </cell>
        </row>
        <row r="2854">
          <cell r="B2854" t="str">
            <v>SAN LEANDRO U 1114MR218</v>
          </cell>
          <cell r="C2854">
            <v>13111114</v>
          </cell>
          <cell r="D2854" t="str">
            <v>SAN LEANDRO U 1114</v>
          </cell>
          <cell r="E2854" t="str">
            <v>MR218</v>
          </cell>
          <cell r="F2854" t="b">
            <v>0</v>
          </cell>
          <cell r="G2854">
            <v>18150.166420384801</v>
          </cell>
          <cell r="H2854">
            <v>10386.813248747199</v>
          </cell>
        </row>
        <row r="2855">
          <cell r="B2855" t="str">
            <v>SAN LEANDRO U 1114MR544</v>
          </cell>
          <cell r="C2855">
            <v>13111114</v>
          </cell>
          <cell r="D2855" t="str">
            <v>SAN LEANDRO U 1114</v>
          </cell>
          <cell r="E2855" t="str">
            <v>MR544</v>
          </cell>
          <cell r="F2855" t="b">
            <v>1</v>
          </cell>
          <cell r="G2855">
            <v>7120.8066036979299</v>
          </cell>
          <cell r="H2855">
            <v>27.982063271754502</v>
          </cell>
        </row>
        <row r="2856">
          <cell r="B2856" t="str">
            <v>SAN LEANDRO U 1114MR545</v>
          </cell>
          <cell r="C2856">
            <v>13111114</v>
          </cell>
          <cell r="D2856" t="str">
            <v>SAN LEANDRO U 1114</v>
          </cell>
          <cell r="E2856" t="str">
            <v>MR545</v>
          </cell>
          <cell r="F2856" t="b">
            <v>0</v>
          </cell>
          <cell r="G2856">
            <v>7246.1984672414301</v>
          </cell>
          <cell r="H2856">
            <v>3496.0754220621998</v>
          </cell>
        </row>
        <row r="2857">
          <cell r="B2857" t="str">
            <v>SAN LUIS OBISPO 1101483444</v>
          </cell>
          <cell r="C2857">
            <v>182631101</v>
          </cell>
          <cell r="D2857" t="str">
            <v>SAN LUIS OBISPO 1101</v>
          </cell>
          <cell r="E2857">
            <v>483444</v>
          </cell>
          <cell r="F2857" t="b">
            <v>0</v>
          </cell>
          <cell r="G2857">
            <v>8714.6826113530806</v>
          </cell>
          <cell r="H2857">
            <v>3311.09683169544</v>
          </cell>
        </row>
        <row r="2858">
          <cell r="B2858" t="str">
            <v>SAN LUIS OBISPO 1101CB</v>
          </cell>
          <cell r="C2858">
            <v>182631101</v>
          </cell>
          <cell r="D2858" t="str">
            <v>SAN LUIS OBISPO 1101</v>
          </cell>
          <cell r="E2858" t="str">
            <v>CB</v>
          </cell>
          <cell r="F2858" t="b">
            <v>0</v>
          </cell>
          <cell r="G2858">
            <v>10872.403182972999</v>
          </cell>
          <cell r="H2858">
            <v>5779.9667359589002</v>
          </cell>
        </row>
        <row r="2859">
          <cell r="B2859" t="str">
            <v>SAN LUIS OBISPO 1101V12</v>
          </cell>
          <cell r="C2859">
            <v>182631101</v>
          </cell>
          <cell r="D2859" t="str">
            <v>SAN LUIS OBISPO 1101</v>
          </cell>
          <cell r="E2859" t="str">
            <v>V12</v>
          </cell>
          <cell r="F2859" t="b">
            <v>0</v>
          </cell>
          <cell r="G2859">
            <v>33868.169422813298</v>
          </cell>
          <cell r="H2859">
            <v>33868.169422813298</v>
          </cell>
        </row>
        <row r="2860">
          <cell r="B2860" t="str">
            <v>SAN LUIS OBISPO 1102348318</v>
          </cell>
          <cell r="C2860">
            <v>182631102</v>
          </cell>
          <cell r="D2860" t="str">
            <v>SAN LUIS OBISPO 1102</v>
          </cell>
          <cell r="E2860">
            <v>348318</v>
          </cell>
          <cell r="F2860" t="b">
            <v>1</v>
          </cell>
          <cell r="G2860">
            <v>597.03916933740902</v>
          </cell>
          <cell r="H2860">
            <v>597.03916933740902</v>
          </cell>
        </row>
        <row r="2861">
          <cell r="B2861" t="str">
            <v>SAN LUIS OBISPO 1102357407</v>
          </cell>
          <cell r="C2861">
            <v>182631102</v>
          </cell>
          <cell r="D2861" t="str">
            <v>SAN LUIS OBISPO 1102</v>
          </cell>
          <cell r="E2861">
            <v>357407</v>
          </cell>
          <cell r="F2861" t="b">
            <v>1</v>
          </cell>
          <cell r="G2861">
            <v>396.36835031885698</v>
          </cell>
          <cell r="H2861">
            <v>382.65060539296599</v>
          </cell>
        </row>
        <row r="2862">
          <cell r="B2862" t="str">
            <v>SAN LUIS OBISPO 1102597518</v>
          </cell>
          <cell r="C2862">
            <v>182631102</v>
          </cell>
          <cell r="D2862" t="str">
            <v>SAN LUIS OBISPO 1102</v>
          </cell>
          <cell r="E2862">
            <v>597518</v>
          </cell>
          <cell r="F2862" t="b">
            <v>1</v>
          </cell>
          <cell r="G2862">
            <v>2581.1499633312201</v>
          </cell>
          <cell r="H2862">
            <v>65.164728518160899</v>
          </cell>
        </row>
        <row r="2863">
          <cell r="B2863" t="str">
            <v>SAN LUIS OBISPO 1103153199</v>
          </cell>
          <cell r="C2863">
            <v>182631103</v>
          </cell>
          <cell r="D2863" t="str">
            <v>SAN LUIS OBISPO 1103</v>
          </cell>
          <cell r="E2863">
            <v>153199</v>
          </cell>
          <cell r="F2863" t="b">
            <v>0</v>
          </cell>
          <cell r="G2863">
            <v>8788.2196559100594</v>
          </cell>
          <cell r="H2863">
            <v>4750.5459242716597</v>
          </cell>
        </row>
        <row r="2864">
          <cell r="B2864" t="str">
            <v>SAN LUIS OBISPO 1103191498</v>
          </cell>
          <cell r="C2864">
            <v>182631103</v>
          </cell>
          <cell r="D2864" t="str">
            <v>SAN LUIS OBISPO 1103</v>
          </cell>
          <cell r="E2864">
            <v>191498</v>
          </cell>
          <cell r="F2864" t="b">
            <v>1</v>
          </cell>
          <cell r="G2864">
            <v>267.69145281698297</v>
          </cell>
          <cell r="H2864">
            <v>189.85675983911699</v>
          </cell>
        </row>
        <row r="2865">
          <cell r="B2865" t="str">
            <v>SAN LUIS OBISPO 1103365572</v>
          </cell>
          <cell r="C2865">
            <v>182631103</v>
          </cell>
          <cell r="D2865" t="str">
            <v>SAN LUIS OBISPO 1103</v>
          </cell>
          <cell r="E2865">
            <v>365572</v>
          </cell>
          <cell r="F2865" t="b">
            <v>1</v>
          </cell>
          <cell r="G2865">
            <v>696.846463531616</v>
          </cell>
          <cell r="H2865">
            <v>611.85888782381301</v>
          </cell>
        </row>
        <row r="2866">
          <cell r="B2866" t="str">
            <v>SAN LUIS OBISPO 110342344</v>
          </cell>
          <cell r="C2866">
            <v>182631103</v>
          </cell>
          <cell r="D2866" t="str">
            <v>SAN LUIS OBISPO 1103</v>
          </cell>
          <cell r="E2866">
            <v>42344</v>
          </cell>
          <cell r="F2866" t="b">
            <v>0</v>
          </cell>
          <cell r="G2866">
            <v>17541.982535561699</v>
          </cell>
          <cell r="H2866">
            <v>15185.6709068865</v>
          </cell>
        </row>
        <row r="2867">
          <cell r="B2867" t="str">
            <v>SAN LUIS OBISPO 1103934355</v>
          </cell>
          <cell r="C2867">
            <v>182631103</v>
          </cell>
          <cell r="D2867" t="str">
            <v>SAN LUIS OBISPO 1103</v>
          </cell>
          <cell r="E2867">
            <v>934355</v>
          </cell>
          <cell r="F2867" t="b">
            <v>1</v>
          </cell>
          <cell r="G2867">
            <v>1942.6665705319699</v>
          </cell>
          <cell r="H2867">
            <v>915.67060909913403</v>
          </cell>
        </row>
        <row r="2868">
          <cell r="B2868" t="str">
            <v>SAN LUIS OBISPO 1103CB</v>
          </cell>
          <cell r="C2868">
            <v>182631103</v>
          </cell>
          <cell r="D2868" t="str">
            <v>SAN LUIS OBISPO 1103</v>
          </cell>
          <cell r="E2868" t="str">
            <v>CB</v>
          </cell>
          <cell r="F2868" t="b">
            <v>1</v>
          </cell>
          <cell r="G2868">
            <v>10934.081097644799</v>
          </cell>
          <cell r="H2868">
            <v>0</v>
          </cell>
        </row>
        <row r="2869">
          <cell r="B2869" t="str">
            <v>SAN LUIS OBISPO 1103V82</v>
          </cell>
          <cell r="C2869">
            <v>182631103</v>
          </cell>
          <cell r="D2869" t="str">
            <v>SAN LUIS OBISPO 1103</v>
          </cell>
          <cell r="E2869" t="str">
            <v>V82</v>
          </cell>
          <cell r="F2869" t="b">
            <v>0</v>
          </cell>
          <cell r="G2869">
            <v>22558.980061681199</v>
          </cell>
          <cell r="H2869">
            <v>14130.1147487546</v>
          </cell>
        </row>
        <row r="2870">
          <cell r="B2870" t="str">
            <v>SAN LUIS OBISPO 1104350030</v>
          </cell>
          <cell r="C2870">
            <v>182631104</v>
          </cell>
          <cell r="D2870" t="str">
            <v>SAN LUIS OBISPO 1104</v>
          </cell>
          <cell r="E2870">
            <v>350030</v>
          </cell>
          <cell r="F2870" t="b">
            <v>0</v>
          </cell>
          <cell r="G2870">
            <v>14009.014972239</v>
          </cell>
          <cell r="H2870">
            <v>9325.2379908985895</v>
          </cell>
        </row>
        <row r="2871">
          <cell r="B2871" t="str">
            <v>SAN LUIS OBISPO 1104753254</v>
          </cell>
          <cell r="C2871">
            <v>182631104</v>
          </cell>
          <cell r="D2871" t="str">
            <v>SAN LUIS OBISPO 1104</v>
          </cell>
          <cell r="E2871">
            <v>753254</v>
          </cell>
          <cell r="F2871" t="b">
            <v>1</v>
          </cell>
          <cell r="G2871">
            <v>576.08097827831295</v>
          </cell>
          <cell r="H2871">
            <v>561.14856821689398</v>
          </cell>
        </row>
        <row r="2872">
          <cell r="B2872" t="str">
            <v>SAN LUIS OBISPO 1104777686</v>
          </cell>
          <cell r="C2872">
            <v>182631104</v>
          </cell>
          <cell r="D2872" t="str">
            <v>SAN LUIS OBISPO 1104</v>
          </cell>
          <cell r="E2872">
            <v>777686</v>
          </cell>
          <cell r="F2872" t="b">
            <v>0</v>
          </cell>
          <cell r="G2872">
            <v>3079.7620205405901</v>
          </cell>
          <cell r="H2872">
            <v>2707.2733099567099</v>
          </cell>
        </row>
        <row r="2873">
          <cell r="B2873" t="str">
            <v>SAN LUIS OBISPO 1104982992</v>
          </cell>
          <cell r="C2873">
            <v>182631104</v>
          </cell>
          <cell r="D2873" t="str">
            <v>SAN LUIS OBISPO 1104</v>
          </cell>
          <cell r="E2873">
            <v>982992</v>
          </cell>
          <cell r="F2873" t="b">
            <v>0</v>
          </cell>
          <cell r="G2873">
            <v>14390.208612963401</v>
          </cell>
          <cell r="H2873">
            <v>14390.208612963401</v>
          </cell>
        </row>
        <row r="2874">
          <cell r="B2874" t="str">
            <v>SAN LUIS OBISPO 1104CB</v>
          </cell>
          <cell r="C2874">
            <v>182631104</v>
          </cell>
          <cell r="D2874" t="str">
            <v>SAN LUIS OBISPO 1104</v>
          </cell>
          <cell r="E2874" t="str">
            <v>CB</v>
          </cell>
          <cell r="F2874" t="b">
            <v>1</v>
          </cell>
          <cell r="G2874">
            <v>10585.951034932399</v>
          </cell>
          <cell r="H2874">
            <v>124.24879688679999</v>
          </cell>
        </row>
        <row r="2875">
          <cell r="B2875" t="str">
            <v>SAN LUIS OBISPO 1104V10</v>
          </cell>
          <cell r="C2875">
            <v>182631104</v>
          </cell>
          <cell r="D2875" t="str">
            <v>SAN LUIS OBISPO 1104</v>
          </cell>
          <cell r="E2875" t="str">
            <v>V10</v>
          </cell>
          <cell r="F2875" t="b">
            <v>0</v>
          </cell>
          <cell r="G2875">
            <v>7811.0705332286097</v>
          </cell>
          <cell r="H2875">
            <v>3504.83067162731</v>
          </cell>
        </row>
        <row r="2876">
          <cell r="B2876" t="str">
            <v>SAN LUIS OBISPO 1104V14</v>
          </cell>
          <cell r="C2876">
            <v>182631104</v>
          </cell>
          <cell r="D2876" t="str">
            <v>SAN LUIS OBISPO 1104</v>
          </cell>
          <cell r="E2876" t="str">
            <v>V14</v>
          </cell>
          <cell r="F2876" t="b">
            <v>0</v>
          </cell>
          <cell r="G2876">
            <v>13117.1277411098</v>
          </cell>
          <cell r="H2876">
            <v>13103.4116980774</v>
          </cell>
        </row>
        <row r="2877">
          <cell r="B2877" t="str">
            <v>SAN LUIS OBISPO 1104V40</v>
          </cell>
          <cell r="C2877">
            <v>182631104</v>
          </cell>
          <cell r="D2877" t="str">
            <v>SAN LUIS OBISPO 1104</v>
          </cell>
          <cell r="E2877" t="str">
            <v>V40</v>
          </cell>
          <cell r="F2877" t="b">
            <v>0</v>
          </cell>
          <cell r="G2877">
            <v>37151.7010289506</v>
          </cell>
          <cell r="H2877">
            <v>23652.228155228098</v>
          </cell>
        </row>
        <row r="2878">
          <cell r="B2878" t="str">
            <v>SAN LUIS OBISPO 1104V46</v>
          </cell>
          <cell r="C2878">
            <v>182631104</v>
          </cell>
          <cell r="D2878" t="str">
            <v>SAN LUIS OBISPO 1104</v>
          </cell>
          <cell r="E2878" t="str">
            <v>V46</v>
          </cell>
          <cell r="F2878" t="b">
            <v>0</v>
          </cell>
          <cell r="G2878">
            <v>33477.449844269897</v>
          </cell>
          <cell r="H2878">
            <v>32077.396421663401</v>
          </cell>
        </row>
        <row r="2879">
          <cell r="B2879" t="str">
            <v>SAN LUIS OBISPO 1105512313</v>
          </cell>
          <cell r="C2879">
            <v>182631105</v>
          </cell>
          <cell r="D2879" t="str">
            <v>SAN LUIS OBISPO 1105</v>
          </cell>
          <cell r="E2879">
            <v>512313</v>
          </cell>
          <cell r="F2879" t="b">
            <v>1</v>
          </cell>
          <cell r="G2879">
            <v>1333.0798628570401</v>
          </cell>
          <cell r="H2879">
            <v>785.91247700355598</v>
          </cell>
        </row>
        <row r="2880">
          <cell r="B2880" t="str">
            <v>SAN LUIS OBISPO 1105796050</v>
          </cell>
          <cell r="C2880">
            <v>182631105</v>
          </cell>
          <cell r="D2880" t="str">
            <v>SAN LUIS OBISPO 1105</v>
          </cell>
          <cell r="E2880">
            <v>796050</v>
          </cell>
          <cell r="F2880" t="b">
            <v>1</v>
          </cell>
          <cell r="G2880">
            <v>5067.2793660192901</v>
          </cell>
          <cell r="H2880">
            <v>383.748425528577</v>
          </cell>
        </row>
        <row r="2881">
          <cell r="B2881" t="str">
            <v>SAN LUIS OBISPO 110596874</v>
          </cell>
          <cell r="C2881">
            <v>182631105</v>
          </cell>
          <cell r="D2881" t="str">
            <v>SAN LUIS OBISPO 1105</v>
          </cell>
          <cell r="E2881">
            <v>96874</v>
          </cell>
          <cell r="F2881" t="b">
            <v>0</v>
          </cell>
          <cell r="G2881">
            <v>1722.01767847684</v>
          </cell>
          <cell r="H2881">
            <v>1345.51570107357</v>
          </cell>
        </row>
        <row r="2882">
          <cell r="B2882" t="str">
            <v>SAN LUIS OBISPO 1105CB</v>
          </cell>
          <cell r="C2882">
            <v>182631105</v>
          </cell>
          <cell r="D2882" t="str">
            <v>SAN LUIS OBISPO 1105</v>
          </cell>
          <cell r="E2882" t="str">
            <v>CB</v>
          </cell>
          <cell r="F2882" t="b">
            <v>1</v>
          </cell>
          <cell r="G2882">
            <v>5657.7233397847303</v>
          </cell>
          <cell r="H2882">
            <v>67.490625577183394</v>
          </cell>
        </row>
        <row r="2883">
          <cell r="B2883" t="str">
            <v>SAN LUIS OBISPO 110788962</v>
          </cell>
          <cell r="C2883">
            <v>182631107</v>
          </cell>
          <cell r="D2883" t="str">
            <v>SAN LUIS OBISPO 1107</v>
          </cell>
          <cell r="E2883">
            <v>88962</v>
          </cell>
          <cell r="F2883" t="b">
            <v>0</v>
          </cell>
          <cell r="G2883">
            <v>6442.5414954190401</v>
          </cell>
          <cell r="H2883">
            <v>3996.9258733558399</v>
          </cell>
        </row>
        <row r="2884">
          <cell r="B2884" t="str">
            <v>SAN LUIS OBISPO 1107CB</v>
          </cell>
          <cell r="C2884">
            <v>182631107</v>
          </cell>
          <cell r="D2884" t="str">
            <v>SAN LUIS OBISPO 1107</v>
          </cell>
          <cell r="E2884" t="str">
            <v>CB</v>
          </cell>
          <cell r="F2884" t="b">
            <v>0</v>
          </cell>
          <cell r="G2884">
            <v>1947.4719955250901</v>
          </cell>
          <cell r="H2884">
            <v>1251.1033180423101</v>
          </cell>
        </row>
        <row r="2885">
          <cell r="B2885" t="str">
            <v>SAN LUIS OBISPO 1107V02</v>
          </cell>
          <cell r="C2885">
            <v>182631107</v>
          </cell>
          <cell r="D2885" t="str">
            <v>SAN LUIS OBISPO 1107</v>
          </cell>
          <cell r="E2885" t="str">
            <v>V02</v>
          </cell>
          <cell r="F2885" t="b">
            <v>0</v>
          </cell>
          <cell r="G2885">
            <v>29266.156586970501</v>
          </cell>
          <cell r="H2885">
            <v>29266.156586970501</v>
          </cell>
        </row>
        <row r="2886">
          <cell r="B2886" t="str">
            <v>SAN LUIS OBISPO 1107V18</v>
          </cell>
          <cell r="C2886">
            <v>182631107</v>
          </cell>
          <cell r="D2886" t="str">
            <v>SAN LUIS OBISPO 1107</v>
          </cell>
          <cell r="E2886" t="str">
            <v>V18</v>
          </cell>
          <cell r="F2886" t="b">
            <v>0</v>
          </cell>
          <cell r="G2886">
            <v>6444.7052238042997</v>
          </cell>
          <cell r="H2886">
            <v>4344.0921813673904</v>
          </cell>
        </row>
        <row r="2887">
          <cell r="B2887" t="str">
            <v>SAN LUIS OBISPO 1107V58</v>
          </cell>
          <cell r="C2887">
            <v>182631107</v>
          </cell>
          <cell r="D2887" t="str">
            <v>SAN LUIS OBISPO 1107</v>
          </cell>
          <cell r="E2887" t="str">
            <v>V58</v>
          </cell>
          <cell r="F2887" t="b">
            <v>0</v>
          </cell>
          <cell r="G2887">
            <v>3619.1201023528401</v>
          </cell>
          <cell r="H2887">
            <v>1838.4444919744301</v>
          </cell>
        </row>
        <row r="2888">
          <cell r="B2888" t="str">
            <v>SAN LUIS OBISPO 1107V60</v>
          </cell>
          <cell r="C2888">
            <v>182631107</v>
          </cell>
          <cell r="D2888" t="str">
            <v>SAN LUIS OBISPO 1107</v>
          </cell>
          <cell r="E2888" t="str">
            <v>V60</v>
          </cell>
          <cell r="F2888" t="b">
            <v>0</v>
          </cell>
          <cell r="G2888">
            <v>25811.558263426799</v>
          </cell>
          <cell r="H2888">
            <v>25811.558263426799</v>
          </cell>
        </row>
        <row r="2889">
          <cell r="B2889" t="str">
            <v>SAN LUIS OBISPO 1107V62</v>
          </cell>
          <cell r="C2889">
            <v>182631107</v>
          </cell>
          <cell r="D2889" t="str">
            <v>SAN LUIS OBISPO 1107</v>
          </cell>
          <cell r="E2889" t="str">
            <v>V62</v>
          </cell>
          <cell r="F2889" t="b">
            <v>0</v>
          </cell>
          <cell r="G2889">
            <v>11154.8311372391</v>
          </cell>
          <cell r="H2889">
            <v>11108.5020750115</v>
          </cell>
        </row>
        <row r="2890">
          <cell r="B2890" t="str">
            <v>SAN LUIS OBISPO 1108144690</v>
          </cell>
          <cell r="C2890">
            <v>182631108</v>
          </cell>
          <cell r="D2890" t="str">
            <v>SAN LUIS OBISPO 1108</v>
          </cell>
          <cell r="E2890">
            <v>144690</v>
          </cell>
          <cell r="F2890" t="b">
            <v>1</v>
          </cell>
          <cell r="G2890">
            <v>900.00027766368396</v>
          </cell>
          <cell r="H2890">
            <v>418.94201806263902</v>
          </cell>
        </row>
        <row r="2891">
          <cell r="B2891" t="str">
            <v>SAN LUIS OBISPO 1108337126</v>
          </cell>
          <cell r="C2891">
            <v>182631108</v>
          </cell>
          <cell r="D2891" t="str">
            <v>SAN LUIS OBISPO 1108</v>
          </cell>
          <cell r="E2891">
            <v>337126</v>
          </cell>
          <cell r="F2891" t="b">
            <v>0</v>
          </cell>
          <cell r="G2891">
            <v>3227.6651129990501</v>
          </cell>
          <cell r="H2891">
            <v>1128.52104332161</v>
          </cell>
        </row>
        <row r="2892">
          <cell r="B2892" t="str">
            <v>SAN LUIS OBISPO 1108809986</v>
          </cell>
          <cell r="C2892">
            <v>182631108</v>
          </cell>
          <cell r="D2892" t="str">
            <v>SAN LUIS OBISPO 1108</v>
          </cell>
          <cell r="E2892">
            <v>809986</v>
          </cell>
          <cell r="F2892" t="b">
            <v>0</v>
          </cell>
          <cell r="G2892">
            <v>3460.6710239061199</v>
          </cell>
          <cell r="H2892">
            <v>1661.0044282179199</v>
          </cell>
        </row>
        <row r="2893">
          <cell r="B2893" t="str">
            <v>SAN LUIS OBISPO 1108903036</v>
          </cell>
          <cell r="C2893">
            <v>182631108</v>
          </cell>
          <cell r="D2893" t="str">
            <v>SAN LUIS OBISPO 1108</v>
          </cell>
          <cell r="E2893">
            <v>903036</v>
          </cell>
          <cell r="F2893" t="b">
            <v>1</v>
          </cell>
          <cell r="G2893">
            <v>576.61116359193602</v>
          </cell>
          <cell r="H2893">
            <v>306.64368813857402</v>
          </cell>
        </row>
        <row r="2894">
          <cell r="B2894" t="str">
            <v>SAN LUIS OBISPO 1108CB</v>
          </cell>
          <cell r="C2894">
            <v>182631108</v>
          </cell>
          <cell r="D2894" t="str">
            <v>SAN LUIS OBISPO 1108</v>
          </cell>
          <cell r="E2894" t="str">
            <v>CB</v>
          </cell>
          <cell r="F2894" t="b">
            <v>1</v>
          </cell>
          <cell r="G2894">
            <v>7402.9758190562798</v>
          </cell>
          <cell r="H2894">
            <v>10.267614742292</v>
          </cell>
        </row>
        <row r="2895">
          <cell r="B2895" t="str">
            <v>SAN MIGUEL 1104514987</v>
          </cell>
          <cell r="C2895">
            <v>182661104</v>
          </cell>
          <cell r="D2895" t="str">
            <v>SAN MIGUEL 1104</v>
          </cell>
          <cell r="E2895">
            <v>514987</v>
          </cell>
          <cell r="F2895" t="b">
            <v>0</v>
          </cell>
          <cell r="G2895">
            <v>21614.682023458899</v>
          </cell>
          <cell r="H2895">
            <v>13379.792700837999</v>
          </cell>
        </row>
        <row r="2896">
          <cell r="B2896" t="str">
            <v>SAN MIGUEL 1104895760</v>
          </cell>
          <cell r="C2896">
            <v>182661104</v>
          </cell>
          <cell r="D2896" t="str">
            <v>SAN MIGUEL 1104</v>
          </cell>
          <cell r="E2896">
            <v>895760</v>
          </cell>
          <cell r="F2896" t="b">
            <v>0</v>
          </cell>
          <cell r="G2896">
            <v>19502.517099038399</v>
          </cell>
          <cell r="H2896">
            <v>14756.366275591299</v>
          </cell>
        </row>
        <row r="2897">
          <cell r="B2897" t="str">
            <v>SAN MIGUEL 1104N60</v>
          </cell>
          <cell r="C2897">
            <v>182661104</v>
          </cell>
          <cell r="D2897" t="str">
            <v>SAN MIGUEL 1104</v>
          </cell>
          <cell r="E2897" t="str">
            <v>N60</v>
          </cell>
          <cell r="F2897" t="b">
            <v>0</v>
          </cell>
          <cell r="G2897">
            <v>14171.0100752948</v>
          </cell>
          <cell r="H2897">
            <v>13316.658047684699</v>
          </cell>
        </row>
        <row r="2898">
          <cell r="B2898" t="str">
            <v>SAN MIGUEL 1104R58</v>
          </cell>
          <cell r="C2898">
            <v>182661104</v>
          </cell>
          <cell r="D2898" t="str">
            <v>SAN MIGUEL 1104</v>
          </cell>
          <cell r="E2898" t="str">
            <v>R58</v>
          </cell>
          <cell r="F2898" t="b">
            <v>1</v>
          </cell>
          <cell r="G2898">
            <v>19359.874452390901</v>
          </cell>
          <cell r="H2898">
            <v>870.49725351443794</v>
          </cell>
        </row>
        <row r="2899">
          <cell r="B2899" t="str">
            <v>SAN MIGUEL 1105873457</v>
          </cell>
          <cell r="C2899">
            <v>182661105</v>
          </cell>
          <cell r="D2899" t="str">
            <v>SAN MIGUEL 1105</v>
          </cell>
          <cell r="E2899">
            <v>873457</v>
          </cell>
          <cell r="F2899" t="b">
            <v>0</v>
          </cell>
          <cell r="G2899">
            <v>3228.14613989183</v>
          </cell>
          <cell r="H2899">
            <v>2440.6530911662899</v>
          </cell>
        </row>
        <row r="2900">
          <cell r="B2900" t="str">
            <v>SAN MIGUEL 1106428314</v>
          </cell>
          <cell r="C2900">
            <v>182661106</v>
          </cell>
          <cell r="D2900" t="str">
            <v>SAN MIGUEL 1106</v>
          </cell>
          <cell r="E2900">
            <v>428314</v>
          </cell>
          <cell r="F2900" t="b">
            <v>0</v>
          </cell>
          <cell r="G2900">
            <v>29650.593937493199</v>
          </cell>
          <cell r="H2900">
            <v>23673.087174841301</v>
          </cell>
        </row>
        <row r="2901">
          <cell r="B2901" t="str">
            <v>SAN MIGUEL 1106605393</v>
          </cell>
          <cell r="C2901">
            <v>182661106</v>
          </cell>
          <cell r="D2901" t="str">
            <v>SAN MIGUEL 1106</v>
          </cell>
          <cell r="E2901">
            <v>605393</v>
          </cell>
          <cell r="F2901" t="b">
            <v>0</v>
          </cell>
          <cell r="G2901">
            <v>40299.671573016603</v>
          </cell>
          <cell r="H2901">
            <v>33375.886500609602</v>
          </cell>
        </row>
        <row r="2902">
          <cell r="B2902" t="str">
            <v>SAN MIGUEL 1106N34</v>
          </cell>
          <cell r="C2902">
            <v>182661106</v>
          </cell>
          <cell r="D2902" t="str">
            <v>SAN MIGUEL 1106</v>
          </cell>
          <cell r="E2902" t="str">
            <v>N34</v>
          </cell>
          <cell r="F2902" t="b">
            <v>0</v>
          </cell>
          <cell r="G2902">
            <v>22008.970241011099</v>
          </cell>
          <cell r="H2902">
            <v>6041.6355984597103</v>
          </cell>
        </row>
        <row r="2903">
          <cell r="B2903" t="str">
            <v>SAN RAFAEL 1101189400</v>
          </cell>
          <cell r="C2903">
            <v>42011101</v>
          </cell>
          <cell r="D2903" t="str">
            <v>SAN RAFAEL 1101</v>
          </cell>
          <cell r="E2903">
            <v>189400</v>
          </cell>
          <cell r="F2903" t="b">
            <v>0</v>
          </cell>
          <cell r="G2903">
            <v>5552.3042000416999</v>
          </cell>
          <cell r="H2903">
            <v>4446.7435591420899</v>
          </cell>
        </row>
        <row r="2904">
          <cell r="B2904" t="str">
            <v>SAN RAFAEL 1101310</v>
          </cell>
          <cell r="C2904">
            <v>42011101</v>
          </cell>
          <cell r="D2904" t="str">
            <v>SAN RAFAEL 1101</v>
          </cell>
          <cell r="E2904">
            <v>310</v>
          </cell>
          <cell r="F2904" t="b">
            <v>1</v>
          </cell>
          <cell r="G2904">
            <v>5801.4080877889201</v>
          </cell>
          <cell r="H2904">
            <v>319.7973860354</v>
          </cell>
        </row>
        <row r="2905">
          <cell r="B2905" t="str">
            <v>SAN RAFAEL 1101494</v>
          </cell>
          <cell r="C2905">
            <v>42011101</v>
          </cell>
          <cell r="D2905" t="str">
            <v>SAN RAFAEL 1101</v>
          </cell>
          <cell r="E2905">
            <v>494</v>
          </cell>
          <cell r="F2905" t="b">
            <v>0</v>
          </cell>
          <cell r="G2905">
            <v>14793.4066060846</v>
          </cell>
          <cell r="H2905">
            <v>9034.9184701604408</v>
          </cell>
        </row>
        <row r="2906">
          <cell r="B2906" t="str">
            <v>SAN RAFAEL 1101546438</v>
          </cell>
          <cell r="C2906">
            <v>42011101</v>
          </cell>
          <cell r="D2906" t="str">
            <v>SAN RAFAEL 1101</v>
          </cell>
          <cell r="E2906">
            <v>546438</v>
          </cell>
          <cell r="F2906" t="b">
            <v>0</v>
          </cell>
          <cell r="G2906">
            <v>1552.74974693282</v>
          </cell>
          <cell r="H2906">
            <v>1541.38479344658</v>
          </cell>
        </row>
        <row r="2907">
          <cell r="B2907" t="str">
            <v>SAN RAFAEL 110168970</v>
          </cell>
          <cell r="C2907">
            <v>42011101</v>
          </cell>
          <cell r="D2907" t="str">
            <v>SAN RAFAEL 1101</v>
          </cell>
          <cell r="E2907">
            <v>68970</v>
          </cell>
          <cell r="F2907" t="b">
            <v>1</v>
          </cell>
          <cell r="G2907">
            <v>5207.2000595741401</v>
          </cell>
          <cell r="H2907">
            <v>75.625660506004493</v>
          </cell>
        </row>
        <row r="2908">
          <cell r="B2908" t="str">
            <v>SAN RAFAEL 1101CB</v>
          </cell>
          <cell r="C2908">
            <v>42011101</v>
          </cell>
          <cell r="D2908" t="str">
            <v>SAN RAFAEL 1101</v>
          </cell>
          <cell r="E2908" t="str">
            <v>CB</v>
          </cell>
          <cell r="F2908" t="b">
            <v>1</v>
          </cell>
          <cell r="G2908">
            <v>1531.5458789096999</v>
          </cell>
          <cell r="H2908">
            <v>0</v>
          </cell>
        </row>
        <row r="2909">
          <cell r="B2909" t="str">
            <v>SAN RAFAEL 11042235</v>
          </cell>
          <cell r="C2909">
            <v>42011104</v>
          </cell>
          <cell r="D2909" t="str">
            <v>SAN RAFAEL 1104</v>
          </cell>
          <cell r="E2909">
            <v>2235</v>
          </cell>
          <cell r="F2909" t="b">
            <v>1</v>
          </cell>
          <cell r="G2909">
            <v>1389.33123660303</v>
          </cell>
          <cell r="H2909">
            <v>296.66370817458198</v>
          </cell>
        </row>
        <row r="2910">
          <cell r="B2910" t="str">
            <v>SAN RAFAEL 11042651</v>
          </cell>
          <cell r="C2910">
            <v>42011104</v>
          </cell>
          <cell r="D2910" t="str">
            <v>SAN RAFAEL 1104</v>
          </cell>
          <cell r="E2910">
            <v>2651</v>
          </cell>
          <cell r="F2910" t="b">
            <v>0</v>
          </cell>
          <cell r="G2910">
            <v>1316.7962520054</v>
          </cell>
          <cell r="H2910">
            <v>1238.5246395501099</v>
          </cell>
        </row>
        <row r="2911">
          <cell r="B2911" t="str">
            <v>SAN RAFAEL 1104802</v>
          </cell>
          <cell r="C2911">
            <v>42011104</v>
          </cell>
          <cell r="D2911" t="str">
            <v>SAN RAFAEL 1104</v>
          </cell>
          <cell r="E2911">
            <v>802</v>
          </cell>
          <cell r="F2911" t="b">
            <v>0</v>
          </cell>
          <cell r="G2911">
            <v>20585.105023625099</v>
          </cell>
          <cell r="H2911">
            <v>13782.779158555501</v>
          </cell>
        </row>
        <row r="2912">
          <cell r="B2912" t="str">
            <v>SAN RAFAEL 1104CB</v>
          </cell>
          <cell r="C2912">
            <v>42011104</v>
          </cell>
          <cell r="D2912" t="str">
            <v>SAN RAFAEL 1104</v>
          </cell>
          <cell r="E2912" t="str">
            <v>CB</v>
          </cell>
          <cell r="F2912" t="b">
            <v>0</v>
          </cell>
          <cell r="G2912">
            <v>16824.533153634398</v>
          </cell>
          <cell r="H2912">
            <v>5560.2482541518602</v>
          </cell>
        </row>
        <row r="2913">
          <cell r="B2913" t="str">
            <v>SAN RAFAEL 1105344</v>
          </cell>
          <cell r="C2913">
            <v>42011105</v>
          </cell>
          <cell r="D2913" t="str">
            <v>SAN RAFAEL 1105</v>
          </cell>
          <cell r="E2913">
            <v>344</v>
          </cell>
          <cell r="F2913" t="b">
            <v>0</v>
          </cell>
          <cell r="G2913">
            <v>12052.7047061636</v>
          </cell>
          <cell r="H2913">
            <v>1314.75513664447</v>
          </cell>
        </row>
        <row r="2914">
          <cell r="B2914" t="str">
            <v>SAN RAFAEL 1105534</v>
          </cell>
          <cell r="C2914">
            <v>42011105</v>
          </cell>
          <cell r="D2914" t="str">
            <v>SAN RAFAEL 1105</v>
          </cell>
          <cell r="E2914">
            <v>534</v>
          </cell>
          <cell r="F2914" t="b">
            <v>0</v>
          </cell>
          <cell r="G2914">
            <v>2541.7011083061502</v>
          </cell>
          <cell r="H2914">
            <v>1569.6662480705299</v>
          </cell>
        </row>
        <row r="2915">
          <cell r="B2915" t="str">
            <v>SAN RAFAEL 1105818262</v>
          </cell>
          <cell r="C2915">
            <v>42011105</v>
          </cell>
          <cell r="D2915" t="str">
            <v>SAN RAFAEL 1105</v>
          </cell>
          <cell r="E2915">
            <v>818262</v>
          </cell>
          <cell r="F2915" t="b">
            <v>1</v>
          </cell>
          <cell r="G2915">
            <v>1433.2019686031199</v>
          </cell>
          <cell r="H2915">
            <v>292.913345340891</v>
          </cell>
        </row>
        <row r="2916">
          <cell r="B2916" t="str">
            <v>SAN RAFAEL 1105CB</v>
          </cell>
          <cell r="C2916">
            <v>42011105</v>
          </cell>
          <cell r="D2916" t="str">
            <v>SAN RAFAEL 1105</v>
          </cell>
          <cell r="E2916" t="str">
            <v>CB</v>
          </cell>
          <cell r="F2916" t="b">
            <v>1</v>
          </cell>
          <cell r="G2916">
            <v>14121.427163268399</v>
          </cell>
          <cell r="H2916">
            <v>0</v>
          </cell>
        </row>
        <row r="2917">
          <cell r="B2917" t="str">
            <v>SAN RAFAEL 11061230</v>
          </cell>
          <cell r="C2917">
            <v>42011106</v>
          </cell>
          <cell r="D2917" t="str">
            <v>SAN RAFAEL 1106</v>
          </cell>
          <cell r="E2917">
            <v>1230</v>
          </cell>
          <cell r="F2917" t="b">
            <v>0</v>
          </cell>
          <cell r="G2917">
            <v>7038.4431694023096</v>
          </cell>
          <cell r="H2917">
            <v>1747.5573439350901</v>
          </cell>
        </row>
        <row r="2918">
          <cell r="B2918" t="str">
            <v>SAN RAFAEL 1106307651</v>
          </cell>
          <cell r="C2918">
            <v>42011106</v>
          </cell>
          <cell r="D2918" t="str">
            <v>SAN RAFAEL 1106</v>
          </cell>
          <cell r="E2918">
            <v>307651</v>
          </cell>
          <cell r="F2918" t="b">
            <v>1</v>
          </cell>
          <cell r="G2918">
            <v>416.37667424543798</v>
          </cell>
          <cell r="H2918">
            <v>169.04361411685099</v>
          </cell>
        </row>
        <row r="2919">
          <cell r="B2919" t="str">
            <v>SAN RAFAEL 110648752</v>
          </cell>
          <cell r="C2919">
            <v>42011106</v>
          </cell>
          <cell r="D2919" t="str">
            <v>SAN RAFAEL 1106</v>
          </cell>
          <cell r="E2919">
            <v>48752</v>
          </cell>
          <cell r="F2919" t="b">
            <v>1</v>
          </cell>
          <cell r="G2919">
            <v>3375.7798062749898</v>
          </cell>
          <cell r="H2919">
            <v>23.208512482459199</v>
          </cell>
        </row>
        <row r="2920">
          <cell r="B2920" t="str">
            <v>SAN RAFAEL 1106588020</v>
          </cell>
          <cell r="C2920">
            <v>42011106</v>
          </cell>
          <cell r="D2920" t="str">
            <v>SAN RAFAEL 1106</v>
          </cell>
          <cell r="E2920">
            <v>588020</v>
          </cell>
          <cell r="F2920" t="b">
            <v>1</v>
          </cell>
          <cell r="G2920">
            <v>2885.7527959876002</v>
          </cell>
          <cell r="H2920">
            <v>385.23850107517501</v>
          </cell>
        </row>
        <row r="2921">
          <cell r="B2921" t="str">
            <v>SAN RAFAEL 1106618957</v>
          </cell>
          <cell r="C2921">
            <v>42011106</v>
          </cell>
          <cell r="D2921" t="str">
            <v>SAN RAFAEL 1106</v>
          </cell>
          <cell r="E2921">
            <v>618957</v>
          </cell>
          <cell r="F2921" t="b">
            <v>1</v>
          </cell>
          <cell r="G2921">
            <v>394.844733690917</v>
          </cell>
          <cell r="H2921">
            <v>301.11900351173199</v>
          </cell>
        </row>
        <row r="2922">
          <cell r="B2922" t="str">
            <v>SAN RAFAEL 110668694</v>
          </cell>
          <cell r="C2922">
            <v>42011106</v>
          </cell>
          <cell r="D2922" t="str">
            <v>SAN RAFAEL 1106</v>
          </cell>
          <cell r="E2922">
            <v>68694</v>
          </cell>
          <cell r="F2922" t="b">
            <v>1</v>
          </cell>
          <cell r="G2922">
            <v>3377.3751405015601</v>
          </cell>
          <cell r="H2922">
            <v>0</v>
          </cell>
        </row>
        <row r="2923">
          <cell r="B2923" t="str">
            <v>SAN RAFAEL 1106764698</v>
          </cell>
          <cell r="C2923">
            <v>42011106</v>
          </cell>
          <cell r="D2923" t="str">
            <v>SAN RAFAEL 1106</v>
          </cell>
          <cell r="E2923">
            <v>764698</v>
          </cell>
          <cell r="F2923" t="b">
            <v>1</v>
          </cell>
          <cell r="G2923">
            <v>357.037534387481</v>
          </cell>
          <cell r="H2923">
            <v>133.407113898136</v>
          </cell>
        </row>
        <row r="2924">
          <cell r="B2924" t="str">
            <v>SAN RAFAEL 1106837</v>
          </cell>
          <cell r="C2924">
            <v>42011106</v>
          </cell>
          <cell r="D2924" t="str">
            <v>SAN RAFAEL 1106</v>
          </cell>
          <cell r="E2924">
            <v>837</v>
          </cell>
          <cell r="F2924" t="b">
            <v>0</v>
          </cell>
          <cell r="G2924">
            <v>2514.1985549293699</v>
          </cell>
          <cell r="H2924">
            <v>1083.65097136905</v>
          </cell>
        </row>
        <row r="2925">
          <cell r="B2925" t="str">
            <v>SAN RAFAEL 1106910</v>
          </cell>
          <cell r="C2925">
            <v>42011106</v>
          </cell>
          <cell r="D2925" t="str">
            <v>SAN RAFAEL 1106</v>
          </cell>
          <cell r="E2925">
            <v>910</v>
          </cell>
          <cell r="F2925" t="b">
            <v>0</v>
          </cell>
          <cell r="G2925">
            <v>11465.6942320566</v>
          </cell>
          <cell r="H2925">
            <v>2722.6312126533198</v>
          </cell>
        </row>
        <row r="2926">
          <cell r="B2926" t="str">
            <v>SAN RAFAEL 11071166</v>
          </cell>
          <cell r="C2926">
            <v>42011107</v>
          </cell>
          <cell r="D2926" t="str">
            <v>SAN RAFAEL 1107</v>
          </cell>
          <cell r="E2926">
            <v>1166</v>
          </cell>
          <cell r="F2926" t="b">
            <v>0</v>
          </cell>
          <cell r="G2926">
            <v>24234.156967661998</v>
          </cell>
          <cell r="H2926">
            <v>20163.1011779256</v>
          </cell>
        </row>
        <row r="2927">
          <cell r="B2927" t="str">
            <v>SAN RAFAEL 11071276</v>
          </cell>
          <cell r="C2927">
            <v>42011107</v>
          </cell>
          <cell r="D2927" t="str">
            <v>SAN RAFAEL 1107</v>
          </cell>
          <cell r="E2927">
            <v>1276</v>
          </cell>
          <cell r="F2927" t="b">
            <v>0</v>
          </cell>
          <cell r="G2927">
            <v>6144.8964218866604</v>
          </cell>
          <cell r="H2927">
            <v>6012.4281994701496</v>
          </cell>
        </row>
        <row r="2928">
          <cell r="B2928" t="str">
            <v>SAN RAFAEL 11071415</v>
          </cell>
          <cell r="C2928">
            <v>42011107</v>
          </cell>
          <cell r="D2928" t="str">
            <v>SAN RAFAEL 1107</v>
          </cell>
          <cell r="E2928">
            <v>1415</v>
          </cell>
          <cell r="F2928" t="b">
            <v>0</v>
          </cell>
          <cell r="G2928">
            <v>1913.2695695925599</v>
          </cell>
          <cell r="H2928">
            <v>1280.0187904849899</v>
          </cell>
        </row>
        <row r="2929">
          <cell r="B2929" t="str">
            <v>SAN RAFAEL 11073323</v>
          </cell>
          <cell r="C2929">
            <v>42011107</v>
          </cell>
          <cell r="D2929" t="str">
            <v>SAN RAFAEL 1107</v>
          </cell>
          <cell r="E2929">
            <v>3323</v>
          </cell>
          <cell r="F2929" t="b">
            <v>1</v>
          </cell>
          <cell r="G2929">
            <v>214.72860235235501</v>
          </cell>
          <cell r="H2929">
            <v>214.72860235235501</v>
          </cell>
        </row>
        <row r="2930">
          <cell r="B2930" t="str">
            <v>SAN RAFAEL 1107434</v>
          </cell>
          <cell r="C2930">
            <v>42011107</v>
          </cell>
          <cell r="D2930" t="str">
            <v>SAN RAFAEL 1107</v>
          </cell>
          <cell r="E2930">
            <v>434</v>
          </cell>
          <cell r="F2930" t="b">
            <v>1</v>
          </cell>
          <cell r="G2930">
            <v>1839.94070033667</v>
          </cell>
          <cell r="H2930">
            <v>49.221476416709301</v>
          </cell>
        </row>
        <row r="2931">
          <cell r="B2931" t="str">
            <v>SAN RAFAEL 1107CB</v>
          </cell>
          <cell r="C2931">
            <v>42011107</v>
          </cell>
          <cell r="D2931" t="str">
            <v>SAN RAFAEL 1107</v>
          </cell>
          <cell r="E2931" t="str">
            <v>CB</v>
          </cell>
          <cell r="F2931" t="b">
            <v>0</v>
          </cell>
          <cell r="G2931">
            <v>12682.001159674001</v>
          </cell>
          <cell r="H2931">
            <v>7810.3004894983096</v>
          </cell>
        </row>
        <row r="2932">
          <cell r="B2932" t="str">
            <v>SAN RAFAEL 11081210</v>
          </cell>
          <cell r="C2932">
            <v>42011108</v>
          </cell>
          <cell r="D2932" t="str">
            <v>SAN RAFAEL 1108</v>
          </cell>
          <cell r="E2932">
            <v>1210</v>
          </cell>
          <cell r="F2932" t="b">
            <v>0</v>
          </cell>
          <cell r="G2932">
            <v>8832.2253308580803</v>
          </cell>
          <cell r="H2932">
            <v>5252.6146111647404</v>
          </cell>
        </row>
        <row r="2933">
          <cell r="B2933" t="str">
            <v>SAN RAFAEL 11081247</v>
          </cell>
          <cell r="C2933">
            <v>42011108</v>
          </cell>
          <cell r="D2933" t="str">
            <v>SAN RAFAEL 1108</v>
          </cell>
          <cell r="E2933">
            <v>1247</v>
          </cell>
          <cell r="F2933" t="b">
            <v>1</v>
          </cell>
          <cell r="G2933">
            <v>443.46934405459001</v>
          </cell>
          <cell r="H2933">
            <v>443.46934405459001</v>
          </cell>
        </row>
        <row r="2934">
          <cell r="B2934" t="str">
            <v>SAN RAFAEL 11081250</v>
          </cell>
          <cell r="C2934">
            <v>42011108</v>
          </cell>
          <cell r="D2934" t="str">
            <v>SAN RAFAEL 1108</v>
          </cell>
          <cell r="E2934">
            <v>1250</v>
          </cell>
          <cell r="F2934" t="b">
            <v>0</v>
          </cell>
          <cell r="G2934">
            <v>5741.9405273667098</v>
          </cell>
          <cell r="H2934">
            <v>5741.9405273667098</v>
          </cell>
        </row>
        <row r="2935">
          <cell r="B2935" t="str">
            <v>SAN RAFAEL 11081262</v>
          </cell>
          <cell r="C2935">
            <v>42011108</v>
          </cell>
          <cell r="D2935" t="str">
            <v>SAN RAFAEL 1108</v>
          </cell>
          <cell r="E2935">
            <v>1262</v>
          </cell>
          <cell r="F2935" t="b">
            <v>0</v>
          </cell>
          <cell r="G2935">
            <v>7115.8815135701198</v>
          </cell>
          <cell r="H2935">
            <v>6311.2480471233002</v>
          </cell>
        </row>
        <row r="2936">
          <cell r="B2936" t="str">
            <v>SAN RAFAEL 11081457</v>
          </cell>
          <cell r="C2936">
            <v>42011108</v>
          </cell>
          <cell r="D2936" t="str">
            <v>SAN RAFAEL 1108</v>
          </cell>
          <cell r="E2936">
            <v>1457</v>
          </cell>
          <cell r="F2936" t="b">
            <v>0</v>
          </cell>
          <cell r="G2936">
            <v>1229.38047832957</v>
          </cell>
          <cell r="H2936">
            <v>1229.38047832957</v>
          </cell>
        </row>
        <row r="2937">
          <cell r="B2937" t="str">
            <v>SAN RAFAEL 1108322</v>
          </cell>
          <cell r="C2937">
            <v>42011108</v>
          </cell>
          <cell r="D2937" t="str">
            <v>SAN RAFAEL 1108</v>
          </cell>
          <cell r="E2937">
            <v>322</v>
          </cell>
          <cell r="F2937" t="b">
            <v>0</v>
          </cell>
          <cell r="G2937">
            <v>11857.563404042299</v>
          </cell>
          <cell r="H2937">
            <v>11550.5948255235</v>
          </cell>
        </row>
        <row r="2938">
          <cell r="B2938" t="str">
            <v>SAN RAFAEL 110839156</v>
          </cell>
          <cell r="C2938">
            <v>42011108</v>
          </cell>
          <cell r="D2938" t="str">
            <v>SAN RAFAEL 1108</v>
          </cell>
          <cell r="E2938">
            <v>39156</v>
          </cell>
          <cell r="F2938" t="b">
            <v>0</v>
          </cell>
          <cell r="G2938">
            <v>7678.6279020021602</v>
          </cell>
          <cell r="H2938">
            <v>5580.9257748608597</v>
          </cell>
        </row>
        <row r="2939">
          <cell r="B2939" t="str">
            <v>SAN RAFAEL 1108516</v>
          </cell>
          <cell r="C2939">
            <v>42011108</v>
          </cell>
          <cell r="D2939" t="str">
            <v>SAN RAFAEL 1108</v>
          </cell>
          <cell r="E2939">
            <v>516</v>
          </cell>
          <cell r="F2939" t="b">
            <v>0</v>
          </cell>
          <cell r="G2939">
            <v>17602.575944067401</v>
          </cell>
          <cell r="H2939">
            <v>17602.575944067401</v>
          </cell>
        </row>
        <row r="2940">
          <cell r="B2940" t="str">
            <v>SAN RAFAEL 110863598</v>
          </cell>
          <cell r="C2940">
            <v>42011108</v>
          </cell>
          <cell r="D2940" t="str">
            <v>SAN RAFAEL 1108</v>
          </cell>
          <cell r="E2940">
            <v>63598</v>
          </cell>
          <cell r="F2940" t="b">
            <v>0</v>
          </cell>
          <cell r="G2940">
            <v>3076.8022566619202</v>
          </cell>
          <cell r="H2940">
            <v>3076.8022566619202</v>
          </cell>
        </row>
        <row r="2941">
          <cell r="B2941" t="str">
            <v>SAN RAFAEL 1108CB</v>
          </cell>
          <cell r="C2941">
            <v>42011108</v>
          </cell>
          <cell r="D2941" t="str">
            <v>SAN RAFAEL 1108</v>
          </cell>
          <cell r="E2941" t="str">
            <v>CB</v>
          </cell>
          <cell r="F2941" t="b">
            <v>0</v>
          </cell>
          <cell r="G2941">
            <v>13792.1670743553</v>
          </cell>
          <cell r="H2941">
            <v>9469.8096918861593</v>
          </cell>
        </row>
        <row r="2942">
          <cell r="B2942" t="str">
            <v>SAN RAFAEL 11092213</v>
          </cell>
          <cell r="C2942">
            <v>42011109</v>
          </cell>
          <cell r="D2942" t="str">
            <v>SAN RAFAEL 1109</v>
          </cell>
          <cell r="E2942">
            <v>2213</v>
          </cell>
          <cell r="F2942" t="b">
            <v>1</v>
          </cell>
          <cell r="G2942">
            <v>689.85130606048995</v>
          </cell>
          <cell r="H2942">
            <v>689.85130606048995</v>
          </cell>
        </row>
        <row r="2943">
          <cell r="B2943" t="str">
            <v>SAN RAFAEL 1109418</v>
          </cell>
          <cell r="C2943">
            <v>42011109</v>
          </cell>
          <cell r="D2943" t="str">
            <v>SAN RAFAEL 1109</v>
          </cell>
          <cell r="E2943">
            <v>418</v>
          </cell>
          <cell r="F2943" t="b">
            <v>0</v>
          </cell>
          <cell r="G2943">
            <v>19645.063739830999</v>
          </cell>
          <cell r="H2943">
            <v>8262.1359586418803</v>
          </cell>
        </row>
        <row r="2944">
          <cell r="B2944" t="str">
            <v>SAN RAFAEL 1109535284</v>
          </cell>
          <cell r="C2944">
            <v>42011109</v>
          </cell>
          <cell r="D2944" t="str">
            <v>SAN RAFAEL 1109</v>
          </cell>
          <cell r="E2944">
            <v>535284</v>
          </cell>
          <cell r="F2944" t="b">
            <v>1</v>
          </cell>
          <cell r="G2944">
            <v>913.151062612955</v>
          </cell>
          <cell r="H2944">
            <v>10.8614962377853</v>
          </cell>
        </row>
        <row r="2945">
          <cell r="B2945" t="str">
            <v>SAN RAFAEL 1109692576</v>
          </cell>
          <cell r="C2945">
            <v>42011109</v>
          </cell>
          <cell r="D2945" t="str">
            <v>SAN RAFAEL 1109</v>
          </cell>
          <cell r="E2945">
            <v>692576</v>
          </cell>
          <cell r="F2945" t="b">
            <v>0</v>
          </cell>
          <cell r="G2945">
            <v>5517.9962456972198</v>
          </cell>
          <cell r="H2945">
            <v>3874.94914129369</v>
          </cell>
        </row>
        <row r="2946">
          <cell r="B2946" t="str">
            <v>SAN RAFAEL 110991742</v>
          </cell>
          <cell r="C2946">
            <v>42011109</v>
          </cell>
          <cell r="D2946" t="str">
            <v>SAN RAFAEL 1109</v>
          </cell>
          <cell r="E2946">
            <v>91742</v>
          </cell>
          <cell r="F2946" t="b">
            <v>0</v>
          </cell>
          <cell r="G2946">
            <v>7594.7858198550603</v>
          </cell>
          <cell r="H2946">
            <v>3844.74452788704</v>
          </cell>
        </row>
        <row r="2947">
          <cell r="B2947" t="str">
            <v>SAN RAMON 2101CB</v>
          </cell>
          <cell r="C2947">
            <v>14232101</v>
          </cell>
          <cell r="D2947" t="str">
            <v>SAN RAMON 2101</v>
          </cell>
          <cell r="E2947" t="str">
            <v>CB</v>
          </cell>
          <cell r="F2947" t="b">
            <v>0</v>
          </cell>
          <cell r="G2947">
            <v>1579.20121941347</v>
          </cell>
          <cell r="H2947">
            <v>1277.34951923023</v>
          </cell>
        </row>
        <row r="2948">
          <cell r="B2948" t="str">
            <v>SAN RAMON 2102CB</v>
          </cell>
          <cell r="C2948">
            <v>14232102</v>
          </cell>
          <cell r="D2948" t="str">
            <v>SAN RAMON 2102</v>
          </cell>
          <cell r="E2948" t="str">
            <v>CB</v>
          </cell>
          <cell r="F2948" t="b">
            <v>0</v>
          </cell>
          <cell r="G2948">
            <v>3412.1639345031899</v>
          </cell>
          <cell r="H2948">
            <v>2836.6715596065001</v>
          </cell>
        </row>
        <row r="2949">
          <cell r="B2949" t="str">
            <v>SAN RAMON 2103MR279</v>
          </cell>
          <cell r="C2949">
            <v>14232103</v>
          </cell>
          <cell r="D2949" t="str">
            <v>SAN RAMON 2103</v>
          </cell>
          <cell r="E2949" t="str">
            <v>MR279</v>
          </cell>
          <cell r="F2949" t="b">
            <v>1</v>
          </cell>
          <cell r="G2949">
            <v>323.774784310862</v>
          </cell>
          <cell r="H2949">
            <v>4.5719870458134997</v>
          </cell>
        </row>
        <row r="2950">
          <cell r="B2950" t="str">
            <v>SAN RAMON 2106CB</v>
          </cell>
          <cell r="C2950">
            <v>14232106</v>
          </cell>
          <cell r="D2950" t="str">
            <v>SAN RAMON 2106</v>
          </cell>
          <cell r="E2950" t="str">
            <v>CB</v>
          </cell>
          <cell r="F2950" t="b">
            <v>1</v>
          </cell>
          <cell r="G2950">
            <v>3504.1174516913502</v>
          </cell>
          <cell r="H2950">
            <v>755.11765294802103</v>
          </cell>
        </row>
        <row r="2951">
          <cell r="B2951" t="str">
            <v>SAN RAMON 2107CB</v>
          </cell>
          <cell r="C2951">
            <v>14232107</v>
          </cell>
          <cell r="D2951" t="str">
            <v>SAN RAMON 2107</v>
          </cell>
          <cell r="E2951" t="str">
            <v>CB</v>
          </cell>
          <cell r="F2951" t="b">
            <v>1</v>
          </cell>
          <cell r="G2951">
            <v>14648.540451833</v>
          </cell>
          <cell r="H2951">
            <v>486.175322507347</v>
          </cell>
        </row>
        <row r="2952">
          <cell r="B2952" t="str">
            <v>SAN RAMON 2107MR284</v>
          </cell>
          <cell r="C2952">
            <v>14232107</v>
          </cell>
          <cell r="D2952" t="str">
            <v>SAN RAMON 2107</v>
          </cell>
          <cell r="E2952" t="str">
            <v>MR284</v>
          </cell>
          <cell r="F2952" t="b">
            <v>0</v>
          </cell>
          <cell r="G2952">
            <v>24162.973995975801</v>
          </cell>
          <cell r="H2952">
            <v>23633.887452135201</v>
          </cell>
        </row>
        <row r="2953">
          <cell r="B2953" t="str">
            <v>SAN RAMON 2107MR441</v>
          </cell>
          <cell r="C2953">
            <v>14232107</v>
          </cell>
          <cell r="D2953" t="str">
            <v>SAN RAMON 2107</v>
          </cell>
          <cell r="E2953" t="str">
            <v>MR441</v>
          </cell>
          <cell r="F2953" t="b">
            <v>1</v>
          </cell>
          <cell r="G2953">
            <v>350.49490914852697</v>
          </cell>
          <cell r="H2953">
            <v>40.201579250715298</v>
          </cell>
        </row>
        <row r="2954">
          <cell r="B2954" t="str">
            <v>SAN RAMON 210853732</v>
          </cell>
          <cell r="C2954">
            <v>14232108</v>
          </cell>
          <cell r="D2954" t="str">
            <v>SAN RAMON 2108</v>
          </cell>
          <cell r="E2954">
            <v>53732</v>
          </cell>
          <cell r="F2954" t="b">
            <v>0</v>
          </cell>
          <cell r="G2954">
            <v>12542.799995114199</v>
          </cell>
          <cell r="H2954">
            <v>12542.799995114199</v>
          </cell>
        </row>
        <row r="2955">
          <cell r="B2955" t="str">
            <v>SAN RAMON 2108CB</v>
          </cell>
          <cell r="C2955">
            <v>14232108</v>
          </cell>
          <cell r="D2955" t="str">
            <v>SAN RAMON 2108</v>
          </cell>
          <cell r="E2955" t="str">
            <v>CB</v>
          </cell>
          <cell r="F2955" t="b">
            <v>0</v>
          </cell>
          <cell r="G2955">
            <v>15329.2524379513</v>
          </cell>
          <cell r="H2955">
            <v>14012.716109696699</v>
          </cell>
        </row>
        <row r="2956">
          <cell r="B2956" t="str">
            <v>SAN RAMON 2117CB</v>
          </cell>
          <cell r="C2956">
            <v>14232117</v>
          </cell>
          <cell r="D2956" t="str">
            <v>SAN RAMON 2117</v>
          </cell>
          <cell r="E2956" t="str">
            <v>CB</v>
          </cell>
          <cell r="F2956" t="b">
            <v>0</v>
          </cell>
          <cell r="G2956">
            <v>2698.3212254673799</v>
          </cell>
          <cell r="H2956">
            <v>1098.8940156096401</v>
          </cell>
        </row>
        <row r="2957">
          <cell r="B2957" t="str">
            <v>SAN RAMON 2119CB</v>
          </cell>
          <cell r="C2957">
            <v>14232119</v>
          </cell>
          <cell r="D2957" t="str">
            <v>SAN RAMON 2119</v>
          </cell>
          <cell r="E2957" t="str">
            <v>CB</v>
          </cell>
          <cell r="F2957" t="b">
            <v>0</v>
          </cell>
          <cell r="G2957">
            <v>2345.49737702732</v>
          </cell>
          <cell r="H2957">
            <v>1187.93502177961</v>
          </cell>
        </row>
        <row r="2958">
          <cell r="B2958" t="str">
            <v>SAND CREEK 110345190</v>
          </cell>
          <cell r="C2958">
            <v>254601103</v>
          </cell>
          <cell r="D2958" t="str">
            <v>SAND CREEK 1103</v>
          </cell>
          <cell r="E2958">
            <v>45190</v>
          </cell>
          <cell r="F2958" t="b">
            <v>0</v>
          </cell>
          <cell r="G2958">
            <v>60483.599695341698</v>
          </cell>
          <cell r="H2958">
            <v>60483.599695341698</v>
          </cell>
        </row>
        <row r="2959">
          <cell r="B2959" t="str">
            <v>SAND CREEK 11037070</v>
          </cell>
          <cell r="C2959">
            <v>254601103</v>
          </cell>
          <cell r="D2959" t="str">
            <v>SAND CREEK 1103</v>
          </cell>
          <cell r="E2959">
            <v>7070</v>
          </cell>
          <cell r="F2959" t="b">
            <v>0</v>
          </cell>
          <cell r="G2959">
            <v>28250.671012919</v>
          </cell>
          <cell r="H2959">
            <v>28250.671012919</v>
          </cell>
        </row>
        <row r="2960">
          <cell r="B2960" t="str">
            <v>SAND CREEK 11037110</v>
          </cell>
          <cell r="C2960">
            <v>254601103</v>
          </cell>
          <cell r="D2960" t="str">
            <v>SAND CREEK 1103</v>
          </cell>
          <cell r="E2960">
            <v>7110</v>
          </cell>
          <cell r="F2960" t="b">
            <v>0</v>
          </cell>
          <cell r="G2960">
            <v>29983.261632051301</v>
          </cell>
          <cell r="H2960">
            <v>29983.261632051301</v>
          </cell>
        </row>
        <row r="2961">
          <cell r="B2961" t="str">
            <v>SAND CREEK 11037140</v>
          </cell>
          <cell r="C2961">
            <v>254601103</v>
          </cell>
          <cell r="D2961" t="str">
            <v>SAND CREEK 1103</v>
          </cell>
          <cell r="E2961">
            <v>7140</v>
          </cell>
          <cell r="F2961" t="b">
            <v>0</v>
          </cell>
          <cell r="G2961">
            <v>42300.552584241203</v>
          </cell>
          <cell r="H2961">
            <v>42300.552584241203</v>
          </cell>
        </row>
        <row r="2962">
          <cell r="B2962" t="str">
            <v>SAND CREEK 11037420</v>
          </cell>
          <cell r="C2962">
            <v>254601103</v>
          </cell>
          <cell r="D2962" t="str">
            <v>SAND CREEK 1103</v>
          </cell>
          <cell r="E2962">
            <v>7420</v>
          </cell>
          <cell r="F2962" t="b">
            <v>0</v>
          </cell>
          <cell r="G2962">
            <v>37320.864513107997</v>
          </cell>
          <cell r="H2962">
            <v>37320.864513107997</v>
          </cell>
        </row>
        <row r="2963">
          <cell r="B2963" t="str">
            <v>SAND CREEK 11037823F</v>
          </cell>
          <cell r="C2963">
            <v>254601103</v>
          </cell>
          <cell r="D2963" t="str">
            <v>SAND CREEK 1103</v>
          </cell>
          <cell r="E2963" t="str">
            <v>7823F</v>
          </cell>
          <cell r="F2963" t="b">
            <v>0</v>
          </cell>
          <cell r="G2963">
            <v>7527.4054119435696</v>
          </cell>
          <cell r="H2963">
            <v>7527.4054119435696</v>
          </cell>
        </row>
        <row r="2964">
          <cell r="B2964" t="str">
            <v>SAND CREEK 110397354</v>
          </cell>
          <cell r="C2964">
            <v>254601103</v>
          </cell>
          <cell r="D2964" t="str">
            <v>SAND CREEK 1103</v>
          </cell>
          <cell r="E2964">
            <v>97354</v>
          </cell>
          <cell r="F2964" t="b">
            <v>0</v>
          </cell>
          <cell r="G2964">
            <v>16339.8299066664</v>
          </cell>
          <cell r="H2964">
            <v>14168.241964801</v>
          </cell>
        </row>
        <row r="2965">
          <cell r="B2965" t="str">
            <v>SAND CREEK 1103CB</v>
          </cell>
          <cell r="C2965">
            <v>254601103</v>
          </cell>
          <cell r="D2965" t="str">
            <v>SAND CREEK 1103</v>
          </cell>
          <cell r="E2965" t="str">
            <v>CB</v>
          </cell>
          <cell r="F2965" t="b">
            <v>0</v>
          </cell>
          <cell r="G2965">
            <v>20983.202809205599</v>
          </cell>
          <cell r="H2965">
            <v>20983.202809205599</v>
          </cell>
        </row>
        <row r="2966">
          <cell r="B2966" t="str">
            <v>SANTA MARIA 1108M18</v>
          </cell>
          <cell r="C2966">
            <v>182671108</v>
          </cell>
          <cell r="D2966" t="str">
            <v>SANTA MARIA 1108</v>
          </cell>
          <cell r="E2966" t="str">
            <v>M18</v>
          </cell>
          <cell r="F2966" t="b">
            <v>0</v>
          </cell>
          <cell r="G2966">
            <v>28757.9290880792</v>
          </cell>
          <cell r="H2966">
            <v>24562.109817166001</v>
          </cell>
        </row>
        <row r="2967">
          <cell r="B2967" t="str">
            <v>SANTA MARIA 1108M80</v>
          </cell>
          <cell r="C2967">
            <v>182671108</v>
          </cell>
          <cell r="D2967" t="str">
            <v>SANTA MARIA 1108</v>
          </cell>
          <cell r="E2967" t="str">
            <v>M80</v>
          </cell>
          <cell r="F2967" t="b">
            <v>0</v>
          </cell>
          <cell r="G2967">
            <v>93735.501330955696</v>
          </cell>
          <cell r="H2967">
            <v>93735.501330955696</v>
          </cell>
        </row>
        <row r="2968">
          <cell r="B2968" t="str">
            <v>SANTA ROSA A 1104173590</v>
          </cell>
          <cell r="C2968">
            <v>42151104</v>
          </cell>
          <cell r="D2968" t="str">
            <v>SANTA ROSA A 1104</v>
          </cell>
          <cell r="E2968">
            <v>173590</v>
          </cell>
          <cell r="F2968" t="b">
            <v>0</v>
          </cell>
          <cell r="G2968">
            <v>6901.1970440581399</v>
          </cell>
          <cell r="H2968">
            <v>6901.1970440581399</v>
          </cell>
        </row>
        <row r="2969">
          <cell r="B2969" t="str">
            <v>SANTA ROSA A 1104210</v>
          </cell>
          <cell r="C2969">
            <v>42151104</v>
          </cell>
          <cell r="D2969" t="str">
            <v>SANTA ROSA A 1104</v>
          </cell>
          <cell r="E2969">
            <v>210</v>
          </cell>
          <cell r="F2969" t="b">
            <v>0</v>
          </cell>
          <cell r="G2969">
            <v>12611.914201899601</v>
          </cell>
          <cell r="H2969">
            <v>10477.871639766699</v>
          </cell>
        </row>
        <row r="2970">
          <cell r="B2970" t="str">
            <v>SANTA ROSA A 1104220</v>
          </cell>
          <cell r="C2970">
            <v>42151104</v>
          </cell>
          <cell r="D2970" t="str">
            <v>SANTA ROSA A 1104</v>
          </cell>
          <cell r="E2970">
            <v>220</v>
          </cell>
          <cell r="F2970" t="b">
            <v>0</v>
          </cell>
          <cell r="G2970">
            <v>15438.0154265499</v>
          </cell>
          <cell r="H2970">
            <v>15438.0154265499</v>
          </cell>
        </row>
        <row r="2971">
          <cell r="B2971" t="str">
            <v>SANTA ROSA A 110432180</v>
          </cell>
          <cell r="C2971">
            <v>42151104</v>
          </cell>
          <cell r="D2971" t="str">
            <v>SANTA ROSA A 1104</v>
          </cell>
          <cell r="E2971">
            <v>32180</v>
          </cell>
          <cell r="F2971" t="b">
            <v>0</v>
          </cell>
          <cell r="G2971">
            <v>4085.7250041947</v>
          </cell>
          <cell r="H2971">
            <v>3970.21308309815</v>
          </cell>
        </row>
        <row r="2972">
          <cell r="B2972" t="str">
            <v>SANTA ROSA A 110439786</v>
          </cell>
          <cell r="C2972">
            <v>42151104</v>
          </cell>
          <cell r="D2972" t="str">
            <v>SANTA ROSA A 1104</v>
          </cell>
          <cell r="E2972">
            <v>39786</v>
          </cell>
          <cell r="F2972" t="b">
            <v>1</v>
          </cell>
          <cell r="G2972">
            <v>5442.54668035949</v>
          </cell>
          <cell r="H2972">
            <v>454.73680442182501</v>
          </cell>
        </row>
        <row r="2973">
          <cell r="B2973" t="str">
            <v>SANTA ROSA A 1104642</v>
          </cell>
          <cell r="C2973">
            <v>42151104</v>
          </cell>
          <cell r="D2973" t="str">
            <v>SANTA ROSA A 1104</v>
          </cell>
          <cell r="E2973">
            <v>642</v>
          </cell>
          <cell r="F2973" t="b">
            <v>0</v>
          </cell>
          <cell r="G2973">
            <v>14995.9698055645</v>
          </cell>
          <cell r="H2973">
            <v>14995.9698055645</v>
          </cell>
        </row>
        <row r="2974">
          <cell r="B2974" t="str">
            <v>SANTA ROSA A 110464565</v>
          </cell>
          <cell r="C2974">
            <v>42151104</v>
          </cell>
          <cell r="D2974" t="str">
            <v>SANTA ROSA A 1104</v>
          </cell>
          <cell r="E2974">
            <v>64565</v>
          </cell>
          <cell r="F2974" t="b">
            <v>0</v>
          </cell>
          <cell r="G2974">
            <v>1284.2848290637701</v>
          </cell>
          <cell r="H2974">
            <v>1284.2848290637701</v>
          </cell>
        </row>
        <row r="2975">
          <cell r="B2975" t="str">
            <v>SANTA ROSA A 1104716</v>
          </cell>
          <cell r="C2975">
            <v>42151104</v>
          </cell>
          <cell r="D2975" t="str">
            <v>SANTA ROSA A 1104</v>
          </cell>
          <cell r="E2975">
            <v>716</v>
          </cell>
          <cell r="F2975" t="b">
            <v>0</v>
          </cell>
          <cell r="G2975">
            <v>14319.943782696801</v>
          </cell>
          <cell r="H2975">
            <v>14319.943782696801</v>
          </cell>
        </row>
        <row r="2976">
          <cell r="B2976" t="str">
            <v>SANTA ROSA A 1104834094</v>
          </cell>
          <cell r="C2976">
            <v>42151104</v>
          </cell>
          <cell r="D2976" t="str">
            <v>SANTA ROSA A 1104</v>
          </cell>
          <cell r="E2976">
            <v>834094</v>
          </cell>
          <cell r="F2976" t="b">
            <v>1</v>
          </cell>
          <cell r="G2976">
            <v>201.23449530299999</v>
          </cell>
          <cell r="H2976">
            <v>155.48287139842901</v>
          </cell>
        </row>
        <row r="2977">
          <cell r="B2977" t="str">
            <v>SANTA ROSA A 1104991788</v>
          </cell>
          <cell r="C2977">
            <v>42151104</v>
          </cell>
          <cell r="D2977" t="str">
            <v>SANTA ROSA A 1104</v>
          </cell>
          <cell r="E2977">
            <v>991788</v>
          </cell>
          <cell r="F2977" t="b">
            <v>0</v>
          </cell>
          <cell r="G2977">
            <v>5495.9742067457</v>
          </cell>
          <cell r="H2977">
            <v>1222.06340515637</v>
          </cell>
        </row>
        <row r="2978">
          <cell r="B2978" t="str">
            <v>SANTA ROSA A 1104CB</v>
          </cell>
          <cell r="C2978">
            <v>42151104</v>
          </cell>
          <cell r="D2978" t="str">
            <v>SANTA ROSA A 1104</v>
          </cell>
          <cell r="E2978" t="str">
            <v>CB</v>
          </cell>
          <cell r="F2978" t="b">
            <v>1</v>
          </cell>
          <cell r="G2978">
            <v>9581.6812127460398</v>
          </cell>
          <cell r="H2978">
            <v>369.00166595941198</v>
          </cell>
        </row>
        <row r="2979">
          <cell r="B2979" t="str">
            <v>SANTA ROSA A 1107CB</v>
          </cell>
          <cell r="C2979">
            <v>42151107</v>
          </cell>
          <cell r="D2979" t="str">
            <v>SANTA ROSA A 1107</v>
          </cell>
          <cell r="E2979" t="str">
            <v>CB</v>
          </cell>
          <cell r="F2979" t="b">
            <v>0</v>
          </cell>
          <cell r="G2979">
            <v>9896.0277767047992</v>
          </cell>
          <cell r="H2979">
            <v>4879.3812515456002</v>
          </cell>
        </row>
        <row r="2980">
          <cell r="B2980" t="str">
            <v>SANTA ROSA A 1108409621</v>
          </cell>
          <cell r="C2980">
            <v>42151108</v>
          </cell>
          <cell r="D2980" t="str">
            <v>SANTA ROSA A 1108</v>
          </cell>
          <cell r="E2980">
            <v>409621</v>
          </cell>
          <cell r="F2980" t="b">
            <v>1</v>
          </cell>
          <cell r="G2980">
            <v>945.46116433911402</v>
          </cell>
          <cell r="H2980">
            <v>219.13138386859799</v>
          </cell>
        </row>
        <row r="2981">
          <cell r="B2981" t="str">
            <v>SANTA ROSA A 1111114</v>
          </cell>
          <cell r="C2981">
            <v>42151111</v>
          </cell>
          <cell r="D2981" t="str">
            <v>SANTA ROSA A 1111</v>
          </cell>
          <cell r="E2981">
            <v>114</v>
          </cell>
          <cell r="F2981" t="b">
            <v>1</v>
          </cell>
          <cell r="G2981">
            <v>4957.8886973265699</v>
          </cell>
          <cell r="H2981">
            <v>17.4907901550567</v>
          </cell>
        </row>
        <row r="2982">
          <cell r="B2982" t="str">
            <v>SANTA ROSA A 1111147198</v>
          </cell>
          <cell r="C2982">
            <v>42151111</v>
          </cell>
          <cell r="D2982" t="str">
            <v>SANTA ROSA A 1111</v>
          </cell>
          <cell r="E2982">
            <v>147198</v>
          </cell>
          <cell r="F2982" t="b">
            <v>0</v>
          </cell>
          <cell r="G2982">
            <v>3096.6230969616199</v>
          </cell>
          <cell r="H2982">
            <v>2173.94390065383</v>
          </cell>
        </row>
        <row r="2983">
          <cell r="B2983" t="str">
            <v>SANTA ROSA A 1111407286</v>
          </cell>
          <cell r="C2983">
            <v>42151111</v>
          </cell>
          <cell r="D2983" t="str">
            <v>SANTA ROSA A 1111</v>
          </cell>
          <cell r="E2983">
            <v>407286</v>
          </cell>
          <cell r="F2983" t="b">
            <v>1</v>
          </cell>
          <cell r="G2983">
            <v>98.019560982427507</v>
          </cell>
          <cell r="H2983">
            <v>98.019560982427507</v>
          </cell>
        </row>
        <row r="2984">
          <cell r="B2984" t="str">
            <v>SANTA ROSA A 1111758024</v>
          </cell>
          <cell r="C2984">
            <v>42151111</v>
          </cell>
          <cell r="D2984" t="str">
            <v>SANTA ROSA A 1111</v>
          </cell>
          <cell r="E2984">
            <v>758024</v>
          </cell>
          <cell r="F2984" t="b">
            <v>0</v>
          </cell>
          <cell r="G2984">
            <v>10378.3257271806</v>
          </cell>
          <cell r="H2984">
            <v>7589.89292283754</v>
          </cell>
        </row>
        <row r="2985">
          <cell r="B2985" t="str">
            <v>SANTA ROSA A 1111CB</v>
          </cell>
          <cell r="C2985">
            <v>42151111</v>
          </cell>
          <cell r="D2985" t="str">
            <v>SANTA ROSA A 1111</v>
          </cell>
          <cell r="E2985" t="str">
            <v>CB</v>
          </cell>
          <cell r="F2985" t="b">
            <v>1</v>
          </cell>
          <cell r="G2985">
            <v>9060.4472555847296</v>
          </cell>
          <cell r="H2985">
            <v>490.84245257053902</v>
          </cell>
        </row>
        <row r="2986">
          <cell r="B2986" t="str">
            <v>SANTA YNEZ 1101277014</v>
          </cell>
          <cell r="C2986">
            <v>182721101</v>
          </cell>
          <cell r="D2986" t="str">
            <v>SANTA YNEZ 1101</v>
          </cell>
          <cell r="E2986">
            <v>277014</v>
          </cell>
          <cell r="F2986" t="b">
            <v>0</v>
          </cell>
          <cell r="G2986">
            <v>26491.154134437798</v>
          </cell>
          <cell r="H2986">
            <v>8850.8282840238608</v>
          </cell>
        </row>
        <row r="2987">
          <cell r="B2987" t="str">
            <v>SANTA YNEZ 1101673618</v>
          </cell>
          <cell r="C2987">
            <v>182721101</v>
          </cell>
          <cell r="D2987" t="str">
            <v>SANTA YNEZ 1101</v>
          </cell>
          <cell r="E2987">
            <v>673618</v>
          </cell>
          <cell r="F2987" t="b">
            <v>1</v>
          </cell>
          <cell r="G2987">
            <v>533.16000774081294</v>
          </cell>
          <cell r="H2987">
            <v>171.37875304354699</v>
          </cell>
        </row>
        <row r="2988">
          <cell r="B2988" t="str">
            <v>SANTA YNEZ 1101980192</v>
          </cell>
          <cell r="C2988">
            <v>182721101</v>
          </cell>
          <cell r="D2988" t="str">
            <v>SANTA YNEZ 1101</v>
          </cell>
          <cell r="E2988">
            <v>980192</v>
          </cell>
          <cell r="F2988" t="b">
            <v>0</v>
          </cell>
          <cell r="G2988">
            <v>6178.6452509800802</v>
          </cell>
          <cell r="H2988">
            <v>6178.6452509800802</v>
          </cell>
        </row>
        <row r="2989">
          <cell r="B2989" t="str">
            <v>SANTA YNEZ 1101Y52</v>
          </cell>
          <cell r="C2989">
            <v>182721101</v>
          </cell>
          <cell r="D2989" t="str">
            <v>SANTA YNEZ 1101</v>
          </cell>
          <cell r="E2989" t="str">
            <v>Y52</v>
          </cell>
          <cell r="F2989" t="b">
            <v>0</v>
          </cell>
          <cell r="G2989">
            <v>33466.441996863301</v>
          </cell>
          <cell r="H2989">
            <v>31529.209082133701</v>
          </cell>
        </row>
        <row r="2990">
          <cell r="B2990" t="str">
            <v>SANTA YNEZ 1102320270</v>
          </cell>
          <cell r="C2990">
            <v>182721102</v>
          </cell>
          <cell r="D2990" t="str">
            <v>SANTA YNEZ 1102</v>
          </cell>
          <cell r="E2990">
            <v>320270</v>
          </cell>
          <cell r="F2990" t="b">
            <v>0</v>
          </cell>
          <cell r="G2990">
            <v>27707.779260065501</v>
          </cell>
          <cell r="H2990">
            <v>13648.6048518118</v>
          </cell>
        </row>
        <row r="2991">
          <cell r="B2991" t="str">
            <v>SANTA YNEZ 1102CB</v>
          </cell>
          <cell r="C2991">
            <v>182721102</v>
          </cell>
          <cell r="D2991" t="str">
            <v>SANTA YNEZ 1102</v>
          </cell>
          <cell r="E2991" t="str">
            <v>CB</v>
          </cell>
          <cell r="F2991" t="b">
            <v>0</v>
          </cell>
          <cell r="G2991">
            <v>14342.984593013</v>
          </cell>
          <cell r="H2991">
            <v>2348.0850123466498</v>
          </cell>
        </row>
        <row r="2992">
          <cell r="B2992" t="str">
            <v>SANTA YNEZ 1102Y18</v>
          </cell>
          <cell r="C2992">
            <v>182721102</v>
          </cell>
          <cell r="D2992" t="str">
            <v>SANTA YNEZ 1102</v>
          </cell>
          <cell r="E2992" t="str">
            <v>Y18</v>
          </cell>
          <cell r="F2992" t="b">
            <v>0</v>
          </cell>
          <cell r="G2992">
            <v>12113.6185033528</v>
          </cell>
          <cell r="H2992">
            <v>7856.8971217285998</v>
          </cell>
        </row>
        <row r="2993">
          <cell r="B2993" t="str">
            <v>SANTA YNEZ 1104117616</v>
          </cell>
          <cell r="C2993">
            <v>182721104</v>
          </cell>
          <cell r="D2993" t="str">
            <v>SANTA YNEZ 1104</v>
          </cell>
          <cell r="E2993">
            <v>117616</v>
          </cell>
          <cell r="F2993" t="b">
            <v>1</v>
          </cell>
          <cell r="G2993">
            <v>584.78564634994098</v>
          </cell>
          <cell r="H2993">
            <v>298.34869119168002</v>
          </cell>
        </row>
        <row r="2994">
          <cell r="B2994" t="str">
            <v>SANTA YNEZ 1104512912</v>
          </cell>
          <cell r="C2994">
            <v>182721104</v>
          </cell>
          <cell r="D2994" t="str">
            <v>SANTA YNEZ 1104</v>
          </cell>
          <cell r="E2994">
            <v>512912</v>
          </cell>
          <cell r="F2994" t="b">
            <v>0</v>
          </cell>
          <cell r="G2994">
            <v>3140.8885226120001</v>
          </cell>
          <cell r="H2994">
            <v>1435.1217061863499</v>
          </cell>
        </row>
        <row r="2995">
          <cell r="B2995" t="str">
            <v>SANTA YNEZ 1104564710</v>
          </cell>
          <cell r="C2995">
            <v>182721104</v>
          </cell>
          <cell r="D2995" t="str">
            <v>SANTA YNEZ 1104</v>
          </cell>
          <cell r="E2995">
            <v>564710</v>
          </cell>
          <cell r="F2995" t="b">
            <v>1</v>
          </cell>
          <cell r="G2995">
            <v>541.73710945833295</v>
          </cell>
          <cell r="H2995">
            <v>273.73234576449602</v>
          </cell>
        </row>
        <row r="2996">
          <cell r="B2996" t="str">
            <v>SANTA YNEZ 1104685160</v>
          </cell>
          <cell r="C2996">
            <v>182721104</v>
          </cell>
          <cell r="D2996" t="str">
            <v>SANTA YNEZ 1104</v>
          </cell>
          <cell r="E2996">
            <v>685160</v>
          </cell>
          <cell r="F2996" t="b">
            <v>1</v>
          </cell>
          <cell r="G2996">
            <v>2780.47148270967</v>
          </cell>
          <cell r="H2996">
            <v>943.75909241890497</v>
          </cell>
        </row>
        <row r="2997">
          <cell r="B2997" t="str">
            <v>SANTA YNEZ 110477098</v>
          </cell>
          <cell r="C2997">
            <v>182721104</v>
          </cell>
          <cell r="D2997" t="str">
            <v>SANTA YNEZ 1104</v>
          </cell>
          <cell r="E2997">
            <v>77098</v>
          </cell>
          <cell r="F2997" t="b">
            <v>0</v>
          </cell>
          <cell r="G2997">
            <v>20978.2648251184</v>
          </cell>
          <cell r="H2997">
            <v>19250.5667982657</v>
          </cell>
        </row>
        <row r="2998">
          <cell r="B2998" t="str">
            <v>SANTA YNEZ 1104CB</v>
          </cell>
          <cell r="C2998">
            <v>182721104</v>
          </cell>
          <cell r="D2998" t="str">
            <v>SANTA YNEZ 1104</v>
          </cell>
          <cell r="E2998" t="str">
            <v>CB</v>
          </cell>
          <cell r="F2998" t="b">
            <v>1</v>
          </cell>
          <cell r="G2998">
            <v>12832.3568301425</v>
          </cell>
          <cell r="H2998">
            <v>56.518175058443298</v>
          </cell>
        </row>
        <row r="2999">
          <cell r="B2999" t="str">
            <v>SANTA YNEZ 1104Y04</v>
          </cell>
          <cell r="C2999">
            <v>182721104</v>
          </cell>
          <cell r="D2999" t="str">
            <v>SANTA YNEZ 1104</v>
          </cell>
          <cell r="E2999" t="str">
            <v>Y04</v>
          </cell>
          <cell r="F2999" t="b">
            <v>0</v>
          </cell>
          <cell r="G2999">
            <v>35997.339581853797</v>
          </cell>
          <cell r="H2999">
            <v>25194.630911574601</v>
          </cell>
        </row>
        <row r="3000">
          <cell r="B3000" t="str">
            <v>SANTA YNEZ 1104Y66</v>
          </cell>
          <cell r="C3000">
            <v>182721104</v>
          </cell>
          <cell r="D3000" t="str">
            <v>SANTA YNEZ 1104</v>
          </cell>
          <cell r="E3000" t="str">
            <v>Y66</v>
          </cell>
          <cell r="F3000" t="b">
            <v>0</v>
          </cell>
          <cell r="G3000">
            <v>29410.177267925999</v>
          </cell>
          <cell r="H3000">
            <v>27268.385519813601</v>
          </cell>
        </row>
        <row r="3001">
          <cell r="B3001" t="str">
            <v>SARATOGA 1103595689</v>
          </cell>
          <cell r="C3001">
            <v>83371103</v>
          </cell>
          <cell r="D3001" t="str">
            <v>SARATOGA 1103</v>
          </cell>
          <cell r="E3001">
            <v>595689</v>
          </cell>
          <cell r="F3001" t="b">
            <v>1</v>
          </cell>
          <cell r="G3001">
            <v>356.38253281457901</v>
          </cell>
          <cell r="H3001">
            <v>44.765447363844103</v>
          </cell>
        </row>
        <row r="3002">
          <cell r="B3002" t="str">
            <v>SARATOGA 1103709451</v>
          </cell>
          <cell r="C3002">
            <v>83371103</v>
          </cell>
          <cell r="D3002" t="str">
            <v>SARATOGA 1103</v>
          </cell>
          <cell r="E3002">
            <v>709451</v>
          </cell>
          <cell r="F3002" t="b">
            <v>1</v>
          </cell>
          <cell r="G3002">
            <v>302.47383606953298</v>
          </cell>
          <cell r="H3002">
            <v>302.47383606953298</v>
          </cell>
        </row>
        <row r="3003">
          <cell r="B3003" t="str">
            <v>SARATOGA 1103981056</v>
          </cell>
          <cell r="C3003">
            <v>83371103</v>
          </cell>
          <cell r="D3003" t="str">
            <v>SARATOGA 1103</v>
          </cell>
          <cell r="E3003">
            <v>981056</v>
          </cell>
          <cell r="F3003" t="b">
            <v>1</v>
          </cell>
          <cell r="G3003">
            <v>227.75464503998501</v>
          </cell>
          <cell r="H3003">
            <v>132.01699685521001</v>
          </cell>
        </row>
        <row r="3004">
          <cell r="B3004" t="str">
            <v>SARATOGA 1103LC16</v>
          </cell>
          <cell r="C3004">
            <v>83371103</v>
          </cell>
          <cell r="D3004" t="str">
            <v>SARATOGA 1103</v>
          </cell>
          <cell r="E3004" t="str">
            <v>LC16</v>
          </cell>
          <cell r="F3004" t="b">
            <v>0</v>
          </cell>
          <cell r="G3004">
            <v>8170.2081865835498</v>
          </cell>
          <cell r="H3004">
            <v>6889.2883585988402</v>
          </cell>
        </row>
        <row r="3005">
          <cell r="B3005" t="str">
            <v>SARATOGA 1103LC40</v>
          </cell>
          <cell r="C3005">
            <v>83371103</v>
          </cell>
          <cell r="D3005" t="str">
            <v>SARATOGA 1103</v>
          </cell>
          <cell r="E3005" t="str">
            <v>LC40</v>
          </cell>
          <cell r="F3005" t="b">
            <v>1</v>
          </cell>
          <cell r="G3005">
            <v>2260.1218793815201</v>
          </cell>
          <cell r="H3005">
            <v>26.7728107066579</v>
          </cell>
        </row>
        <row r="3006">
          <cell r="B3006" t="str">
            <v>SARATOGA 1104209146</v>
          </cell>
          <cell r="C3006">
            <v>83371104</v>
          </cell>
          <cell r="D3006" t="str">
            <v>SARATOGA 1104</v>
          </cell>
          <cell r="E3006">
            <v>209146</v>
          </cell>
          <cell r="F3006" t="b">
            <v>0</v>
          </cell>
          <cell r="G3006">
            <v>9672.0390028936308</v>
          </cell>
          <cell r="H3006">
            <v>4936.2553713950902</v>
          </cell>
        </row>
        <row r="3007">
          <cell r="B3007" t="str">
            <v>SARATOGA 1105431214</v>
          </cell>
          <cell r="C3007">
            <v>83371105</v>
          </cell>
          <cell r="D3007" t="str">
            <v>SARATOGA 1105</v>
          </cell>
          <cell r="E3007">
            <v>431214</v>
          </cell>
          <cell r="F3007" t="b">
            <v>1</v>
          </cell>
          <cell r="G3007">
            <v>794.67307243812104</v>
          </cell>
          <cell r="H3007">
            <v>500.32720289229599</v>
          </cell>
        </row>
        <row r="3008">
          <cell r="B3008" t="str">
            <v>SARATOGA 1105LC14</v>
          </cell>
          <cell r="C3008">
            <v>83371105</v>
          </cell>
          <cell r="D3008" t="str">
            <v>SARATOGA 1105</v>
          </cell>
          <cell r="E3008" t="str">
            <v>LC14</v>
          </cell>
          <cell r="F3008" t="b">
            <v>0</v>
          </cell>
          <cell r="G3008">
            <v>17935.879796961701</v>
          </cell>
          <cell r="H3008">
            <v>15879.183882506701</v>
          </cell>
        </row>
        <row r="3009">
          <cell r="B3009" t="str">
            <v>SARATOGA 1106LC22</v>
          </cell>
          <cell r="C3009">
            <v>83371106</v>
          </cell>
          <cell r="D3009" t="str">
            <v>SARATOGA 1106</v>
          </cell>
          <cell r="E3009" t="str">
            <v>LC22</v>
          </cell>
          <cell r="F3009" t="b">
            <v>0</v>
          </cell>
          <cell r="G3009">
            <v>13269.3389193893</v>
          </cell>
          <cell r="H3009">
            <v>12038.7868895383</v>
          </cell>
        </row>
        <row r="3010">
          <cell r="B3010" t="str">
            <v>SARATOGA 1106LC24</v>
          </cell>
          <cell r="C3010">
            <v>83371106</v>
          </cell>
          <cell r="D3010" t="str">
            <v>SARATOGA 1106</v>
          </cell>
          <cell r="E3010" t="str">
            <v>LC24</v>
          </cell>
          <cell r="F3010" t="b">
            <v>0</v>
          </cell>
          <cell r="G3010">
            <v>18535.417781398399</v>
          </cell>
          <cell r="H3010">
            <v>13258.5886383422</v>
          </cell>
        </row>
        <row r="3011">
          <cell r="B3011" t="str">
            <v>SARATOGA 1107167792</v>
          </cell>
          <cell r="C3011">
            <v>83371107</v>
          </cell>
          <cell r="D3011" t="str">
            <v>SARATOGA 1107</v>
          </cell>
          <cell r="E3011">
            <v>167792</v>
          </cell>
          <cell r="F3011" t="b">
            <v>0</v>
          </cell>
          <cell r="G3011">
            <v>7540.5809474494999</v>
          </cell>
          <cell r="H3011">
            <v>7540.5809474494999</v>
          </cell>
        </row>
        <row r="3012">
          <cell r="B3012" t="str">
            <v>SARATOGA 1107413816</v>
          </cell>
          <cell r="C3012">
            <v>83371107</v>
          </cell>
          <cell r="D3012" t="str">
            <v>SARATOGA 1107</v>
          </cell>
          <cell r="E3012">
            <v>413816</v>
          </cell>
          <cell r="F3012" t="b">
            <v>0</v>
          </cell>
          <cell r="G3012">
            <v>17928.384295914799</v>
          </cell>
          <cell r="H3012">
            <v>17928.384295914799</v>
          </cell>
        </row>
        <row r="3013">
          <cell r="B3013" t="str">
            <v>SARATOGA 11075696</v>
          </cell>
          <cell r="C3013">
            <v>83371107</v>
          </cell>
          <cell r="D3013" t="str">
            <v>SARATOGA 1107</v>
          </cell>
          <cell r="E3013">
            <v>5696</v>
          </cell>
          <cell r="F3013" t="b">
            <v>0</v>
          </cell>
          <cell r="G3013">
            <v>9835.0739084914294</v>
          </cell>
          <cell r="H3013">
            <v>8152.2263251403801</v>
          </cell>
        </row>
        <row r="3014">
          <cell r="B3014" t="str">
            <v>SARATOGA 11076867</v>
          </cell>
          <cell r="C3014">
            <v>83371107</v>
          </cell>
          <cell r="D3014" t="str">
            <v>SARATOGA 1107</v>
          </cell>
          <cell r="E3014">
            <v>6867</v>
          </cell>
          <cell r="F3014" t="b">
            <v>1</v>
          </cell>
          <cell r="G3014">
            <v>1328.39475374684</v>
          </cell>
          <cell r="H3014">
            <v>985.94927506830197</v>
          </cell>
        </row>
        <row r="3015">
          <cell r="B3015" t="str">
            <v>SARATOGA 1107CB</v>
          </cell>
          <cell r="C3015">
            <v>83371107</v>
          </cell>
          <cell r="D3015" t="str">
            <v>SARATOGA 1107</v>
          </cell>
          <cell r="E3015" t="str">
            <v>CB</v>
          </cell>
          <cell r="F3015" t="b">
            <v>1</v>
          </cell>
          <cell r="G3015">
            <v>15770.5802959954</v>
          </cell>
          <cell r="H3015">
            <v>273.84244393382801</v>
          </cell>
        </row>
        <row r="3016">
          <cell r="B3016" t="str">
            <v>SARATOGA 1107LC12</v>
          </cell>
          <cell r="C3016">
            <v>83371107</v>
          </cell>
          <cell r="D3016" t="str">
            <v>SARATOGA 1107</v>
          </cell>
          <cell r="E3016" t="str">
            <v>LC12</v>
          </cell>
          <cell r="F3016" t="b">
            <v>0</v>
          </cell>
          <cell r="G3016">
            <v>12044.648132776099</v>
          </cell>
          <cell r="H3016">
            <v>12044.648132776099</v>
          </cell>
        </row>
        <row r="3017">
          <cell r="B3017" t="str">
            <v>SARATOGA 1107LC26</v>
          </cell>
          <cell r="C3017">
            <v>83371107</v>
          </cell>
          <cell r="D3017" t="str">
            <v>SARATOGA 1107</v>
          </cell>
          <cell r="E3017" t="str">
            <v>LC26</v>
          </cell>
          <cell r="F3017" t="b">
            <v>0</v>
          </cell>
          <cell r="G3017">
            <v>9057.4757427878903</v>
          </cell>
          <cell r="H3017">
            <v>9057.4757427878903</v>
          </cell>
        </row>
        <row r="3018">
          <cell r="B3018" t="str">
            <v>SARATOGA 1115463510</v>
          </cell>
          <cell r="C3018">
            <v>83371115</v>
          </cell>
          <cell r="D3018" t="str">
            <v>SARATOGA 1115</v>
          </cell>
          <cell r="E3018">
            <v>463510</v>
          </cell>
          <cell r="F3018" t="b">
            <v>0</v>
          </cell>
          <cell r="G3018">
            <v>4881.4666362643202</v>
          </cell>
          <cell r="H3018">
            <v>4697.8741444486204</v>
          </cell>
        </row>
        <row r="3019">
          <cell r="B3019" t="str">
            <v>SAUSALITO 1101331806</v>
          </cell>
          <cell r="C3019">
            <v>42491101</v>
          </cell>
          <cell r="D3019" t="str">
            <v>SAUSALITO 1101</v>
          </cell>
          <cell r="E3019">
            <v>331806</v>
          </cell>
          <cell r="F3019" t="b">
            <v>1</v>
          </cell>
          <cell r="G3019">
            <v>1086.20673389439</v>
          </cell>
          <cell r="H3019">
            <v>799.05581584567994</v>
          </cell>
        </row>
        <row r="3020">
          <cell r="B3020" t="str">
            <v>SAUSALITO 1101688590</v>
          </cell>
          <cell r="C3020">
            <v>42491101</v>
          </cell>
          <cell r="D3020" t="str">
            <v>SAUSALITO 1101</v>
          </cell>
          <cell r="E3020">
            <v>688590</v>
          </cell>
          <cell r="F3020" t="b">
            <v>0</v>
          </cell>
          <cell r="G3020">
            <v>3500.43009420201</v>
          </cell>
          <cell r="H3020">
            <v>1691.5360193701499</v>
          </cell>
        </row>
        <row r="3021">
          <cell r="B3021" t="str">
            <v>SAUSALITO 11021224</v>
          </cell>
          <cell r="C3021">
            <v>42491102</v>
          </cell>
          <cell r="D3021" t="str">
            <v>SAUSALITO 1102</v>
          </cell>
          <cell r="E3021">
            <v>1224</v>
          </cell>
          <cell r="F3021" t="b">
            <v>1</v>
          </cell>
          <cell r="G3021">
            <v>3249.7675642761601</v>
          </cell>
          <cell r="H3021">
            <v>17.276902238122101</v>
          </cell>
        </row>
        <row r="3022">
          <cell r="B3022" t="str">
            <v>SAUSALITO 11021268</v>
          </cell>
          <cell r="C3022">
            <v>42491102</v>
          </cell>
          <cell r="D3022" t="str">
            <v>SAUSALITO 1102</v>
          </cell>
          <cell r="E3022">
            <v>1268</v>
          </cell>
          <cell r="F3022" t="b">
            <v>0</v>
          </cell>
          <cell r="G3022">
            <v>7937.7862467912</v>
          </cell>
          <cell r="H3022">
            <v>7937.7862467912</v>
          </cell>
        </row>
        <row r="3023">
          <cell r="B3023" t="str">
            <v>SAUSALITO 11021500</v>
          </cell>
          <cell r="C3023">
            <v>42491102</v>
          </cell>
          <cell r="D3023" t="str">
            <v>SAUSALITO 1102</v>
          </cell>
          <cell r="E3023">
            <v>1500</v>
          </cell>
          <cell r="F3023" t="b">
            <v>0</v>
          </cell>
          <cell r="G3023">
            <v>2059.6530467695902</v>
          </cell>
          <cell r="H3023">
            <v>1869.35754334842</v>
          </cell>
        </row>
        <row r="3024">
          <cell r="B3024" t="str">
            <v>SAUSALITO 1102410</v>
          </cell>
          <cell r="C3024">
            <v>42491102</v>
          </cell>
          <cell r="D3024" t="str">
            <v>SAUSALITO 1102</v>
          </cell>
          <cell r="E3024">
            <v>410</v>
          </cell>
          <cell r="F3024" t="b">
            <v>0</v>
          </cell>
          <cell r="G3024">
            <v>3634.5970818169999</v>
          </cell>
          <cell r="H3024">
            <v>2502.9293211848699</v>
          </cell>
        </row>
        <row r="3025">
          <cell r="B3025" t="str">
            <v>SAUSALITO 1102758798</v>
          </cell>
          <cell r="C3025">
            <v>42491102</v>
          </cell>
          <cell r="D3025" t="str">
            <v>SAUSALITO 1102</v>
          </cell>
          <cell r="E3025">
            <v>758798</v>
          </cell>
          <cell r="F3025" t="b">
            <v>1</v>
          </cell>
          <cell r="G3025">
            <v>68.037971745562302</v>
          </cell>
          <cell r="H3025">
            <v>53.265178707402598</v>
          </cell>
        </row>
        <row r="3026">
          <cell r="B3026" t="str">
            <v>SAUSALITO 110284278</v>
          </cell>
          <cell r="C3026">
            <v>42491102</v>
          </cell>
          <cell r="D3026" t="str">
            <v>SAUSALITO 1102</v>
          </cell>
          <cell r="E3026">
            <v>84278</v>
          </cell>
          <cell r="F3026" t="b">
            <v>0</v>
          </cell>
          <cell r="G3026">
            <v>2506.16920202348</v>
          </cell>
          <cell r="H3026">
            <v>2490.16714123062</v>
          </cell>
        </row>
        <row r="3027">
          <cell r="B3027" t="str">
            <v>SAUSALITO 1102964592</v>
          </cell>
          <cell r="C3027">
            <v>42491102</v>
          </cell>
          <cell r="D3027" t="str">
            <v>SAUSALITO 1102</v>
          </cell>
          <cell r="E3027">
            <v>964592</v>
          </cell>
          <cell r="F3027" t="b">
            <v>1</v>
          </cell>
          <cell r="G3027">
            <v>1787.60749603926</v>
          </cell>
          <cell r="H3027">
            <v>941.93867793733</v>
          </cell>
        </row>
        <row r="3028">
          <cell r="B3028" t="str">
            <v>SCE REFUGIO 1701CB</v>
          </cell>
          <cell r="C3028">
            <v>188071701</v>
          </cell>
          <cell r="D3028" t="str">
            <v>SCE REFUGIO 1701</v>
          </cell>
          <cell r="E3028" t="str">
            <v>CB</v>
          </cell>
          <cell r="F3028" t="b">
            <v>1</v>
          </cell>
          <cell r="G3028">
            <v>3.6128816794918301</v>
          </cell>
          <cell r="H3028">
            <v>3.6128816794918301</v>
          </cell>
        </row>
        <row r="3029">
          <cell r="B3029" t="str">
            <v>SCE TEHACHAPI 1101CB</v>
          </cell>
          <cell r="C3029">
            <v>258131101</v>
          </cell>
          <cell r="D3029" t="str">
            <v>SCE TEHACHAPI 1101</v>
          </cell>
          <cell r="E3029" t="str">
            <v>CB</v>
          </cell>
          <cell r="F3029" t="b">
            <v>0</v>
          </cell>
          <cell r="G3029">
            <v>1862.1340376443</v>
          </cell>
          <cell r="H3029">
            <v>1862.1340376443</v>
          </cell>
        </row>
        <row r="3030">
          <cell r="B3030" t="str">
            <v>SCE VEGAS 1701CB</v>
          </cell>
          <cell r="C3030">
            <v>188881701</v>
          </cell>
          <cell r="D3030" t="str">
            <v>SCE VEGAS 1701</v>
          </cell>
          <cell r="E3030" t="str">
            <v>CB</v>
          </cell>
          <cell r="F3030" t="b">
            <v>1</v>
          </cell>
          <cell r="G3030">
            <v>168.41272917940199</v>
          </cell>
          <cell r="H3030">
            <v>168.41272917940199</v>
          </cell>
        </row>
        <row r="3031">
          <cell r="B3031" t="str">
            <v>SEACLIFF 040112946</v>
          </cell>
          <cell r="C3031">
            <v>83500401</v>
          </cell>
          <cell r="D3031" t="str">
            <v>SEACLIFF 0401</v>
          </cell>
          <cell r="E3031">
            <v>12946</v>
          </cell>
          <cell r="F3031" t="b">
            <v>0</v>
          </cell>
          <cell r="G3031">
            <v>5267.69780676549</v>
          </cell>
          <cell r="H3031">
            <v>3912.0695729804602</v>
          </cell>
        </row>
        <row r="3032">
          <cell r="B3032" t="str">
            <v>SEACLIFF 0401CB</v>
          </cell>
          <cell r="C3032">
            <v>83500401</v>
          </cell>
          <cell r="D3032" t="str">
            <v>SEACLIFF 0401</v>
          </cell>
          <cell r="E3032" t="str">
            <v>CB</v>
          </cell>
          <cell r="F3032" t="b">
            <v>0</v>
          </cell>
          <cell r="G3032">
            <v>9677.83296568683</v>
          </cell>
          <cell r="H3032">
            <v>9246.0032126709193</v>
          </cell>
        </row>
        <row r="3033">
          <cell r="B3033" t="str">
            <v>SEACLIFF 0402558727</v>
          </cell>
          <cell r="C3033">
            <v>83500402</v>
          </cell>
          <cell r="D3033" t="str">
            <v>SEACLIFF 0402</v>
          </cell>
          <cell r="E3033">
            <v>558727</v>
          </cell>
          <cell r="F3033" t="b">
            <v>1</v>
          </cell>
          <cell r="G3033">
            <v>2270.53349848066</v>
          </cell>
          <cell r="H3033">
            <v>217.14937465915099</v>
          </cell>
        </row>
        <row r="3034">
          <cell r="B3034" t="str">
            <v>SERRAMONTE 110412705</v>
          </cell>
          <cell r="C3034">
            <v>22861104</v>
          </cell>
          <cell r="D3034" t="str">
            <v>SERRAMONTE 1104</v>
          </cell>
          <cell r="E3034">
            <v>12705</v>
          </cell>
          <cell r="F3034" t="b">
            <v>1</v>
          </cell>
          <cell r="G3034">
            <v>9361.8686104655899</v>
          </cell>
          <cell r="H3034">
            <v>0</v>
          </cell>
        </row>
        <row r="3035">
          <cell r="B3035" t="str">
            <v>SHADY GLEN 11012768</v>
          </cell>
          <cell r="C3035">
            <v>152431101</v>
          </cell>
          <cell r="D3035" t="str">
            <v>SHADY GLEN 1101</v>
          </cell>
          <cell r="E3035">
            <v>2768</v>
          </cell>
          <cell r="F3035" t="b">
            <v>0</v>
          </cell>
          <cell r="G3035">
            <v>13051.8561167511</v>
          </cell>
          <cell r="H3035">
            <v>12269.0577019865</v>
          </cell>
        </row>
        <row r="3036">
          <cell r="B3036" t="str">
            <v>SHADY GLEN 110132726</v>
          </cell>
          <cell r="C3036">
            <v>152431101</v>
          </cell>
          <cell r="D3036" t="str">
            <v>SHADY GLEN 1101</v>
          </cell>
          <cell r="E3036">
            <v>32726</v>
          </cell>
          <cell r="F3036" t="b">
            <v>0</v>
          </cell>
          <cell r="G3036">
            <v>19770.259660577802</v>
          </cell>
          <cell r="H3036">
            <v>19581.5665201784</v>
          </cell>
        </row>
        <row r="3037">
          <cell r="B3037" t="str">
            <v>SHADY GLEN 110151696</v>
          </cell>
          <cell r="C3037">
            <v>152431101</v>
          </cell>
          <cell r="D3037" t="str">
            <v>SHADY GLEN 1101</v>
          </cell>
          <cell r="E3037">
            <v>51696</v>
          </cell>
          <cell r="F3037" t="b">
            <v>0</v>
          </cell>
          <cell r="G3037">
            <v>32551.258386437101</v>
          </cell>
          <cell r="H3037">
            <v>28077.263481665999</v>
          </cell>
        </row>
        <row r="3038">
          <cell r="B3038" t="str">
            <v>SHADY GLEN 1101CB</v>
          </cell>
          <cell r="C3038">
            <v>152431101</v>
          </cell>
          <cell r="D3038" t="str">
            <v>SHADY GLEN 1101</v>
          </cell>
          <cell r="E3038" t="str">
            <v>CB</v>
          </cell>
          <cell r="F3038" t="b">
            <v>0</v>
          </cell>
          <cell r="G3038">
            <v>8798.7392587283503</v>
          </cell>
          <cell r="H3038">
            <v>5676.9516639472904</v>
          </cell>
        </row>
        <row r="3039">
          <cell r="B3039" t="str">
            <v>SHADY GLEN 11022232</v>
          </cell>
          <cell r="C3039">
            <v>152431102</v>
          </cell>
          <cell r="D3039" t="str">
            <v>SHADY GLEN 1102</v>
          </cell>
          <cell r="E3039">
            <v>2232</v>
          </cell>
          <cell r="F3039" t="b">
            <v>0</v>
          </cell>
          <cell r="G3039">
            <v>16843.726475497999</v>
          </cell>
          <cell r="H3039">
            <v>16843.726475497999</v>
          </cell>
        </row>
        <row r="3040">
          <cell r="B3040" t="str">
            <v>SHADY GLEN 110248894</v>
          </cell>
          <cell r="C3040">
            <v>152431102</v>
          </cell>
          <cell r="D3040" t="str">
            <v>SHADY GLEN 1102</v>
          </cell>
          <cell r="E3040">
            <v>48894</v>
          </cell>
          <cell r="F3040" t="b">
            <v>0</v>
          </cell>
          <cell r="G3040">
            <v>16156.759100084601</v>
          </cell>
          <cell r="H3040">
            <v>14293.1802786968</v>
          </cell>
        </row>
        <row r="3041">
          <cell r="B3041" t="str">
            <v>SHADY GLEN 1102CB</v>
          </cell>
          <cell r="C3041">
            <v>152431102</v>
          </cell>
          <cell r="D3041" t="str">
            <v>SHADY GLEN 1102</v>
          </cell>
          <cell r="E3041" t="str">
            <v>CB</v>
          </cell>
          <cell r="F3041" t="b">
            <v>0</v>
          </cell>
          <cell r="G3041">
            <v>34051.813365459697</v>
          </cell>
          <cell r="H3041">
            <v>34051.813365459697</v>
          </cell>
        </row>
        <row r="3042">
          <cell r="B3042" t="str">
            <v>SHEPHERD 2111327814</v>
          </cell>
          <cell r="C3042">
            <v>252062111</v>
          </cell>
          <cell r="D3042" t="str">
            <v>SHEPHERD 2111</v>
          </cell>
          <cell r="E3042">
            <v>327814</v>
          </cell>
          <cell r="F3042" t="b">
            <v>0</v>
          </cell>
          <cell r="G3042">
            <v>23697.252649900001</v>
          </cell>
          <cell r="H3042">
            <v>18621.058724242201</v>
          </cell>
        </row>
        <row r="3043">
          <cell r="B3043" t="str">
            <v>SHEPHERD 2111688294</v>
          </cell>
          <cell r="C3043">
            <v>252062111</v>
          </cell>
          <cell r="D3043" t="str">
            <v>SHEPHERD 2111</v>
          </cell>
          <cell r="E3043">
            <v>688294</v>
          </cell>
          <cell r="F3043" t="b">
            <v>1</v>
          </cell>
          <cell r="G3043">
            <v>24.360420484727602</v>
          </cell>
          <cell r="H3043">
            <v>24.360420484727602</v>
          </cell>
        </row>
        <row r="3044">
          <cell r="B3044" t="str">
            <v>SHEPHERD 2111707358</v>
          </cell>
          <cell r="C3044">
            <v>252062111</v>
          </cell>
          <cell r="D3044" t="str">
            <v>SHEPHERD 2111</v>
          </cell>
          <cell r="E3044">
            <v>707358</v>
          </cell>
          <cell r="F3044" t="b">
            <v>0</v>
          </cell>
          <cell r="G3044">
            <v>37001.255878691103</v>
          </cell>
          <cell r="H3044">
            <v>30537.975330827201</v>
          </cell>
        </row>
        <row r="3045">
          <cell r="B3045" t="str">
            <v>SHINGLE SPRINGS 11038752</v>
          </cell>
          <cell r="C3045">
            <v>153651103</v>
          </cell>
          <cell r="D3045" t="str">
            <v>SHINGLE SPRINGS 1103</v>
          </cell>
          <cell r="E3045">
            <v>8752</v>
          </cell>
          <cell r="F3045" t="b">
            <v>0</v>
          </cell>
          <cell r="G3045">
            <v>2987.7950369945502</v>
          </cell>
          <cell r="H3045">
            <v>2987.7950369945502</v>
          </cell>
        </row>
        <row r="3046">
          <cell r="B3046" t="str">
            <v>SHINGLE SPRINGS 1103CB</v>
          </cell>
          <cell r="C3046">
            <v>153651103</v>
          </cell>
          <cell r="D3046" t="str">
            <v>SHINGLE SPRINGS 1103</v>
          </cell>
          <cell r="E3046" t="str">
            <v>CB</v>
          </cell>
          <cell r="F3046" t="b">
            <v>0</v>
          </cell>
          <cell r="G3046">
            <v>19101.7777975834</v>
          </cell>
          <cell r="H3046">
            <v>10648.109527340001</v>
          </cell>
        </row>
        <row r="3047">
          <cell r="B3047" t="str">
            <v>SHINGLE SPRINGS 110419502</v>
          </cell>
          <cell r="C3047">
            <v>153651104</v>
          </cell>
          <cell r="D3047" t="str">
            <v>SHINGLE SPRINGS 1104</v>
          </cell>
          <cell r="E3047">
            <v>19502</v>
          </cell>
          <cell r="F3047" t="b">
            <v>0</v>
          </cell>
          <cell r="G3047">
            <v>92686.567452749005</v>
          </cell>
          <cell r="H3047">
            <v>72356.968230308601</v>
          </cell>
        </row>
        <row r="3048">
          <cell r="B3048" t="str">
            <v>SHINGLE SPRINGS 1104CB</v>
          </cell>
          <cell r="C3048">
            <v>153651104</v>
          </cell>
          <cell r="D3048" t="str">
            <v>SHINGLE SPRINGS 1104</v>
          </cell>
          <cell r="E3048" t="str">
            <v>CB</v>
          </cell>
          <cell r="F3048" t="b">
            <v>0</v>
          </cell>
          <cell r="G3048">
            <v>3812.8299183307199</v>
          </cell>
          <cell r="H3048">
            <v>1129.2677066660999</v>
          </cell>
        </row>
        <row r="3049">
          <cell r="B3049" t="str">
            <v>SHINGLE SPRINGS 210511172</v>
          </cell>
          <cell r="C3049">
            <v>153652105</v>
          </cell>
          <cell r="D3049" t="str">
            <v>SHINGLE SPRINGS 2105</v>
          </cell>
          <cell r="E3049">
            <v>11172</v>
          </cell>
          <cell r="F3049" t="b">
            <v>0</v>
          </cell>
          <cell r="G3049">
            <v>3921.27373978379</v>
          </cell>
          <cell r="H3049">
            <v>3218.2332582569602</v>
          </cell>
        </row>
        <row r="3050">
          <cell r="B3050" t="str">
            <v>SHINGLE SPRINGS 210519522</v>
          </cell>
          <cell r="C3050">
            <v>153652105</v>
          </cell>
          <cell r="D3050" t="str">
            <v>SHINGLE SPRINGS 2105</v>
          </cell>
          <cell r="E3050">
            <v>19522</v>
          </cell>
          <cell r="F3050" t="b">
            <v>0</v>
          </cell>
          <cell r="G3050">
            <v>16493.188226899201</v>
          </cell>
          <cell r="H3050">
            <v>15565.1755437188</v>
          </cell>
        </row>
        <row r="3051">
          <cell r="B3051" t="str">
            <v>SHINGLE SPRINGS 210551738</v>
          </cell>
          <cell r="C3051">
            <v>153652105</v>
          </cell>
          <cell r="D3051" t="str">
            <v>SHINGLE SPRINGS 2105</v>
          </cell>
          <cell r="E3051">
            <v>51738</v>
          </cell>
          <cell r="F3051" t="b">
            <v>1</v>
          </cell>
          <cell r="G3051">
            <v>1844.3224544659599</v>
          </cell>
          <cell r="H3051">
            <v>26.680649067138301</v>
          </cell>
        </row>
        <row r="3052">
          <cell r="B3052" t="str">
            <v>SHINGLE SPRINGS 2105CB</v>
          </cell>
          <cell r="C3052">
            <v>153652105</v>
          </cell>
          <cell r="D3052" t="str">
            <v>SHINGLE SPRINGS 2105</v>
          </cell>
          <cell r="E3052" t="str">
            <v>CB</v>
          </cell>
          <cell r="F3052" t="b">
            <v>0</v>
          </cell>
          <cell r="G3052">
            <v>30610.8387150569</v>
          </cell>
          <cell r="H3052">
            <v>30610.8387150569</v>
          </cell>
        </row>
        <row r="3053">
          <cell r="B3053" t="str">
            <v>SHINGLE SPRINGS 210819622</v>
          </cell>
          <cell r="C3053">
            <v>153652108</v>
          </cell>
          <cell r="D3053" t="str">
            <v>SHINGLE SPRINGS 2108</v>
          </cell>
          <cell r="E3053">
            <v>19622</v>
          </cell>
          <cell r="F3053" t="b">
            <v>0</v>
          </cell>
          <cell r="G3053">
            <v>18790.8493994688</v>
          </cell>
          <cell r="H3053">
            <v>9040.1449914242803</v>
          </cell>
        </row>
        <row r="3054">
          <cell r="B3054" t="str">
            <v>SHINGLE SPRINGS 210819762</v>
          </cell>
          <cell r="C3054">
            <v>153652108</v>
          </cell>
          <cell r="D3054" t="str">
            <v>SHINGLE SPRINGS 2108</v>
          </cell>
          <cell r="E3054">
            <v>19762</v>
          </cell>
          <cell r="F3054" t="b">
            <v>0</v>
          </cell>
          <cell r="G3054">
            <v>8713.8006742849793</v>
          </cell>
          <cell r="H3054">
            <v>7078.7755953297601</v>
          </cell>
        </row>
        <row r="3055">
          <cell r="B3055" t="str">
            <v>SHINGLE SPRINGS 2108449638</v>
          </cell>
          <cell r="C3055">
            <v>153652108</v>
          </cell>
          <cell r="D3055" t="str">
            <v>SHINGLE SPRINGS 2108</v>
          </cell>
          <cell r="E3055">
            <v>449638</v>
          </cell>
          <cell r="F3055" t="b">
            <v>1</v>
          </cell>
          <cell r="G3055">
            <v>41.983264275593598</v>
          </cell>
          <cell r="H3055">
            <v>41.983264275593598</v>
          </cell>
        </row>
        <row r="3056">
          <cell r="B3056" t="str">
            <v>SHINGLE SPRINGS 210851474</v>
          </cell>
          <cell r="C3056">
            <v>153652108</v>
          </cell>
          <cell r="D3056" t="str">
            <v>SHINGLE SPRINGS 2108</v>
          </cell>
          <cell r="E3056">
            <v>51474</v>
          </cell>
          <cell r="F3056" t="b">
            <v>1</v>
          </cell>
          <cell r="G3056">
            <v>7519.0490013134604</v>
          </cell>
          <cell r="H3056">
            <v>594.11887175539903</v>
          </cell>
        </row>
        <row r="3057">
          <cell r="B3057" t="str">
            <v>SHINGLE SPRINGS 210851476</v>
          </cell>
          <cell r="C3057">
            <v>153652108</v>
          </cell>
          <cell r="D3057" t="str">
            <v>SHINGLE SPRINGS 2108</v>
          </cell>
          <cell r="E3057">
            <v>51476</v>
          </cell>
          <cell r="F3057" t="b">
            <v>0</v>
          </cell>
          <cell r="G3057">
            <v>10437.212811617601</v>
          </cell>
          <cell r="H3057">
            <v>7926.3269988125703</v>
          </cell>
        </row>
        <row r="3058">
          <cell r="B3058" t="str">
            <v>SHINGLE SPRINGS 2108CB</v>
          </cell>
          <cell r="C3058">
            <v>153652108</v>
          </cell>
          <cell r="D3058" t="str">
            <v>SHINGLE SPRINGS 2108</v>
          </cell>
          <cell r="E3058" t="str">
            <v>CB</v>
          </cell>
          <cell r="F3058" t="b">
            <v>0</v>
          </cell>
          <cell r="G3058">
            <v>2376.1028793883902</v>
          </cell>
          <cell r="H3058">
            <v>2376.1028793883902</v>
          </cell>
        </row>
        <row r="3059">
          <cell r="B3059" t="str">
            <v>SHINGLE SPRINGS 210911092</v>
          </cell>
          <cell r="C3059">
            <v>153652109</v>
          </cell>
          <cell r="D3059" t="str">
            <v>SHINGLE SPRINGS 2109</v>
          </cell>
          <cell r="E3059">
            <v>11092</v>
          </cell>
          <cell r="F3059" t="b">
            <v>0</v>
          </cell>
          <cell r="G3059">
            <v>36100.283358099703</v>
          </cell>
          <cell r="H3059">
            <v>36100.283358099703</v>
          </cell>
        </row>
        <row r="3060">
          <cell r="B3060" t="str">
            <v>SHINGLE SPRINGS 210912392</v>
          </cell>
          <cell r="C3060">
            <v>153652109</v>
          </cell>
          <cell r="D3060" t="str">
            <v>SHINGLE SPRINGS 2109</v>
          </cell>
          <cell r="E3060">
            <v>12392</v>
          </cell>
          <cell r="F3060" t="b">
            <v>0</v>
          </cell>
          <cell r="G3060">
            <v>23572.5390675046</v>
          </cell>
          <cell r="H3060">
            <v>23572.5390675046</v>
          </cell>
        </row>
        <row r="3061">
          <cell r="B3061" t="str">
            <v>SHINGLE SPRINGS 210913322</v>
          </cell>
          <cell r="C3061">
            <v>153652109</v>
          </cell>
          <cell r="D3061" t="str">
            <v>SHINGLE SPRINGS 2109</v>
          </cell>
          <cell r="E3061">
            <v>13322</v>
          </cell>
          <cell r="F3061" t="b">
            <v>0</v>
          </cell>
          <cell r="G3061">
            <v>66617.682525992597</v>
          </cell>
          <cell r="H3061">
            <v>66617.682525992597</v>
          </cell>
        </row>
        <row r="3062">
          <cell r="B3062" t="str">
            <v>SHINGLE SPRINGS 21092053</v>
          </cell>
          <cell r="C3062">
            <v>153652109</v>
          </cell>
          <cell r="D3062" t="str">
            <v>SHINGLE SPRINGS 2109</v>
          </cell>
          <cell r="E3062">
            <v>2053</v>
          </cell>
          <cell r="F3062" t="b">
            <v>0</v>
          </cell>
          <cell r="G3062">
            <v>9238.0471703995609</v>
          </cell>
          <cell r="H3062">
            <v>9238.0471703995609</v>
          </cell>
        </row>
        <row r="3063">
          <cell r="B3063" t="str">
            <v>SHINGLE SPRINGS 21092679</v>
          </cell>
          <cell r="C3063">
            <v>153652109</v>
          </cell>
          <cell r="D3063" t="str">
            <v>SHINGLE SPRINGS 2109</v>
          </cell>
          <cell r="E3063">
            <v>2679</v>
          </cell>
          <cell r="F3063" t="b">
            <v>0</v>
          </cell>
          <cell r="G3063">
            <v>11435.263653911499</v>
          </cell>
          <cell r="H3063">
            <v>11435.263653911499</v>
          </cell>
        </row>
        <row r="3064">
          <cell r="B3064" t="str">
            <v>SHINGLE SPRINGS 210935598</v>
          </cell>
          <cell r="C3064">
            <v>153652109</v>
          </cell>
          <cell r="D3064" t="str">
            <v>SHINGLE SPRINGS 2109</v>
          </cell>
          <cell r="E3064">
            <v>35598</v>
          </cell>
          <cell r="F3064" t="b">
            <v>0</v>
          </cell>
          <cell r="G3064">
            <v>17452.8092223809</v>
          </cell>
          <cell r="H3064">
            <v>17452.8092223809</v>
          </cell>
        </row>
        <row r="3065">
          <cell r="B3065" t="str">
            <v>SHINGLE SPRINGS 210961892</v>
          </cell>
          <cell r="C3065">
            <v>153652109</v>
          </cell>
          <cell r="D3065" t="str">
            <v>SHINGLE SPRINGS 2109</v>
          </cell>
          <cell r="E3065">
            <v>61892</v>
          </cell>
          <cell r="F3065" t="b">
            <v>0</v>
          </cell>
          <cell r="G3065">
            <v>48456.6487519613</v>
          </cell>
          <cell r="H3065">
            <v>48456.6487519613</v>
          </cell>
        </row>
        <row r="3066">
          <cell r="B3066" t="str">
            <v>SHINGLE SPRINGS 210981390</v>
          </cell>
          <cell r="C3066">
            <v>153652109</v>
          </cell>
          <cell r="D3066" t="str">
            <v>SHINGLE SPRINGS 2109</v>
          </cell>
          <cell r="E3066">
            <v>81390</v>
          </cell>
          <cell r="F3066" t="b">
            <v>0</v>
          </cell>
          <cell r="G3066">
            <v>29957.8136792716</v>
          </cell>
          <cell r="H3066">
            <v>29957.8136792716</v>
          </cell>
        </row>
        <row r="3067">
          <cell r="B3067" t="str">
            <v>SHINGLE SPRINGS 210985766</v>
          </cell>
          <cell r="C3067">
            <v>153652109</v>
          </cell>
          <cell r="D3067" t="str">
            <v>SHINGLE SPRINGS 2109</v>
          </cell>
          <cell r="E3067">
            <v>85766</v>
          </cell>
          <cell r="F3067" t="b">
            <v>0</v>
          </cell>
          <cell r="G3067">
            <v>29746.7522989795</v>
          </cell>
          <cell r="H3067">
            <v>29746.7522989795</v>
          </cell>
        </row>
        <row r="3068">
          <cell r="B3068" t="str">
            <v>SHINGLE SPRINGS 21099372</v>
          </cell>
          <cell r="C3068">
            <v>153652109</v>
          </cell>
          <cell r="D3068" t="str">
            <v>SHINGLE SPRINGS 2109</v>
          </cell>
          <cell r="E3068">
            <v>9372</v>
          </cell>
          <cell r="F3068" t="b">
            <v>0</v>
          </cell>
          <cell r="G3068">
            <v>28750.709805734401</v>
          </cell>
          <cell r="H3068">
            <v>28750.709805734401</v>
          </cell>
        </row>
        <row r="3069">
          <cell r="B3069" t="str">
            <v>SHINGLE SPRINGS 2109CB</v>
          </cell>
          <cell r="C3069">
            <v>153652109</v>
          </cell>
          <cell r="D3069" t="str">
            <v>SHINGLE SPRINGS 2109</v>
          </cell>
          <cell r="E3069" t="str">
            <v>CB</v>
          </cell>
          <cell r="F3069" t="b">
            <v>0</v>
          </cell>
          <cell r="G3069">
            <v>44653.753419463297</v>
          </cell>
          <cell r="H3069">
            <v>44000.0643115848</v>
          </cell>
        </row>
        <row r="3070">
          <cell r="B3070" t="str">
            <v>SHINGLE SPRINGS 211051790</v>
          </cell>
          <cell r="C3070">
            <v>153652110</v>
          </cell>
          <cell r="D3070" t="str">
            <v>SHINGLE SPRINGS 2110</v>
          </cell>
          <cell r="E3070">
            <v>51790</v>
          </cell>
          <cell r="F3070" t="b">
            <v>0</v>
          </cell>
          <cell r="G3070">
            <v>13931.014360392801</v>
          </cell>
          <cell r="H3070">
            <v>12725.516752617101</v>
          </cell>
        </row>
        <row r="3071">
          <cell r="B3071" t="str">
            <v>SHINGLE SPRINGS 211051800</v>
          </cell>
          <cell r="C3071">
            <v>153652110</v>
          </cell>
          <cell r="D3071" t="str">
            <v>SHINGLE SPRINGS 2110</v>
          </cell>
          <cell r="E3071">
            <v>51800</v>
          </cell>
          <cell r="F3071" t="b">
            <v>0</v>
          </cell>
          <cell r="G3071">
            <v>15718.5986141758</v>
          </cell>
          <cell r="H3071">
            <v>14796.528706561299</v>
          </cell>
        </row>
        <row r="3072">
          <cell r="B3072" t="str">
            <v>SHINGLE SPRINGS 21107742</v>
          </cell>
          <cell r="C3072">
            <v>153652110</v>
          </cell>
          <cell r="D3072" t="str">
            <v>SHINGLE SPRINGS 2110</v>
          </cell>
          <cell r="E3072">
            <v>7742</v>
          </cell>
          <cell r="F3072" t="b">
            <v>0</v>
          </cell>
          <cell r="G3072">
            <v>73623.591048286398</v>
          </cell>
          <cell r="H3072">
            <v>73535.667082782995</v>
          </cell>
        </row>
        <row r="3073">
          <cell r="B3073" t="str">
            <v>SHINGLE SPRINGS 2110CB</v>
          </cell>
          <cell r="C3073">
            <v>153652110</v>
          </cell>
          <cell r="D3073" t="str">
            <v>SHINGLE SPRINGS 2110</v>
          </cell>
          <cell r="E3073" t="str">
            <v>CB</v>
          </cell>
          <cell r="F3073" t="b">
            <v>0</v>
          </cell>
          <cell r="G3073">
            <v>2054.3899737029301</v>
          </cell>
          <cell r="H3073">
            <v>1346.7870462718499</v>
          </cell>
        </row>
        <row r="3074">
          <cell r="B3074" t="str">
            <v>SILVERADO 21023010</v>
          </cell>
          <cell r="C3074">
            <v>43432102</v>
          </cell>
          <cell r="D3074" t="str">
            <v>SILVERADO 2102</v>
          </cell>
          <cell r="E3074">
            <v>3010</v>
          </cell>
          <cell r="F3074" t="b">
            <v>1</v>
          </cell>
          <cell r="G3074">
            <v>14671.286810670499</v>
          </cell>
          <cell r="H3074">
            <v>569.50091199423503</v>
          </cell>
        </row>
        <row r="3075">
          <cell r="B3075" t="str">
            <v>SILVERADO 210234959</v>
          </cell>
          <cell r="C3075">
            <v>43432102</v>
          </cell>
          <cell r="D3075" t="str">
            <v>SILVERADO 2102</v>
          </cell>
          <cell r="E3075">
            <v>34959</v>
          </cell>
          <cell r="F3075" t="b">
            <v>0</v>
          </cell>
          <cell r="G3075">
            <v>42625.835640049103</v>
          </cell>
          <cell r="H3075">
            <v>41473.275570808699</v>
          </cell>
        </row>
        <row r="3076">
          <cell r="B3076" t="str">
            <v>SILVERADO 2102437194</v>
          </cell>
          <cell r="C3076">
            <v>43432102</v>
          </cell>
          <cell r="D3076" t="str">
            <v>SILVERADO 2102</v>
          </cell>
          <cell r="E3076">
            <v>437194</v>
          </cell>
          <cell r="F3076" t="b">
            <v>0</v>
          </cell>
          <cell r="G3076">
            <v>1741.91286585534</v>
          </cell>
          <cell r="H3076">
            <v>1702.97918673052</v>
          </cell>
        </row>
        <row r="3077">
          <cell r="B3077" t="str">
            <v>SILVERADO 210258626</v>
          </cell>
          <cell r="C3077">
            <v>43432102</v>
          </cell>
          <cell r="D3077" t="str">
            <v>SILVERADO 2102</v>
          </cell>
          <cell r="E3077">
            <v>58626</v>
          </cell>
          <cell r="F3077" t="b">
            <v>0</v>
          </cell>
          <cell r="G3077">
            <v>24491.733778478399</v>
          </cell>
          <cell r="H3077">
            <v>24491.733778478399</v>
          </cell>
        </row>
        <row r="3078">
          <cell r="B3078" t="str">
            <v>SILVERADO 2102636</v>
          </cell>
          <cell r="C3078">
            <v>43432102</v>
          </cell>
          <cell r="D3078" t="str">
            <v>SILVERADO 2102</v>
          </cell>
          <cell r="E3078">
            <v>636</v>
          </cell>
          <cell r="F3078" t="b">
            <v>0</v>
          </cell>
          <cell r="G3078">
            <v>10208.663515722201</v>
          </cell>
          <cell r="H3078">
            <v>8793.247445989</v>
          </cell>
        </row>
        <row r="3079">
          <cell r="B3079" t="str">
            <v>SILVERADO 2102714</v>
          </cell>
          <cell r="C3079">
            <v>43432102</v>
          </cell>
          <cell r="D3079" t="str">
            <v>SILVERADO 2102</v>
          </cell>
          <cell r="E3079">
            <v>714</v>
          </cell>
          <cell r="F3079" t="b">
            <v>0</v>
          </cell>
          <cell r="G3079">
            <v>17594.582330188499</v>
          </cell>
          <cell r="H3079">
            <v>5568.6627093780198</v>
          </cell>
        </row>
        <row r="3080">
          <cell r="B3080" t="str">
            <v>SILVERADO 2102772792</v>
          </cell>
          <cell r="C3080">
            <v>43432102</v>
          </cell>
          <cell r="D3080" t="str">
            <v>SILVERADO 2102</v>
          </cell>
          <cell r="E3080">
            <v>772792</v>
          </cell>
          <cell r="F3080" t="b">
            <v>0</v>
          </cell>
          <cell r="G3080">
            <v>4440.4407587390197</v>
          </cell>
          <cell r="H3080">
            <v>3782.0495059505001</v>
          </cell>
        </row>
        <row r="3081">
          <cell r="B3081" t="str">
            <v>SILVERADO 2102808</v>
          </cell>
          <cell r="C3081">
            <v>43432102</v>
          </cell>
          <cell r="D3081" t="str">
            <v>SILVERADO 2102</v>
          </cell>
          <cell r="E3081">
            <v>808</v>
          </cell>
          <cell r="F3081" t="b">
            <v>0</v>
          </cell>
          <cell r="G3081">
            <v>8110.4607966849799</v>
          </cell>
          <cell r="H3081">
            <v>4081.77310275527</v>
          </cell>
        </row>
        <row r="3082">
          <cell r="B3082" t="str">
            <v>SILVERADO 2102942170</v>
          </cell>
          <cell r="C3082">
            <v>43432102</v>
          </cell>
          <cell r="D3082" t="str">
            <v>SILVERADO 2102</v>
          </cell>
          <cell r="E3082">
            <v>942170</v>
          </cell>
          <cell r="F3082" t="b">
            <v>0</v>
          </cell>
          <cell r="G3082">
            <v>14564.2628370372</v>
          </cell>
          <cell r="H3082">
            <v>5038.6470163527301</v>
          </cell>
        </row>
        <row r="3083">
          <cell r="B3083" t="str">
            <v>SILVERADO 210298998</v>
          </cell>
          <cell r="C3083">
            <v>43432102</v>
          </cell>
          <cell r="D3083" t="str">
            <v>SILVERADO 2102</v>
          </cell>
          <cell r="E3083">
            <v>98998</v>
          </cell>
          <cell r="F3083" t="b">
            <v>1</v>
          </cell>
          <cell r="G3083">
            <v>20001.4993925819</v>
          </cell>
          <cell r="H3083">
            <v>118.101875490662</v>
          </cell>
        </row>
        <row r="3084">
          <cell r="B3084" t="str">
            <v>SILVERADO 2102CB</v>
          </cell>
          <cell r="C3084">
            <v>43432102</v>
          </cell>
          <cell r="D3084" t="str">
            <v>SILVERADO 2102</v>
          </cell>
          <cell r="E3084" t="str">
            <v>CB</v>
          </cell>
          <cell r="F3084" t="b">
            <v>1</v>
          </cell>
          <cell r="G3084">
            <v>2722.4303580320002</v>
          </cell>
          <cell r="H3084">
            <v>952.81222280062798</v>
          </cell>
        </row>
        <row r="3085">
          <cell r="B3085" t="str">
            <v>SILVERADO 2103218894</v>
          </cell>
          <cell r="C3085">
            <v>43432103</v>
          </cell>
          <cell r="D3085" t="str">
            <v>SILVERADO 2103</v>
          </cell>
          <cell r="E3085">
            <v>218894</v>
          </cell>
          <cell r="F3085" t="b">
            <v>1</v>
          </cell>
          <cell r="G3085">
            <v>1856.97218502891</v>
          </cell>
          <cell r="H3085">
            <v>540.19942776535197</v>
          </cell>
        </row>
        <row r="3086">
          <cell r="B3086" t="str">
            <v>SILVERADO 2103403102</v>
          </cell>
          <cell r="C3086">
            <v>43432103</v>
          </cell>
          <cell r="D3086" t="str">
            <v>SILVERADO 2103</v>
          </cell>
          <cell r="E3086">
            <v>403102</v>
          </cell>
          <cell r="F3086" t="b">
            <v>1</v>
          </cell>
          <cell r="G3086">
            <v>2765.6183273525098</v>
          </cell>
          <cell r="H3086">
            <v>788.57353643523402</v>
          </cell>
        </row>
        <row r="3087">
          <cell r="B3087" t="str">
            <v>SILVERADO 2103507513</v>
          </cell>
          <cell r="C3087">
            <v>43432103</v>
          </cell>
          <cell r="D3087" t="str">
            <v>SILVERADO 2103</v>
          </cell>
          <cell r="E3087">
            <v>507513</v>
          </cell>
          <cell r="F3087" t="b">
            <v>0</v>
          </cell>
          <cell r="G3087">
            <v>8339.9552895420093</v>
          </cell>
          <cell r="H3087">
            <v>4803.4000357997002</v>
          </cell>
        </row>
        <row r="3088">
          <cell r="B3088" t="str">
            <v>SILVERADO 2103617828</v>
          </cell>
          <cell r="C3088">
            <v>43432103</v>
          </cell>
          <cell r="D3088" t="str">
            <v>SILVERADO 2103</v>
          </cell>
          <cell r="E3088">
            <v>617828</v>
          </cell>
          <cell r="F3088" t="b">
            <v>0</v>
          </cell>
          <cell r="G3088">
            <v>4970.4214750725196</v>
          </cell>
          <cell r="H3088">
            <v>2303.2847409272399</v>
          </cell>
        </row>
        <row r="3089">
          <cell r="B3089" t="str">
            <v>SILVERADO 2103920793</v>
          </cell>
          <cell r="C3089">
            <v>43432103</v>
          </cell>
          <cell r="D3089" t="str">
            <v>SILVERADO 2103</v>
          </cell>
          <cell r="E3089">
            <v>920793</v>
          </cell>
          <cell r="F3089" t="b">
            <v>0</v>
          </cell>
          <cell r="G3089">
            <v>12855.6086338897</v>
          </cell>
          <cell r="H3089">
            <v>10473.703856239899</v>
          </cell>
        </row>
        <row r="3090">
          <cell r="B3090" t="str">
            <v>SILVERADO 2103CB</v>
          </cell>
          <cell r="C3090">
            <v>43432103</v>
          </cell>
          <cell r="D3090" t="str">
            <v>SILVERADO 2103</v>
          </cell>
          <cell r="E3090" t="str">
            <v>CB</v>
          </cell>
          <cell r="F3090" t="b">
            <v>1</v>
          </cell>
          <cell r="G3090">
            <v>22820.561483232701</v>
          </cell>
          <cell r="H3090">
            <v>0</v>
          </cell>
        </row>
        <row r="3091">
          <cell r="B3091" t="str">
            <v>SILVERADO 21043485</v>
          </cell>
          <cell r="C3091">
            <v>43432104</v>
          </cell>
          <cell r="D3091" t="str">
            <v>SILVERADO 2104</v>
          </cell>
          <cell r="E3091">
            <v>3485</v>
          </cell>
          <cell r="F3091" t="b">
            <v>0</v>
          </cell>
          <cell r="G3091">
            <v>2803.98756778183</v>
          </cell>
          <cell r="H3091">
            <v>2803.98756778183</v>
          </cell>
        </row>
        <row r="3092">
          <cell r="B3092" t="str">
            <v>SILVERADO 210437632</v>
          </cell>
          <cell r="C3092">
            <v>43432104</v>
          </cell>
          <cell r="D3092" t="str">
            <v>SILVERADO 2104</v>
          </cell>
          <cell r="E3092">
            <v>37632</v>
          </cell>
          <cell r="F3092" t="b">
            <v>0</v>
          </cell>
          <cell r="G3092">
            <v>42770.294169256798</v>
          </cell>
          <cell r="H3092">
            <v>42770.294169256798</v>
          </cell>
        </row>
        <row r="3093">
          <cell r="B3093" t="str">
            <v>SILVERADO 2104632</v>
          </cell>
          <cell r="C3093">
            <v>43432104</v>
          </cell>
          <cell r="D3093" t="str">
            <v>SILVERADO 2104</v>
          </cell>
          <cell r="E3093">
            <v>632</v>
          </cell>
          <cell r="F3093" t="b">
            <v>0</v>
          </cell>
          <cell r="G3093">
            <v>29843.766139617601</v>
          </cell>
          <cell r="H3093">
            <v>29492.789502858101</v>
          </cell>
        </row>
        <row r="3094">
          <cell r="B3094" t="str">
            <v>SILVERADO 2104645</v>
          </cell>
          <cell r="C3094">
            <v>43432104</v>
          </cell>
          <cell r="D3094" t="str">
            <v>SILVERADO 2104</v>
          </cell>
          <cell r="E3094">
            <v>645</v>
          </cell>
          <cell r="F3094" t="b">
            <v>0</v>
          </cell>
          <cell r="G3094">
            <v>1626.89377883927</v>
          </cell>
          <cell r="H3094">
            <v>1626.89377883927</v>
          </cell>
        </row>
        <row r="3095">
          <cell r="B3095" t="str">
            <v>SILVERADO 2104708</v>
          </cell>
          <cell r="C3095">
            <v>43432104</v>
          </cell>
          <cell r="D3095" t="str">
            <v>SILVERADO 2104</v>
          </cell>
          <cell r="E3095">
            <v>708</v>
          </cell>
          <cell r="F3095" t="b">
            <v>0</v>
          </cell>
          <cell r="G3095">
            <v>7904.2269367747003</v>
          </cell>
          <cell r="H3095">
            <v>6040.8567695149904</v>
          </cell>
        </row>
        <row r="3096">
          <cell r="B3096" t="str">
            <v>SILVERADO 2104722</v>
          </cell>
          <cell r="C3096">
            <v>43432104</v>
          </cell>
          <cell r="D3096" t="str">
            <v>SILVERADO 2104</v>
          </cell>
          <cell r="E3096">
            <v>722</v>
          </cell>
          <cell r="F3096" t="b">
            <v>0</v>
          </cell>
          <cell r="G3096">
            <v>12705.358229285401</v>
          </cell>
          <cell r="H3096">
            <v>12705.358229285401</v>
          </cell>
        </row>
        <row r="3097">
          <cell r="B3097" t="str">
            <v>SILVERADO 2104726</v>
          </cell>
          <cell r="C3097">
            <v>43432104</v>
          </cell>
          <cell r="D3097" t="str">
            <v>SILVERADO 2104</v>
          </cell>
          <cell r="E3097">
            <v>726</v>
          </cell>
          <cell r="F3097" t="b">
            <v>0</v>
          </cell>
          <cell r="G3097">
            <v>56301.339553931299</v>
          </cell>
          <cell r="H3097">
            <v>48875.227386269398</v>
          </cell>
        </row>
        <row r="3098">
          <cell r="B3098" t="str">
            <v>SILVERADO 210478268</v>
          </cell>
          <cell r="C3098">
            <v>43432104</v>
          </cell>
          <cell r="D3098" t="str">
            <v>SILVERADO 2104</v>
          </cell>
          <cell r="E3098">
            <v>78268</v>
          </cell>
          <cell r="F3098" t="b">
            <v>0</v>
          </cell>
          <cell r="G3098">
            <v>15647.320631880601</v>
          </cell>
          <cell r="H3098">
            <v>15647.320631880601</v>
          </cell>
        </row>
        <row r="3099">
          <cell r="B3099" t="str">
            <v>SILVERADO 2104806</v>
          </cell>
          <cell r="C3099">
            <v>43432104</v>
          </cell>
          <cell r="D3099" t="str">
            <v>SILVERADO 2104</v>
          </cell>
          <cell r="E3099">
            <v>806</v>
          </cell>
          <cell r="F3099" t="b">
            <v>0</v>
          </cell>
          <cell r="G3099">
            <v>55052.210445579498</v>
          </cell>
          <cell r="H3099">
            <v>33831.6044494015</v>
          </cell>
        </row>
        <row r="3100">
          <cell r="B3100" t="str">
            <v>SILVERADO 21051306</v>
          </cell>
          <cell r="C3100">
            <v>43432105</v>
          </cell>
          <cell r="D3100" t="str">
            <v>SILVERADO 2105</v>
          </cell>
          <cell r="E3100">
            <v>1306</v>
          </cell>
          <cell r="F3100" t="b">
            <v>1</v>
          </cell>
          <cell r="G3100">
            <v>6582.76150907595</v>
          </cell>
          <cell r="H3100">
            <v>393.59160434569202</v>
          </cell>
        </row>
        <row r="3101">
          <cell r="B3101" t="str">
            <v>SILVERADO 21051308</v>
          </cell>
          <cell r="C3101">
            <v>43432105</v>
          </cell>
          <cell r="D3101" t="str">
            <v>SILVERADO 2105</v>
          </cell>
          <cell r="E3101">
            <v>1308</v>
          </cell>
          <cell r="F3101" t="b">
            <v>1</v>
          </cell>
          <cell r="G3101">
            <v>7407.3520258040598</v>
          </cell>
          <cell r="H3101">
            <v>244.963137512819</v>
          </cell>
        </row>
        <row r="3102">
          <cell r="B3102" t="str">
            <v>SILVERADO 2105131568</v>
          </cell>
          <cell r="C3102">
            <v>43432105</v>
          </cell>
          <cell r="D3102" t="str">
            <v>SILVERADO 2105</v>
          </cell>
          <cell r="E3102">
            <v>131568</v>
          </cell>
          <cell r="F3102" t="b">
            <v>0</v>
          </cell>
          <cell r="G3102">
            <v>7881.7386240476599</v>
          </cell>
          <cell r="H3102">
            <v>6658.8016640736396</v>
          </cell>
        </row>
        <row r="3103">
          <cell r="B3103" t="str">
            <v>SILVERADO 2105167360</v>
          </cell>
          <cell r="C3103">
            <v>43432105</v>
          </cell>
          <cell r="D3103" t="str">
            <v>SILVERADO 2105</v>
          </cell>
          <cell r="E3103">
            <v>167360</v>
          </cell>
          <cell r="F3103" t="b">
            <v>0</v>
          </cell>
          <cell r="G3103">
            <v>15830.4656258589</v>
          </cell>
          <cell r="H3103">
            <v>15413.590937283299</v>
          </cell>
        </row>
        <row r="3104">
          <cell r="B3104" t="str">
            <v>SILVERADO 2105191725</v>
          </cell>
          <cell r="C3104">
            <v>43432105</v>
          </cell>
          <cell r="D3104" t="str">
            <v>SILVERADO 2105</v>
          </cell>
          <cell r="E3104">
            <v>191725</v>
          </cell>
          <cell r="F3104" t="b">
            <v>1</v>
          </cell>
          <cell r="G3104">
            <v>766.92347469802996</v>
          </cell>
          <cell r="H3104">
            <v>558.14016449166002</v>
          </cell>
        </row>
        <row r="3105">
          <cell r="B3105" t="str">
            <v>SILVERADO 2105247660</v>
          </cell>
          <cell r="C3105">
            <v>43432105</v>
          </cell>
          <cell r="D3105" t="str">
            <v>SILVERADO 2105</v>
          </cell>
          <cell r="E3105">
            <v>247660</v>
          </cell>
          <cell r="F3105" t="b">
            <v>0</v>
          </cell>
          <cell r="G3105">
            <v>5200.0543641288796</v>
          </cell>
          <cell r="H3105">
            <v>3858.4885980794502</v>
          </cell>
        </row>
        <row r="3106">
          <cell r="B3106" t="str">
            <v>SILVERADO 2105309298</v>
          </cell>
          <cell r="C3106">
            <v>43432105</v>
          </cell>
          <cell r="D3106" t="str">
            <v>SILVERADO 2105</v>
          </cell>
          <cell r="E3106">
            <v>309298</v>
          </cell>
          <cell r="F3106" t="b">
            <v>0</v>
          </cell>
          <cell r="G3106">
            <v>3091.9425672277298</v>
          </cell>
          <cell r="H3106">
            <v>1768.6422355058801</v>
          </cell>
        </row>
        <row r="3107">
          <cell r="B3107" t="str">
            <v>SILVERADO 2105337226</v>
          </cell>
          <cell r="C3107">
            <v>43432105</v>
          </cell>
          <cell r="D3107" t="str">
            <v>SILVERADO 2105</v>
          </cell>
          <cell r="E3107">
            <v>337226</v>
          </cell>
          <cell r="F3107" t="b">
            <v>1</v>
          </cell>
          <cell r="G3107">
            <v>1293.80774069627</v>
          </cell>
          <cell r="H3107">
            <v>458.48271773193699</v>
          </cell>
        </row>
        <row r="3108">
          <cell r="B3108" t="str">
            <v>SILVERADO 2105616</v>
          </cell>
          <cell r="C3108">
            <v>43432105</v>
          </cell>
          <cell r="D3108" t="str">
            <v>SILVERADO 2105</v>
          </cell>
          <cell r="E3108">
            <v>616</v>
          </cell>
          <cell r="F3108" t="b">
            <v>1</v>
          </cell>
          <cell r="G3108">
            <v>12968.068215838901</v>
          </cell>
          <cell r="H3108">
            <v>798.87539315813797</v>
          </cell>
        </row>
        <row r="3109">
          <cell r="B3109" t="str">
            <v>SILVERADO 2105658898</v>
          </cell>
          <cell r="C3109">
            <v>43432105</v>
          </cell>
          <cell r="D3109" t="str">
            <v>SILVERADO 2105</v>
          </cell>
          <cell r="E3109">
            <v>658898</v>
          </cell>
          <cell r="F3109" t="b">
            <v>0</v>
          </cell>
          <cell r="G3109">
            <v>27632.457934801401</v>
          </cell>
          <cell r="H3109">
            <v>27632.457934801401</v>
          </cell>
        </row>
        <row r="3110">
          <cell r="B3110" t="str">
            <v>SILVERADO 2105861266</v>
          </cell>
          <cell r="C3110">
            <v>43432105</v>
          </cell>
          <cell r="D3110" t="str">
            <v>SILVERADO 2105</v>
          </cell>
          <cell r="E3110">
            <v>861266</v>
          </cell>
          <cell r="F3110" t="b">
            <v>0</v>
          </cell>
          <cell r="G3110">
            <v>3852.0147926764398</v>
          </cell>
          <cell r="H3110">
            <v>2503.8940089755602</v>
          </cell>
        </row>
        <row r="3111">
          <cell r="B3111" t="str">
            <v>SILVERADO 2105CB</v>
          </cell>
          <cell r="C3111">
            <v>43432105</v>
          </cell>
          <cell r="D3111" t="str">
            <v>SILVERADO 2105</v>
          </cell>
          <cell r="E3111" t="str">
            <v>CB</v>
          </cell>
          <cell r="F3111" t="b">
            <v>0</v>
          </cell>
          <cell r="G3111">
            <v>7432.6484425995804</v>
          </cell>
          <cell r="H3111">
            <v>1011.6245610698101</v>
          </cell>
        </row>
        <row r="3112">
          <cell r="B3112" t="str">
            <v>SISQUOC 110245261</v>
          </cell>
          <cell r="C3112">
            <v>182811102</v>
          </cell>
          <cell r="D3112" t="str">
            <v>SISQUOC 1102</v>
          </cell>
          <cell r="E3112">
            <v>45261</v>
          </cell>
          <cell r="F3112" t="b">
            <v>1</v>
          </cell>
          <cell r="G3112">
            <v>20192.752612075499</v>
          </cell>
          <cell r="H3112">
            <v>164.99582562714301</v>
          </cell>
        </row>
        <row r="3113">
          <cell r="B3113" t="str">
            <v>SISQUOC 1102M52</v>
          </cell>
          <cell r="C3113">
            <v>182811102</v>
          </cell>
          <cell r="D3113" t="str">
            <v>SISQUOC 1102</v>
          </cell>
          <cell r="E3113" t="str">
            <v>M52</v>
          </cell>
          <cell r="F3113" t="b">
            <v>0</v>
          </cell>
          <cell r="G3113">
            <v>56469.3419621297</v>
          </cell>
          <cell r="H3113">
            <v>54530.2398734995</v>
          </cell>
        </row>
        <row r="3114">
          <cell r="B3114" t="str">
            <v>SISQUOC 1102M54</v>
          </cell>
          <cell r="C3114">
            <v>182811102</v>
          </cell>
          <cell r="D3114" t="str">
            <v>SISQUOC 1102</v>
          </cell>
          <cell r="E3114" t="str">
            <v>M54</v>
          </cell>
          <cell r="F3114" t="b">
            <v>0</v>
          </cell>
          <cell r="G3114">
            <v>48740.644508057099</v>
          </cell>
          <cell r="H3114">
            <v>31884.227437005899</v>
          </cell>
        </row>
        <row r="3115">
          <cell r="B3115" t="str">
            <v>SISQUOC 1103858898</v>
          </cell>
          <cell r="C3115">
            <v>182811103</v>
          </cell>
          <cell r="D3115" t="str">
            <v>SISQUOC 1103</v>
          </cell>
          <cell r="E3115">
            <v>858898</v>
          </cell>
          <cell r="F3115" t="b">
            <v>0</v>
          </cell>
          <cell r="G3115">
            <v>31911.405857257301</v>
          </cell>
          <cell r="H3115">
            <v>31551.7734616011</v>
          </cell>
        </row>
        <row r="3116">
          <cell r="B3116" t="str">
            <v>SISQUOC 1103867486</v>
          </cell>
          <cell r="C3116">
            <v>182811103</v>
          </cell>
          <cell r="D3116" t="str">
            <v>SISQUOC 1103</v>
          </cell>
          <cell r="E3116">
            <v>867486</v>
          </cell>
          <cell r="F3116" t="b">
            <v>0</v>
          </cell>
          <cell r="G3116">
            <v>5219.4397082823598</v>
          </cell>
          <cell r="H3116">
            <v>3405.4304818365799</v>
          </cell>
        </row>
        <row r="3117">
          <cell r="B3117" t="str">
            <v>SISQUOC 1103M98</v>
          </cell>
          <cell r="C3117">
            <v>182811103</v>
          </cell>
          <cell r="D3117" t="str">
            <v>SISQUOC 1103</v>
          </cell>
          <cell r="E3117" t="str">
            <v>M98</v>
          </cell>
          <cell r="F3117" t="b">
            <v>0</v>
          </cell>
          <cell r="G3117">
            <v>15843.020409045501</v>
          </cell>
          <cell r="H3117">
            <v>12614.666402668399</v>
          </cell>
        </row>
        <row r="3118">
          <cell r="B3118" t="str">
            <v>SMARTVILLE 1101CB</v>
          </cell>
          <cell r="C3118">
            <v>153791101</v>
          </cell>
          <cell r="D3118" t="str">
            <v>SMARTVILLE 1101</v>
          </cell>
          <cell r="E3118" t="str">
            <v>CB</v>
          </cell>
          <cell r="F3118" t="b">
            <v>0</v>
          </cell>
          <cell r="G3118">
            <v>26399.899268219298</v>
          </cell>
          <cell r="H3118">
            <v>26026.0286732897</v>
          </cell>
        </row>
        <row r="3119">
          <cell r="B3119" t="str">
            <v>SNEATH LANE 110134438</v>
          </cell>
          <cell r="C3119">
            <v>22721101</v>
          </cell>
          <cell r="D3119" t="str">
            <v>SNEATH LANE 1101</v>
          </cell>
          <cell r="E3119">
            <v>34438</v>
          </cell>
          <cell r="F3119" t="b">
            <v>0</v>
          </cell>
          <cell r="G3119">
            <v>8258.6725024997795</v>
          </cell>
          <cell r="H3119">
            <v>3709.6211438650098</v>
          </cell>
        </row>
        <row r="3120">
          <cell r="B3120" t="str">
            <v>SNEATH LANE 110168070</v>
          </cell>
          <cell r="C3120">
            <v>22721101</v>
          </cell>
          <cell r="D3120" t="str">
            <v>SNEATH LANE 1101</v>
          </cell>
          <cell r="E3120">
            <v>68070</v>
          </cell>
          <cell r="F3120" t="b">
            <v>1</v>
          </cell>
          <cell r="G3120">
            <v>3445.6938525403102</v>
          </cell>
          <cell r="H3120">
            <v>373.70935257909599</v>
          </cell>
        </row>
        <row r="3121">
          <cell r="B3121" t="str">
            <v>SNEATH LANE 1101CB</v>
          </cell>
          <cell r="C3121">
            <v>22721101</v>
          </cell>
          <cell r="D3121" t="str">
            <v>SNEATH LANE 1101</v>
          </cell>
          <cell r="E3121" t="str">
            <v>CB</v>
          </cell>
          <cell r="F3121" t="b">
            <v>1</v>
          </cell>
          <cell r="G3121">
            <v>1584.8668117178299</v>
          </cell>
          <cell r="H3121">
            <v>745.31661559949396</v>
          </cell>
        </row>
        <row r="3122">
          <cell r="B3122" t="str">
            <v>SNEATH LANE 110275844</v>
          </cell>
          <cell r="C3122">
            <v>22721102</v>
          </cell>
          <cell r="D3122" t="str">
            <v>SNEATH LANE 1102</v>
          </cell>
          <cell r="E3122">
            <v>75844</v>
          </cell>
          <cell r="F3122" t="b">
            <v>1</v>
          </cell>
          <cell r="G3122">
            <v>864.71671422240399</v>
          </cell>
          <cell r="H3122">
            <v>272.68441680573898</v>
          </cell>
        </row>
        <row r="3123">
          <cell r="B3123" t="str">
            <v>SNEATH LANE 1102CB</v>
          </cell>
          <cell r="C3123">
            <v>22721102</v>
          </cell>
          <cell r="D3123" t="str">
            <v>SNEATH LANE 1102</v>
          </cell>
          <cell r="E3123" t="str">
            <v>CB</v>
          </cell>
          <cell r="F3123" t="b">
            <v>0</v>
          </cell>
          <cell r="G3123">
            <v>4044.2650619466999</v>
          </cell>
          <cell r="H3123">
            <v>2195.0073543560702</v>
          </cell>
        </row>
        <row r="3124">
          <cell r="B3124" t="str">
            <v>SNEATH LANE 1106CB</v>
          </cell>
          <cell r="C3124">
            <v>22721106</v>
          </cell>
          <cell r="D3124" t="str">
            <v>SNEATH LANE 1106</v>
          </cell>
          <cell r="E3124" t="str">
            <v>CB</v>
          </cell>
          <cell r="F3124" t="b">
            <v>0</v>
          </cell>
          <cell r="G3124">
            <v>9891.2144651357503</v>
          </cell>
          <cell r="H3124">
            <v>4885.2684885029503</v>
          </cell>
        </row>
        <row r="3125">
          <cell r="B3125" t="str">
            <v>SNEATH LANE 11071277</v>
          </cell>
          <cell r="C3125">
            <v>22721107</v>
          </cell>
          <cell r="D3125" t="str">
            <v>SNEATH LANE 1107</v>
          </cell>
          <cell r="E3125">
            <v>1277</v>
          </cell>
          <cell r="F3125" t="b">
            <v>1</v>
          </cell>
          <cell r="G3125">
            <v>3471.3767388742799</v>
          </cell>
          <cell r="H3125">
            <v>0</v>
          </cell>
        </row>
        <row r="3126">
          <cell r="B3126" t="str">
            <v>SNEATH LANE 110715341</v>
          </cell>
          <cell r="C3126">
            <v>22721107</v>
          </cell>
          <cell r="D3126" t="str">
            <v>SNEATH LANE 1107</v>
          </cell>
          <cell r="E3126">
            <v>15341</v>
          </cell>
          <cell r="F3126" t="b">
            <v>1</v>
          </cell>
          <cell r="G3126">
            <v>2075.96947757818</v>
          </cell>
          <cell r="H3126">
            <v>391.27653639060298</v>
          </cell>
        </row>
        <row r="3127">
          <cell r="B3127" t="str">
            <v>SNEATH LANE 110748338</v>
          </cell>
          <cell r="C3127">
            <v>22721107</v>
          </cell>
          <cell r="D3127" t="str">
            <v>SNEATH LANE 1107</v>
          </cell>
          <cell r="E3127">
            <v>48338</v>
          </cell>
          <cell r="F3127" t="b">
            <v>1</v>
          </cell>
          <cell r="G3127">
            <v>1760.6636468499701</v>
          </cell>
          <cell r="H3127">
            <v>181.15174331722301</v>
          </cell>
        </row>
        <row r="3128">
          <cell r="B3128" t="str">
            <v>SNEATH LANE 1107CB</v>
          </cell>
          <cell r="C3128">
            <v>22721107</v>
          </cell>
          <cell r="D3128" t="str">
            <v>SNEATH LANE 1107</v>
          </cell>
          <cell r="E3128" t="str">
            <v>CB</v>
          </cell>
          <cell r="F3128" t="b">
            <v>0</v>
          </cell>
          <cell r="G3128">
            <v>6249.0561222479</v>
          </cell>
          <cell r="H3128">
            <v>1615.0563981883799</v>
          </cell>
        </row>
        <row r="3129">
          <cell r="B3129" t="str">
            <v>SO. CAL. EDISON #3 1101CB</v>
          </cell>
          <cell r="C3129">
            <v>258861101</v>
          </cell>
          <cell r="D3129" t="str">
            <v>SO. CAL. EDISON #3 1101</v>
          </cell>
          <cell r="E3129" t="str">
            <v>CB</v>
          </cell>
          <cell r="F3129" t="b">
            <v>0</v>
          </cell>
          <cell r="G3129">
            <v>13738.364493074299</v>
          </cell>
          <cell r="H3129">
            <v>13738.364493074299</v>
          </cell>
        </row>
        <row r="3130">
          <cell r="B3130" t="str">
            <v>SOBRANTE 110142914</v>
          </cell>
          <cell r="C3130">
            <v>14671101</v>
          </cell>
          <cell r="D3130" t="str">
            <v>SOBRANTE 1101</v>
          </cell>
          <cell r="E3130">
            <v>42914</v>
          </cell>
          <cell r="F3130" t="b">
            <v>1</v>
          </cell>
          <cell r="G3130">
            <v>6917.2251904970899</v>
          </cell>
          <cell r="H3130">
            <v>665.64254494341799</v>
          </cell>
        </row>
        <row r="3131">
          <cell r="B3131" t="str">
            <v>SOBRANTE 1101CB</v>
          </cell>
          <cell r="C3131">
            <v>14671101</v>
          </cell>
          <cell r="D3131" t="str">
            <v>SOBRANTE 1101</v>
          </cell>
          <cell r="E3131" t="str">
            <v>CB</v>
          </cell>
          <cell r="F3131" t="b">
            <v>0</v>
          </cell>
          <cell r="G3131">
            <v>24857.151660682601</v>
          </cell>
          <cell r="H3131">
            <v>22896.455734365602</v>
          </cell>
        </row>
        <row r="3132">
          <cell r="B3132" t="str">
            <v>SOBRANTE 1101L534R</v>
          </cell>
          <cell r="C3132">
            <v>14671101</v>
          </cell>
          <cell r="D3132" t="str">
            <v>SOBRANTE 1101</v>
          </cell>
          <cell r="E3132" t="str">
            <v>L534R</v>
          </cell>
          <cell r="F3132" t="b">
            <v>0</v>
          </cell>
          <cell r="G3132">
            <v>3066.0904419456801</v>
          </cell>
          <cell r="H3132">
            <v>1291.9265635674001</v>
          </cell>
        </row>
        <row r="3133">
          <cell r="B3133" t="str">
            <v>SOBRANTE 1102690098</v>
          </cell>
          <cell r="C3133">
            <v>14671102</v>
          </cell>
          <cell r="D3133" t="str">
            <v>SOBRANTE 1102</v>
          </cell>
          <cell r="E3133">
            <v>690098</v>
          </cell>
          <cell r="F3133" t="b">
            <v>0</v>
          </cell>
          <cell r="G3133">
            <v>12079.139690304801</v>
          </cell>
          <cell r="H3133">
            <v>11883.963622379801</v>
          </cell>
        </row>
        <row r="3134">
          <cell r="B3134" t="str">
            <v>SOBRANTE 1102CB</v>
          </cell>
          <cell r="C3134">
            <v>14671102</v>
          </cell>
          <cell r="D3134" t="str">
            <v>SOBRANTE 1102</v>
          </cell>
          <cell r="E3134" t="str">
            <v>CB</v>
          </cell>
          <cell r="F3134" t="b">
            <v>0</v>
          </cell>
          <cell r="G3134">
            <v>16799.286783617001</v>
          </cell>
          <cell r="H3134">
            <v>16799.286783617001</v>
          </cell>
        </row>
        <row r="3135">
          <cell r="B3135" t="str">
            <v>SOBRANTE 1102L510R</v>
          </cell>
          <cell r="C3135">
            <v>14671102</v>
          </cell>
          <cell r="D3135" t="str">
            <v>SOBRANTE 1102</v>
          </cell>
          <cell r="E3135" t="str">
            <v>L510R</v>
          </cell>
          <cell r="F3135" t="b">
            <v>0</v>
          </cell>
          <cell r="G3135">
            <v>15698.8958021287</v>
          </cell>
          <cell r="H3135">
            <v>15538.9501232084</v>
          </cell>
        </row>
        <row r="3136">
          <cell r="B3136" t="str">
            <v>SOBRANTE 1103CB</v>
          </cell>
          <cell r="C3136">
            <v>14671103</v>
          </cell>
          <cell r="D3136" t="str">
            <v>SOBRANTE 1103</v>
          </cell>
          <cell r="E3136" t="str">
            <v>CB</v>
          </cell>
          <cell r="F3136" t="b">
            <v>0</v>
          </cell>
          <cell r="G3136">
            <v>6937.6269844205199</v>
          </cell>
          <cell r="H3136">
            <v>6745.7700341976897</v>
          </cell>
        </row>
        <row r="3137">
          <cell r="B3137" t="str">
            <v>SOBRANTE 1103N510R</v>
          </cell>
          <cell r="C3137">
            <v>14671103</v>
          </cell>
          <cell r="D3137" t="str">
            <v>SOBRANTE 1103</v>
          </cell>
          <cell r="E3137" t="str">
            <v>N510R</v>
          </cell>
          <cell r="F3137" t="b">
            <v>1</v>
          </cell>
          <cell r="G3137">
            <v>1403.2370154036</v>
          </cell>
          <cell r="H3137">
            <v>401.747140608758</v>
          </cell>
        </row>
        <row r="3138">
          <cell r="B3138" t="str">
            <v>SOLEDAD 1114413916</v>
          </cell>
          <cell r="C3138">
            <v>182051114</v>
          </cell>
          <cell r="D3138" t="str">
            <v>SOLEDAD 1114</v>
          </cell>
          <cell r="E3138">
            <v>413916</v>
          </cell>
          <cell r="F3138" t="b">
            <v>0</v>
          </cell>
          <cell r="G3138">
            <v>6367.8068088830096</v>
          </cell>
          <cell r="H3138">
            <v>2275.8898179062098</v>
          </cell>
        </row>
        <row r="3139">
          <cell r="B3139" t="str">
            <v>SOLEDAD 2101125484</v>
          </cell>
          <cell r="C3139">
            <v>182052101</v>
          </cell>
          <cell r="D3139" t="str">
            <v>SOLEDAD 2101</v>
          </cell>
          <cell r="E3139">
            <v>125484</v>
          </cell>
          <cell r="F3139" t="b">
            <v>0</v>
          </cell>
          <cell r="G3139">
            <v>2451.8279593965499</v>
          </cell>
          <cell r="H3139">
            <v>1202.5461832625001</v>
          </cell>
        </row>
        <row r="3140">
          <cell r="B3140" t="str">
            <v>SOLEDAD 2101315500</v>
          </cell>
          <cell r="C3140">
            <v>182052101</v>
          </cell>
          <cell r="D3140" t="str">
            <v>SOLEDAD 2101</v>
          </cell>
          <cell r="E3140">
            <v>315500</v>
          </cell>
          <cell r="F3140" t="b">
            <v>0</v>
          </cell>
          <cell r="G3140">
            <v>5515.1950396601997</v>
          </cell>
          <cell r="H3140">
            <v>1783.0287598984501</v>
          </cell>
        </row>
        <row r="3141">
          <cell r="B3141" t="str">
            <v>SOLEDAD 2101404754</v>
          </cell>
          <cell r="C3141">
            <v>182052101</v>
          </cell>
          <cell r="D3141" t="str">
            <v>SOLEDAD 2101</v>
          </cell>
          <cell r="E3141">
            <v>404754</v>
          </cell>
          <cell r="F3141" t="b">
            <v>0</v>
          </cell>
          <cell r="G3141">
            <v>1404.0352958507999</v>
          </cell>
          <cell r="H3141">
            <v>1388.0333708184901</v>
          </cell>
        </row>
        <row r="3142">
          <cell r="B3142" t="str">
            <v>SOLEDAD 2101526864</v>
          </cell>
          <cell r="C3142">
            <v>182052101</v>
          </cell>
          <cell r="D3142" t="str">
            <v>SOLEDAD 2101</v>
          </cell>
          <cell r="E3142">
            <v>526864</v>
          </cell>
          <cell r="F3142" t="b">
            <v>0</v>
          </cell>
          <cell r="G3142">
            <v>5659.73547855169</v>
          </cell>
          <cell r="H3142">
            <v>5008.6837311665604</v>
          </cell>
        </row>
        <row r="3143">
          <cell r="B3143" t="str">
            <v>SOLEDAD 2102304826</v>
          </cell>
          <cell r="C3143">
            <v>182052102</v>
          </cell>
          <cell r="D3143" t="str">
            <v>SOLEDAD 2102</v>
          </cell>
          <cell r="E3143">
            <v>304826</v>
          </cell>
          <cell r="F3143" t="b">
            <v>0</v>
          </cell>
          <cell r="G3143">
            <v>14243.578099095999</v>
          </cell>
          <cell r="H3143">
            <v>8398.3076294935599</v>
          </cell>
        </row>
        <row r="3144">
          <cell r="B3144" t="str">
            <v>SOLEDAD 2102346006</v>
          </cell>
          <cell r="C3144">
            <v>182052102</v>
          </cell>
          <cell r="D3144" t="str">
            <v>SOLEDAD 2102</v>
          </cell>
          <cell r="E3144">
            <v>346006</v>
          </cell>
          <cell r="F3144" t="b">
            <v>0</v>
          </cell>
          <cell r="G3144">
            <v>3918.30732333375</v>
          </cell>
          <cell r="H3144">
            <v>3650.4624922080998</v>
          </cell>
        </row>
        <row r="3145">
          <cell r="B3145" t="str">
            <v>SOLEDAD 21027008</v>
          </cell>
          <cell r="C3145">
            <v>182052102</v>
          </cell>
          <cell r="D3145" t="str">
            <v>SOLEDAD 2102</v>
          </cell>
          <cell r="E3145">
            <v>7008</v>
          </cell>
          <cell r="F3145" t="b">
            <v>0</v>
          </cell>
          <cell r="G3145">
            <v>29112.578789122901</v>
          </cell>
          <cell r="H3145">
            <v>8088.7008394747299</v>
          </cell>
        </row>
        <row r="3146">
          <cell r="B3146" t="str">
            <v>SOLEDAD 21027048</v>
          </cell>
          <cell r="C3146">
            <v>182052102</v>
          </cell>
          <cell r="D3146" t="str">
            <v>SOLEDAD 2102</v>
          </cell>
          <cell r="E3146">
            <v>7048</v>
          </cell>
          <cell r="F3146" t="b">
            <v>0</v>
          </cell>
          <cell r="G3146">
            <v>47036.8755283598</v>
          </cell>
          <cell r="H3146">
            <v>18663.287687447501</v>
          </cell>
        </row>
        <row r="3147">
          <cell r="B3147" t="str">
            <v>SOLEDAD 2102823854</v>
          </cell>
          <cell r="C3147">
            <v>182052102</v>
          </cell>
          <cell r="D3147" t="str">
            <v>SOLEDAD 2102</v>
          </cell>
          <cell r="E3147">
            <v>823854</v>
          </cell>
          <cell r="F3147" t="b">
            <v>0</v>
          </cell>
          <cell r="G3147">
            <v>6899.0553230761097</v>
          </cell>
          <cell r="H3147">
            <v>3307.42066646076</v>
          </cell>
        </row>
        <row r="3148">
          <cell r="B3148" t="str">
            <v>SOLEDAD 2102858388</v>
          </cell>
          <cell r="C3148">
            <v>182052102</v>
          </cell>
          <cell r="D3148" t="str">
            <v>SOLEDAD 2102</v>
          </cell>
          <cell r="E3148">
            <v>858388</v>
          </cell>
          <cell r="F3148" t="b">
            <v>0</v>
          </cell>
          <cell r="G3148">
            <v>13234.651858499001</v>
          </cell>
          <cell r="H3148">
            <v>7717.2674916271599</v>
          </cell>
        </row>
        <row r="3149">
          <cell r="B3149" t="str">
            <v>SOLEDAD 2102955138</v>
          </cell>
          <cell r="C3149">
            <v>182052102</v>
          </cell>
          <cell r="D3149" t="str">
            <v>SOLEDAD 2102</v>
          </cell>
          <cell r="E3149">
            <v>955138</v>
          </cell>
          <cell r="F3149" t="b">
            <v>0</v>
          </cell>
          <cell r="G3149">
            <v>4475.7731542646698</v>
          </cell>
          <cell r="H3149">
            <v>4227.5123695786197</v>
          </cell>
        </row>
        <row r="3150">
          <cell r="B3150" t="str">
            <v>SONOMA 1102113082</v>
          </cell>
          <cell r="C3150">
            <v>42721102</v>
          </cell>
          <cell r="D3150" t="str">
            <v>SONOMA 1102</v>
          </cell>
          <cell r="E3150">
            <v>113082</v>
          </cell>
          <cell r="F3150" t="b">
            <v>0</v>
          </cell>
          <cell r="G3150">
            <v>11746.8209208516</v>
          </cell>
          <cell r="H3150">
            <v>9857.3648413901501</v>
          </cell>
        </row>
        <row r="3151">
          <cell r="B3151" t="str">
            <v>SONOMA 11033052</v>
          </cell>
          <cell r="C3151">
            <v>42721103</v>
          </cell>
          <cell r="D3151" t="str">
            <v>SONOMA 1103</v>
          </cell>
          <cell r="E3151">
            <v>3052</v>
          </cell>
          <cell r="F3151" t="b">
            <v>0</v>
          </cell>
          <cell r="G3151">
            <v>25170.0534067812</v>
          </cell>
          <cell r="H3151">
            <v>20257.093017704101</v>
          </cell>
        </row>
        <row r="3152">
          <cell r="B3152" t="str">
            <v>SONOMA 1103581588</v>
          </cell>
          <cell r="C3152">
            <v>42721103</v>
          </cell>
          <cell r="D3152" t="str">
            <v>SONOMA 1103</v>
          </cell>
          <cell r="E3152">
            <v>581588</v>
          </cell>
          <cell r="F3152" t="b">
            <v>1</v>
          </cell>
          <cell r="G3152">
            <v>1519.7137228429699</v>
          </cell>
          <cell r="H3152">
            <v>313.01427804927698</v>
          </cell>
        </row>
        <row r="3153">
          <cell r="B3153" t="str">
            <v>SONOMA 1104414</v>
          </cell>
          <cell r="C3153">
            <v>42721104</v>
          </cell>
          <cell r="D3153" t="str">
            <v>SONOMA 1104</v>
          </cell>
          <cell r="E3153">
            <v>414</v>
          </cell>
          <cell r="F3153" t="b">
            <v>0</v>
          </cell>
          <cell r="G3153">
            <v>35132.367507837502</v>
          </cell>
          <cell r="H3153">
            <v>2113.8048195708998</v>
          </cell>
        </row>
        <row r="3154">
          <cell r="B3154" t="str">
            <v>SONOMA 11045661</v>
          </cell>
          <cell r="C3154">
            <v>42721104</v>
          </cell>
          <cell r="D3154" t="str">
            <v>SONOMA 1104</v>
          </cell>
          <cell r="E3154">
            <v>5661</v>
          </cell>
          <cell r="F3154" t="b">
            <v>0</v>
          </cell>
          <cell r="G3154">
            <v>8173.4896822601404</v>
          </cell>
          <cell r="H3154">
            <v>4658.2662705762204</v>
          </cell>
        </row>
        <row r="3155">
          <cell r="B3155" t="str">
            <v>SONOMA 110478372</v>
          </cell>
          <cell r="C3155">
            <v>42721104</v>
          </cell>
          <cell r="D3155" t="str">
            <v>SONOMA 1104</v>
          </cell>
          <cell r="E3155">
            <v>78372</v>
          </cell>
          <cell r="F3155" t="b">
            <v>0</v>
          </cell>
          <cell r="G3155">
            <v>27765.209618944202</v>
          </cell>
          <cell r="H3155">
            <v>26751.808393269999</v>
          </cell>
        </row>
        <row r="3156">
          <cell r="B3156" t="str">
            <v>SONOMA 1104914376</v>
          </cell>
          <cell r="C3156">
            <v>42721104</v>
          </cell>
          <cell r="D3156" t="str">
            <v>SONOMA 1104</v>
          </cell>
          <cell r="E3156">
            <v>914376</v>
          </cell>
          <cell r="F3156" t="b">
            <v>1</v>
          </cell>
          <cell r="G3156">
            <v>11215.185331896701</v>
          </cell>
          <cell r="H3156">
            <v>862.057683611475</v>
          </cell>
        </row>
        <row r="3157">
          <cell r="B3157" t="str">
            <v>SONOMA 1105138</v>
          </cell>
          <cell r="C3157">
            <v>42721105</v>
          </cell>
          <cell r="D3157" t="str">
            <v>SONOMA 1105</v>
          </cell>
          <cell r="E3157">
            <v>138</v>
          </cell>
          <cell r="F3157" t="b">
            <v>1</v>
          </cell>
          <cell r="G3157">
            <v>26504.920029928599</v>
          </cell>
          <cell r="H3157">
            <v>104.04794814173199</v>
          </cell>
        </row>
        <row r="3158">
          <cell r="B3158" t="str">
            <v>SONOMA 1105229588</v>
          </cell>
          <cell r="C3158">
            <v>42721105</v>
          </cell>
          <cell r="D3158" t="str">
            <v>SONOMA 1105</v>
          </cell>
          <cell r="E3158">
            <v>229588</v>
          </cell>
          <cell r="F3158" t="b">
            <v>0</v>
          </cell>
          <cell r="G3158">
            <v>21565.396069505601</v>
          </cell>
          <cell r="H3158">
            <v>15531.0208102461</v>
          </cell>
        </row>
        <row r="3159">
          <cell r="B3159" t="str">
            <v>SONOMA 1105404</v>
          </cell>
          <cell r="C3159">
            <v>42721105</v>
          </cell>
          <cell r="D3159" t="str">
            <v>SONOMA 1105</v>
          </cell>
          <cell r="E3159">
            <v>404</v>
          </cell>
          <cell r="F3159" t="b">
            <v>0</v>
          </cell>
          <cell r="G3159">
            <v>7372.5748460808099</v>
          </cell>
          <cell r="H3159">
            <v>3785.8958967737999</v>
          </cell>
        </row>
        <row r="3160">
          <cell r="B3160" t="str">
            <v>SONOMA 11054456</v>
          </cell>
          <cell r="C3160">
            <v>42721105</v>
          </cell>
          <cell r="D3160" t="str">
            <v>SONOMA 1105</v>
          </cell>
          <cell r="E3160">
            <v>4456</v>
          </cell>
          <cell r="F3160" t="b">
            <v>1</v>
          </cell>
          <cell r="G3160">
            <v>8052.7826902398901</v>
          </cell>
          <cell r="H3160">
            <v>0</v>
          </cell>
        </row>
        <row r="3161">
          <cell r="B3161" t="str">
            <v>SONOMA 1105539450</v>
          </cell>
          <cell r="C3161">
            <v>42721105</v>
          </cell>
          <cell r="D3161" t="str">
            <v>SONOMA 1105</v>
          </cell>
          <cell r="E3161">
            <v>539450</v>
          </cell>
          <cell r="F3161" t="b">
            <v>0</v>
          </cell>
          <cell r="G3161">
            <v>3896.01083920876</v>
          </cell>
          <cell r="H3161">
            <v>2403.5481863945402</v>
          </cell>
        </row>
        <row r="3162">
          <cell r="B3162" t="str">
            <v>SONOMA 1105575872</v>
          </cell>
          <cell r="C3162">
            <v>42721105</v>
          </cell>
          <cell r="D3162" t="str">
            <v>SONOMA 1105</v>
          </cell>
          <cell r="E3162">
            <v>575872</v>
          </cell>
          <cell r="F3162" t="b">
            <v>0</v>
          </cell>
          <cell r="G3162">
            <v>2328.1768159552098</v>
          </cell>
          <cell r="H3162">
            <v>1906.8569528037899</v>
          </cell>
        </row>
        <row r="3163">
          <cell r="B3163" t="str">
            <v>SONOMA 1106296492</v>
          </cell>
          <cell r="C3163">
            <v>42721106</v>
          </cell>
          <cell r="D3163" t="str">
            <v>SONOMA 1106</v>
          </cell>
          <cell r="E3163">
            <v>296492</v>
          </cell>
          <cell r="F3163" t="b">
            <v>0</v>
          </cell>
          <cell r="G3163">
            <v>3708.9492055881101</v>
          </cell>
          <cell r="H3163">
            <v>1270.5979224438499</v>
          </cell>
        </row>
        <row r="3164">
          <cell r="B3164" t="str">
            <v>SONOMA 1106510055</v>
          </cell>
          <cell r="C3164">
            <v>42721106</v>
          </cell>
          <cell r="D3164" t="str">
            <v>SONOMA 1106</v>
          </cell>
          <cell r="E3164">
            <v>510055</v>
          </cell>
          <cell r="F3164" t="b">
            <v>1</v>
          </cell>
          <cell r="G3164">
            <v>1976.5066560620201</v>
          </cell>
          <cell r="H3164">
            <v>817.62032203804301</v>
          </cell>
        </row>
        <row r="3165">
          <cell r="B3165" t="str">
            <v>SONOMA 1107294</v>
          </cell>
          <cell r="C3165">
            <v>42721107</v>
          </cell>
          <cell r="D3165" t="str">
            <v>SONOMA 1107</v>
          </cell>
          <cell r="E3165">
            <v>294</v>
          </cell>
          <cell r="F3165" t="b">
            <v>1</v>
          </cell>
          <cell r="G3165">
            <v>13929.630815165199</v>
          </cell>
          <cell r="H3165">
            <v>0</v>
          </cell>
        </row>
        <row r="3166">
          <cell r="B3166" t="str">
            <v>SONOMA 1107844168</v>
          </cell>
          <cell r="C3166">
            <v>42721107</v>
          </cell>
          <cell r="D3166" t="str">
            <v>SONOMA 1107</v>
          </cell>
          <cell r="E3166">
            <v>844168</v>
          </cell>
          <cell r="F3166" t="b">
            <v>0</v>
          </cell>
          <cell r="G3166">
            <v>18710.7044614513</v>
          </cell>
          <cell r="H3166">
            <v>7309.0201294418102</v>
          </cell>
        </row>
        <row r="3167">
          <cell r="B3167" t="str">
            <v>SONOMA 1107854266</v>
          </cell>
          <cell r="C3167">
            <v>42721107</v>
          </cell>
          <cell r="D3167" t="str">
            <v>SONOMA 1107</v>
          </cell>
          <cell r="E3167">
            <v>854266</v>
          </cell>
          <cell r="F3167" t="b">
            <v>1</v>
          </cell>
          <cell r="G3167">
            <v>966.26532819627403</v>
          </cell>
          <cell r="H3167">
            <v>321.41053040035001</v>
          </cell>
        </row>
        <row r="3168">
          <cell r="B3168" t="str">
            <v>SPANISH CREEK 4401CB</v>
          </cell>
          <cell r="C3168">
            <v>103104401</v>
          </cell>
          <cell r="D3168" t="str">
            <v>SPANISH CREEK 4401</v>
          </cell>
          <cell r="E3168" t="str">
            <v>CB</v>
          </cell>
          <cell r="F3168" t="b">
            <v>0</v>
          </cell>
          <cell r="G3168">
            <v>12760.249254783599</v>
          </cell>
          <cell r="H3168">
            <v>12447.753817831201</v>
          </cell>
        </row>
        <row r="3169">
          <cell r="B3169" t="str">
            <v>SPAULDING 1101578852</v>
          </cell>
          <cell r="C3169">
            <v>152251101</v>
          </cell>
          <cell r="D3169" t="str">
            <v>SPAULDING 1101</v>
          </cell>
          <cell r="E3169">
            <v>578852</v>
          </cell>
          <cell r="F3169" t="b">
            <v>0</v>
          </cell>
          <cell r="G3169">
            <v>38890.7673399501</v>
          </cell>
          <cell r="H3169">
            <v>33210.686654629397</v>
          </cell>
        </row>
        <row r="3170">
          <cell r="B3170" t="str">
            <v>SPAULDING 1101CB</v>
          </cell>
          <cell r="C3170">
            <v>152251101</v>
          </cell>
          <cell r="D3170" t="str">
            <v>SPAULDING 1101</v>
          </cell>
          <cell r="E3170" t="str">
            <v>CB</v>
          </cell>
          <cell r="F3170" t="b">
            <v>1</v>
          </cell>
          <cell r="G3170">
            <v>56.748364115680303</v>
          </cell>
          <cell r="H3170">
            <v>56.748364115680303</v>
          </cell>
        </row>
        <row r="3171">
          <cell r="B3171" t="str">
            <v>SPENCE 1102321000</v>
          </cell>
          <cell r="C3171">
            <v>182201102</v>
          </cell>
          <cell r="D3171" t="str">
            <v>SPENCE 1102</v>
          </cell>
          <cell r="E3171">
            <v>321000</v>
          </cell>
          <cell r="F3171" t="b">
            <v>0</v>
          </cell>
          <cell r="G3171">
            <v>4053.5113498651399</v>
          </cell>
          <cell r="H3171">
            <v>2330.3265786586699</v>
          </cell>
        </row>
        <row r="3172">
          <cell r="B3172" t="str">
            <v>SPENCE 1102990464</v>
          </cell>
          <cell r="C3172">
            <v>182201102</v>
          </cell>
          <cell r="D3172" t="str">
            <v>SPENCE 1102</v>
          </cell>
          <cell r="E3172">
            <v>990464</v>
          </cell>
          <cell r="F3172" t="b">
            <v>0</v>
          </cell>
          <cell r="G3172">
            <v>8550.7922507909097</v>
          </cell>
          <cell r="H3172">
            <v>3365.9886861647601</v>
          </cell>
        </row>
        <row r="3173">
          <cell r="B3173" t="str">
            <v>SPENCE 1104965598</v>
          </cell>
          <cell r="C3173">
            <v>182201104</v>
          </cell>
          <cell r="D3173" t="str">
            <v>SPENCE 1104</v>
          </cell>
          <cell r="E3173">
            <v>965598</v>
          </cell>
          <cell r="F3173" t="b">
            <v>0</v>
          </cell>
          <cell r="G3173">
            <v>25622.156271334301</v>
          </cell>
          <cell r="H3173">
            <v>14815.826611545701</v>
          </cell>
        </row>
        <row r="3174">
          <cell r="B3174" t="str">
            <v>SPRING GAP 170210720</v>
          </cell>
          <cell r="C3174">
            <v>162831702</v>
          </cell>
          <cell r="D3174" t="str">
            <v>SPRING GAP 1702</v>
          </cell>
          <cell r="E3174">
            <v>10720</v>
          </cell>
          <cell r="F3174" t="b">
            <v>0</v>
          </cell>
          <cell r="G3174">
            <v>7675.0330330282404</v>
          </cell>
          <cell r="H3174">
            <v>7675.0330330282404</v>
          </cell>
        </row>
        <row r="3175">
          <cell r="B3175" t="str">
            <v>SPRING GAP 1702188426</v>
          </cell>
          <cell r="C3175">
            <v>162831702</v>
          </cell>
          <cell r="D3175" t="str">
            <v>SPRING GAP 1702</v>
          </cell>
          <cell r="E3175">
            <v>188426</v>
          </cell>
          <cell r="F3175" t="b">
            <v>1</v>
          </cell>
          <cell r="G3175">
            <v>4.5720336658748897</v>
          </cell>
          <cell r="H3175">
            <v>4.5720336658748897</v>
          </cell>
        </row>
        <row r="3176">
          <cell r="B3176" t="str">
            <v>SPRING GAP 1702693441</v>
          </cell>
          <cell r="C3176">
            <v>162831702</v>
          </cell>
          <cell r="D3176" t="str">
            <v>SPRING GAP 1702</v>
          </cell>
          <cell r="E3176">
            <v>693441</v>
          </cell>
          <cell r="F3176" t="b">
            <v>0</v>
          </cell>
          <cell r="G3176">
            <v>6859.8350192722801</v>
          </cell>
          <cell r="H3176">
            <v>6859.8350192722801</v>
          </cell>
        </row>
        <row r="3177">
          <cell r="B3177" t="str">
            <v>SPRING GAP 170286032</v>
          </cell>
          <cell r="C3177">
            <v>162831702</v>
          </cell>
          <cell r="D3177" t="str">
            <v>SPRING GAP 1702</v>
          </cell>
          <cell r="E3177">
            <v>86032</v>
          </cell>
          <cell r="F3177" t="b">
            <v>0</v>
          </cell>
          <cell r="G3177">
            <v>4656.0496810049599</v>
          </cell>
          <cell r="H3177">
            <v>1615.68401426278</v>
          </cell>
        </row>
        <row r="3178">
          <cell r="B3178" t="str">
            <v>SPRING GAP 17029280</v>
          </cell>
          <cell r="C3178">
            <v>162831702</v>
          </cell>
          <cell r="D3178" t="str">
            <v>SPRING GAP 1702</v>
          </cell>
          <cell r="E3178">
            <v>9280</v>
          </cell>
          <cell r="F3178" t="b">
            <v>0</v>
          </cell>
          <cell r="G3178">
            <v>10262.607097467901</v>
          </cell>
          <cell r="H3178">
            <v>10262.607097467901</v>
          </cell>
        </row>
        <row r="3179">
          <cell r="B3179" t="str">
            <v>SPRING GAP 17029690</v>
          </cell>
          <cell r="C3179">
            <v>162831702</v>
          </cell>
          <cell r="D3179" t="str">
            <v>SPRING GAP 1702</v>
          </cell>
          <cell r="E3179">
            <v>9690</v>
          </cell>
          <cell r="F3179" t="b">
            <v>0</v>
          </cell>
          <cell r="G3179">
            <v>27916.583189156601</v>
          </cell>
          <cell r="H3179">
            <v>27916.583189156601</v>
          </cell>
        </row>
        <row r="3180">
          <cell r="B3180" t="str">
            <v>SPRING GAP 1702CB</v>
          </cell>
          <cell r="C3180">
            <v>162831702</v>
          </cell>
          <cell r="D3180" t="str">
            <v>SPRING GAP 1702</v>
          </cell>
          <cell r="E3180" t="str">
            <v>CB</v>
          </cell>
          <cell r="F3180" t="b">
            <v>0</v>
          </cell>
          <cell r="G3180">
            <v>11971.740123837501</v>
          </cell>
          <cell r="H3180">
            <v>11971.740123837501</v>
          </cell>
        </row>
        <row r="3181">
          <cell r="B3181" t="str">
            <v>SPRUCE 0401BR316</v>
          </cell>
          <cell r="C3181">
            <v>13340401</v>
          </cell>
          <cell r="D3181" t="str">
            <v>SPRUCE 0401</v>
          </cell>
          <cell r="E3181" t="str">
            <v>BR316</v>
          </cell>
          <cell r="F3181" t="b">
            <v>0</v>
          </cell>
          <cell r="G3181">
            <v>6608.6921977985903</v>
          </cell>
          <cell r="H3181">
            <v>6608.6921977985903</v>
          </cell>
        </row>
        <row r="3182">
          <cell r="B3182" t="str">
            <v>SPRUCE 0402BR304</v>
          </cell>
          <cell r="C3182">
            <v>13340402</v>
          </cell>
          <cell r="D3182" t="str">
            <v>SPRUCE 0402</v>
          </cell>
          <cell r="E3182" t="str">
            <v>BR304</v>
          </cell>
          <cell r="F3182" t="b">
            <v>0</v>
          </cell>
          <cell r="G3182">
            <v>5760.7882330860602</v>
          </cell>
          <cell r="H3182">
            <v>2392.7286870866101</v>
          </cell>
        </row>
        <row r="3183">
          <cell r="B3183" t="str">
            <v>STAFFORD 11011082</v>
          </cell>
          <cell r="C3183">
            <v>43201101</v>
          </cell>
          <cell r="D3183" t="str">
            <v>STAFFORD 1101</v>
          </cell>
          <cell r="E3183">
            <v>1082</v>
          </cell>
          <cell r="F3183" t="b">
            <v>0</v>
          </cell>
          <cell r="G3183">
            <v>4959.0869115176802</v>
          </cell>
          <cell r="H3183">
            <v>2511.2326045494801</v>
          </cell>
        </row>
        <row r="3184">
          <cell r="B3184" t="str">
            <v>STAFFORD 1101344092</v>
          </cell>
          <cell r="C3184">
            <v>43201101</v>
          </cell>
          <cell r="D3184" t="str">
            <v>STAFFORD 1101</v>
          </cell>
          <cell r="E3184">
            <v>344092</v>
          </cell>
          <cell r="F3184" t="b">
            <v>1</v>
          </cell>
          <cell r="G3184">
            <v>131.10413635794399</v>
          </cell>
          <cell r="H3184">
            <v>115.31917211575799</v>
          </cell>
        </row>
        <row r="3185">
          <cell r="B3185" t="str">
            <v>STAFFORD 1101405812</v>
          </cell>
          <cell r="C3185">
            <v>43201101</v>
          </cell>
          <cell r="D3185" t="str">
            <v>STAFFORD 1101</v>
          </cell>
          <cell r="E3185">
            <v>405812</v>
          </cell>
          <cell r="F3185" t="b">
            <v>1</v>
          </cell>
          <cell r="G3185">
            <v>695.37528377835395</v>
          </cell>
          <cell r="H3185">
            <v>295.24927915032498</v>
          </cell>
        </row>
        <row r="3186">
          <cell r="B3186" t="str">
            <v>STAFFORD 1101803535</v>
          </cell>
          <cell r="C3186">
            <v>43201101</v>
          </cell>
          <cell r="D3186" t="str">
            <v>STAFFORD 1101</v>
          </cell>
          <cell r="E3186">
            <v>803535</v>
          </cell>
          <cell r="F3186" t="b">
            <v>1</v>
          </cell>
          <cell r="G3186">
            <v>262.49839801286601</v>
          </cell>
          <cell r="H3186">
            <v>262.49839801286601</v>
          </cell>
        </row>
        <row r="3187">
          <cell r="B3187" t="str">
            <v>STAFFORD 1101902998</v>
          </cell>
          <cell r="C3187">
            <v>43201101</v>
          </cell>
          <cell r="D3187" t="str">
            <v>STAFFORD 1101</v>
          </cell>
          <cell r="E3187">
            <v>902998</v>
          </cell>
          <cell r="F3187" t="b">
            <v>0</v>
          </cell>
          <cell r="G3187">
            <v>9746.2747219346202</v>
          </cell>
          <cell r="H3187">
            <v>1732.2881828658501</v>
          </cell>
        </row>
        <row r="3188">
          <cell r="B3188" t="str">
            <v>STAFFORD 1101CB</v>
          </cell>
          <cell r="C3188">
            <v>43201101</v>
          </cell>
          <cell r="D3188" t="str">
            <v>STAFFORD 1101</v>
          </cell>
          <cell r="E3188" t="str">
            <v>CB</v>
          </cell>
          <cell r="F3188" t="b">
            <v>0</v>
          </cell>
          <cell r="G3188">
            <v>19644.209633702299</v>
          </cell>
          <cell r="H3188">
            <v>2188.9816611404599</v>
          </cell>
        </row>
        <row r="3189">
          <cell r="B3189" t="str">
            <v>STAFFORD 11021019</v>
          </cell>
          <cell r="C3189">
            <v>43201102</v>
          </cell>
          <cell r="D3189" t="str">
            <v>STAFFORD 1102</v>
          </cell>
          <cell r="E3189">
            <v>1019</v>
          </cell>
          <cell r="F3189" t="b">
            <v>1</v>
          </cell>
          <cell r="G3189">
            <v>1173.8688872922</v>
          </cell>
          <cell r="H3189">
            <v>432.07093182656502</v>
          </cell>
        </row>
        <row r="3190">
          <cell r="B3190" t="str">
            <v>STAFFORD 11021048</v>
          </cell>
          <cell r="C3190">
            <v>43201102</v>
          </cell>
          <cell r="D3190" t="str">
            <v>STAFFORD 1102</v>
          </cell>
          <cell r="E3190">
            <v>1048</v>
          </cell>
          <cell r="F3190" t="b">
            <v>0</v>
          </cell>
          <cell r="G3190">
            <v>8484.8832036180793</v>
          </cell>
          <cell r="H3190">
            <v>8484.8832036180793</v>
          </cell>
        </row>
        <row r="3191">
          <cell r="B3191" t="str">
            <v>STAFFORD 11021202</v>
          </cell>
          <cell r="C3191">
            <v>43201102</v>
          </cell>
          <cell r="D3191" t="str">
            <v>STAFFORD 1102</v>
          </cell>
          <cell r="E3191">
            <v>1202</v>
          </cell>
          <cell r="F3191" t="b">
            <v>0</v>
          </cell>
          <cell r="G3191">
            <v>12713.8882483943</v>
          </cell>
          <cell r="H3191">
            <v>12713.8882483943</v>
          </cell>
        </row>
        <row r="3192">
          <cell r="B3192" t="str">
            <v>STAFFORD 11021258</v>
          </cell>
          <cell r="C3192">
            <v>43201102</v>
          </cell>
          <cell r="D3192" t="str">
            <v>STAFFORD 1102</v>
          </cell>
          <cell r="E3192">
            <v>1258</v>
          </cell>
          <cell r="F3192" t="b">
            <v>1</v>
          </cell>
          <cell r="G3192">
            <v>7855.2979847568404</v>
          </cell>
          <cell r="H3192">
            <v>501.92467536442501</v>
          </cell>
        </row>
        <row r="3193">
          <cell r="B3193" t="str">
            <v>STAFFORD 1102361952</v>
          </cell>
          <cell r="C3193">
            <v>43201102</v>
          </cell>
          <cell r="D3193" t="str">
            <v>STAFFORD 1102</v>
          </cell>
          <cell r="E3193">
            <v>361952</v>
          </cell>
          <cell r="F3193" t="b">
            <v>0</v>
          </cell>
          <cell r="G3193">
            <v>2196.58695115198</v>
          </cell>
          <cell r="H3193">
            <v>2196.58695115198</v>
          </cell>
        </row>
        <row r="3194">
          <cell r="B3194" t="str">
            <v>STAFFORD 110242542</v>
          </cell>
          <cell r="C3194">
            <v>43201102</v>
          </cell>
          <cell r="D3194" t="str">
            <v>STAFFORD 1102</v>
          </cell>
          <cell r="E3194">
            <v>42542</v>
          </cell>
          <cell r="F3194" t="b">
            <v>1</v>
          </cell>
          <cell r="G3194">
            <v>5717.1489233488201</v>
          </cell>
          <cell r="H3194">
            <v>862.34829347754703</v>
          </cell>
        </row>
        <row r="3195">
          <cell r="B3195" t="str">
            <v>STAFFORD 1102524</v>
          </cell>
          <cell r="C3195">
            <v>43201102</v>
          </cell>
          <cell r="D3195" t="str">
            <v>STAFFORD 1102</v>
          </cell>
          <cell r="E3195">
            <v>524</v>
          </cell>
          <cell r="F3195" t="b">
            <v>0</v>
          </cell>
          <cell r="G3195">
            <v>20718.9245163825</v>
          </cell>
          <cell r="H3195">
            <v>9871.5042064332993</v>
          </cell>
        </row>
        <row r="3196">
          <cell r="B3196" t="str">
            <v>STAFFORD 1102784704</v>
          </cell>
          <cell r="C3196">
            <v>43201102</v>
          </cell>
          <cell r="D3196" t="str">
            <v>STAFFORD 1102</v>
          </cell>
          <cell r="E3196">
            <v>784704</v>
          </cell>
          <cell r="F3196" t="b">
            <v>1</v>
          </cell>
          <cell r="G3196">
            <v>43.8834853520721</v>
          </cell>
          <cell r="H3196">
            <v>43.8834853520721</v>
          </cell>
        </row>
        <row r="3197">
          <cell r="B3197" t="str">
            <v>STAFFORD 1102CB</v>
          </cell>
          <cell r="C3197">
            <v>43201102</v>
          </cell>
          <cell r="D3197" t="str">
            <v>STAFFORD 1102</v>
          </cell>
          <cell r="E3197" t="str">
            <v>CB</v>
          </cell>
          <cell r="F3197" t="b">
            <v>1</v>
          </cell>
          <cell r="G3197">
            <v>993.10917714080006</v>
          </cell>
          <cell r="H3197">
            <v>957.30270673537404</v>
          </cell>
        </row>
        <row r="3198">
          <cell r="B3198" t="str">
            <v>STANISLAUS 17011331</v>
          </cell>
          <cell r="C3198">
            <v>162821701</v>
          </cell>
          <cell r="D3198" t="str">
            <v>STANISLAUS 1701</v>
          </cell>
          <cell r="E3198">
            <v>1331</v>
          </cell>
          <cell r="F3198" t="b">
            <v>0</v>
          </cell>
          <cell r="G3198">
            <v>7064.7733032522001</v>
          </cell>
          <cell r="H3198">
            <v>7064.7733032522001</v>
          </cell>
        </row>
        <row r="3199">
          <cell r="B3199" t="str">
            <v>STANISLAUS 17011812</v>
          </cell>
          <cell r="C3199">
            <v>162821701</v>
          </cell>
          <cell r="D3199" t="str">
            <v>STANISLAUS 1701</v>
          </cell>
          <cell r="E3199">
            <v>1812</v>
          </cell>
          <cell r="F3199" t="b">
            <v>0</v>
          </cell>
          <cell r="G3199">
            <v>30912.674474753701</v>
          </cell>
          <cell r="H3199">
            <v>30912.674474753701</v>
          </cell>
        </row>
        <row r="3200">
          <cell r="B3200" t="str">
            <v>STANISLAUS 17017144</v>
          </cell>
          <cell r="C3200">
            <v>162821701</v>
          </cell>
          <cell r="D3200" t="str">
            <v>STANISLAUS 1701</v>
          </cell>
          <cell r="E3200">
            <v>7144</v>
          </cell>
          <cell r="F3200" t="b">
            <v>0</v>
          </cell>
          <cell r="G3200">
            <v>7491.0055229566697</v>
          </cell>
          <cell r="H3200">
            <v>7491.0055229566697</v>
          </cell>
        </row>
        <row r="3201">
          <cell r="B3201" t="str">
            <v>STANISLAUS 170179826</v>
          </cell>
          <cell r="C3201">
            <v>162821701</v>
          </cell>
          <cell r="D3201" t="str">
            <v>STANISLAUS 1701</v>
          </cell>
          <cell r="E3201">
            <v>79826</v>
          </cell>
          <cell r="F3201" t="b">
            <v>0</v>
          </cell>
          <cell r="G3201">
            <v>16584.884197900901</v>
          </cell>
          <cell r="H3201">
            <v>16584.884197900901</v>
          </cell>
        </row>
        <row r="3202">
          <cell r="B3202" t="str">
            <v>STANISLAUS 1701CB</v>
          </cell>
          <cell r="C3202">
            <v>162821701</v>
          </cell>
          <cell r="D3202" t="str">
            <v>STANISLAUS 1701</v>
          </cell>
          <cell r="E3202" t="str">
            <v>CB</v>
          </cell>
          <cell r="F3202" t="b">
            <v>0</v>
          </cell>
          <cell r="G3202">
            <v>11032.7196165407</v>
          </cell>
          <cell r="H3202">
            <v>11032.7196165407</v>
          </cell>
        </row>
        <row r="3203">
          <cell r="B3203" t="str">
            <v>STANISLAUS 17021804</v>
          </cell>
          <cell r="C3203">
            <v>162821702</v>
          </cell>
          <cell r="D3203" t="str">
            <v>STANISLAUS 1702</v>
          </cell>
          <cell r="E3203">
            <v>1804</v>
          </cell>
          <cell r="F3203" t="b">
            <v>0</v>
          </cell>
          <cell r="G3203">
            <v>13482.9013082615</v>
          </cell>
          <cell r="H3203">
            <v>13482.9013082615</v>
          </cell>
        </row>
        <row r="3204">
          <cell r="B3204" t="str">
            <v>STANISLAUS 17021850</v>
          </cell>
          <cell r="C3204">
            <v>162821702</v>
          </cell>
          <cell r="D3204" t="str">
            <v>STANISLAUS 1702</v>
          </cell>
          <cell r="E3204">
            <v>1850</v>
          </cell>
          <cell r="F3204" t="b">
            <v>0</v>
          </cell>
          <cell r="G3204">
            <v>21661.181243241699</v>
          </cell>
          <cell r="H3204">
            <v>21661.181243241699</v>
          </cell>
        </row>
        <row r="3205">
          <cell r="B3205" t="str">
            <v>STANISLAUS 17021888</v>
          </cell>
          <cell r="C3205">
            <v>162821702</v>
          </cell>
          <cell r="D3205" t="str">
            <v>STANISLAUS 1702</v>
          </cell>
          <cell r="E3205">
            <v>1888</v>
          </cell>
          <cell r="F3205" t="b">
            <v>0</v>
          </cell>
          <cell r="G3205">
            <v>30440.005618143201</v>
          </cell>
          <cell r="H3205">
            <v>30440.005618143201</v>
          </cell>
        </row>
        <row r="3206">
          <cell r="B3206" t="str">
            <v>STANISLAUS 170237276</v>
          </cell>
          <cell r="C3206">
            <v>162821702</v>
          </cell>
          <cell r="D3206" t="str">
            <v>STANISLAUS 1702</v>
          </cell>
          <cell r="E3206">
            <v>37276</v>
          </cell>
          <cell r="F3206" t="b">
            <v>0</v>
          </cell>
          <cell r="G3206">
            <v>18746.468394131101</v>
          </cell>
          <cell r="H3206">
            <v>18746.468394131101</v>
          </cell>
        </row>
        <row r="3207">
          <cell r="B3207" t="str">
            <v>STANISLAUS 170237278</v>
          </cell>
          <cell r="C3207">
            <v>162821702</v>
          </cell>
          <cell r="D3207" t="str">
            <v>STANISLAUS 1702</v>
          </cell>
          <cell r="E3207">
            <v>37278</v>
          </cell>
          <cell r="F3207" t="b">
            <v>0</v>
          </cell>
          <cell r="G3207">
            <v>10929.440559496999</v>
          </cell>
          <cell r="H3207">
            <v>10929.440559496999</v>
          </cell>
        </row>
        <row r="3208">
          <cell r="B3208" t="str">
            <v>STANISLAUS 17024905</v>
          </cell>
          <cell r="C3208">
            <v>162821702</v>
          </cell>
          <cell r="D3208" t="str">
            <v>STANISLAUS 1702</v>
          </cell>
          <cell r="E3208">
            <v>4905</v>
          </cell>
          <cell r="F3208" t="b">
            <v>0</v>
          </cell>
          <cell r="G3208">
            <v>3704.1381671117101</v>
          </cell>
          <cell r="H3208">
            <v>3704.1381671117101</v>
          </cell>
        </row>
        <row r="3209">
          <cell r="B3209" t="str">
            <v>STANISLAUS 17026028</v>
          </cell>
          <cell r="C3209">
            <v>162821702</v>
          </cell>
          <cell r="D3209" t="str">
            <v>STANISLAUS 1702</v>
          </cell>
          <cell r="E3209">
            <v>6028</v>
          </cell>
          <cell r="F3209" t="b">
            <v>0</v>
          </cell>
          <cell r="G3209">
            <v>13370.302584093501</v>
          </cell>
          <cell r="H3209">
            <v>13370.302584093501</v>
          </cell>
        </row>
        <row r="3210">
          <cell r="B3210" t="str">
            <v>STANISLAUS 170275348</v>
          </cell>
          <cell r="C3210">
            <v>162821702</v>
          </cell>
          <cell r="D3210" t="str">
            <v>STANISLAUS 1702</v>
          </cell>
          <cell r="E3210">
            <v>75348</v>
          </cell>
          <cell r="F3210" t="b">
            <v>0</v>
          </cell>
          <cell r="G3210">
            <v>8532.4043294594794</v>
          </cell>
          <cell r="H3210">
            <v>8532.4043294594794</v>
          </cell>
        </row>
        <row r="3211">
          <cell r="B3211" t="str">
            <v>STANISLAUS 1702CB</v>
          </cell>
          <cell r="C3211">
            <v>162821702</v>
          </cell>
          <cell r="D3211" t="str">
            <v>STANISLAUS 1702</v>
          </cell>
          <cell r="E3211" t="str">
            <v>CB</v>
          </cell>
          <cell r="F3211" t="b">
            <v>0</v>
          </cell>
          <cell r="G3211">
            <v>13066.3243830916</v>
          </cell>
          <cell r="H3211">
            <v>13066.3243830916</v>
          </cell>
        </row>
        <row r="3212">
          <cell r="B3212" t="str">
            <v>STANISLAUS 1702L3151</v>
          </cell>
          <cell r="C3212">
            <v>162821702</v>
          </cell>
          <cell r="D3212" t="str">
            <v>STANISLAUS 1702</v>
          </cell>
          <cell r="E3212" t="str">
            <v>L3151</v>
          </cell>
          <cell r="F3212" t="b">
            <v>0</v>
          </cell>
          <cell r="G3212">
            <v>1595.4085041296901</v>
          </cell>
          <cell r="H3212">
            <v>1595.4085041296901</v>
          </cell>
        </row>
        <row r="3213">
          <cell r="B3213" t="str">
            <v>STANISLAUS 1702L5381</v>
          </cell>
          <cell r="C3213">
            <v>162821702</v>
          </cell>
          <cell r="D3213" t="str">
            <v>STANISLAUS 1702</v>
          </cell>
          <cell r="E3213" t="str">
            <v>L5381</v>
          </cell>
          <cell r="F3213" t="b">
            <v>0</v>
          </cell>
          <cell r="G3213">
            <v>1955.4877072013001</v>
          </cell>
          <cell r="H3213">
            <v>1955.4877072013001</v>
          </cell>
        </row>
        <row r="3214">
          <cell r="B3214" t="str">
            <v>STELLING 1109478699</v>
          </cell>
          <cell r="C3214">
            <v>83481109</v>
          </cell>
          <cell r="D3214" t="str">
            <v>STELLING 1109</v>
          </cell>
          <cell r="E3214">
            <v>478699</v>
          </cell>
          <cell r="F3214" t="b">
            <v>0</v>
          </cell>
          <cell r="G3214">
            <v>1763.8687365092401</v>
          </cell>
          <cell r="H3214">
            <v>1328.3865450068299</v>
          </cell>
        </row>
        <row r="3215">
          <cell r="B3215" t="str">
            <v>STELLING 1109787007</v>
          </cell>
          <cell r="C3215">
            <v>83481109</v>
          </cell>
          <cell r="D3215" t="str">
            <v>STELLING 1109</v>
          </cell>
          <cell r="E3215">
            <v>787007</v>
          </cell>
          <cell r="F3215" t="b">
            <v>1</v>
          </cell>
          <cell r="G3215">
            <v>354.82811355934899</v>
          </cell>
          <cell r="H3215">
            <v>307.18855988150801</v>
          </cell>
        </row>
        <row r="3216">
          <cell r="B3216" t="str">
            <v>STELLING 11102243</v>
          </cell>
          <cell r="C3216">
            <v>83481110</v>
          </cell>
          <cell r="D3216" t="str">
            <v>STELLING 1110</v>
          </cell>
          <cell r="E3216">
            <v>2243</v>
          </cell>
          <cell r="F3216" t="b">
            <v>0</v>
          </cell>
          <cell r="G3216">
            <v>3051.21751425617</v>
          </cell>
          <cell r="H3216">
            <v>3051.21751425617</v>
          </cell>
        </row>
        <row r="3217">
          <cell r="B3217" t="str">
            <v>STELLING 111060080</v>
          </cell>
          <cell r="C3217">
            <v>83481110</v>
          </cell>
          <cell r="D3217" t="str">
            <v>STELLING 1110</v>
          </cell>
          <cell r="E3217">
            <v>60080</v>
          </cell>
          <cell r="F3217" t="b">
            <v>0</v>
          </cell>
          <cell r="G3217">
            <v>16285.3102500116</v>
          </cell>
          <cell r="H3217">
            <v>15418.9406892673</v>
          </cell>
        </row>
        <row r="3218">
          <cell r="B3218" t="str">
            <v>STELLING 111060090</v>
          </cell>
          <cell r="C3218">
            <v>83481110</v>
          </cell>
          <cell r="D3218" t="str">
            <v>STELLING 1110</v>
          </cell>
          <cell r="E3218">
            <v>60090</v>
          </cell>
          <cell r="F3218" t="b">
            <v>0</v>
          </cell>
          <cell r="G3218">
            <v>10545.448845000899</v>
          </cell>
          <cell r="H3218">
            <v>10545.448845000899</v>
          </cell>
        </row>
        <row r="3219">
          <cell r="B3219" t="str">
            <v>STELLING 111060094</v>
          </cell>
          <cell r="C3219">
            <v>83481110</v>
          </cell>
          <cell r="D3219" t="str">
            <v>STELLING 1110</v>
          </cell>
          <cell r="E3219">
            <v>60094</v>
          </cell>
          <cell r="F3219" t="b">
            <v>0</v>
          </cell>
          <cell r="G3219">
            <v>15867.841349163</v>
          </cell>
          <cell r="H3219">
            <v>15867.841349163</v>
          </cell>
        </row>
        <row r="3220">
          <cell r="B3220" t="str">
            <v>STELLING 11109265</v>
          </cell>
          <cell r="C3220">
            <v>83481110</v>
          </cell>
          <cell r="D3220" t="str">
            <v>STELLING 1110</v>
          </cell>
          <cell r="E3220">
            <v>9265</v>
          </cell>
          <cell r="F3220" t="b">
            <v>0</v>
          </cell>
          <cell r="G3220">
            <v>8915.6719687058194</v>
          </cell>
          <cell r="H3220">
            <v>8915.6719687058194</v>
          </cell>
        </row>
        <row r="3221">
          <cell r="B3221" t="str">
            <v>STILLWATER 11011320</v>
          </cell>
          <cell r="C3221">
            <v>103561101</v>
          </cell>
          <cell r="D3221" t="str">
            <v>STILLWATER 1101</v>
          </cell>
          <cell r="E3221">
            <v>1320</v>
          </cell>
          <cell r="F3221" t="b">
            <v>0</v>
          </cell>
          <cell r="G3221">
            <v>32275.323934470802</v>
          </cell>
          <cell r="H3221">
            <v>31878.237642681099</v>
          </cell>
        </row>
        <row r="3222">
          <cell r="B3222" t="str">
            <v>STILLWATER 110148950</v>
          </cell>
          <cell r="C3222">
            <v>103561101</v>
          </cell>
          <cell r="D3222" t="str">
            <v>STILLWATER 1101</v>
          </cell>
          <cell r="E3222">
            <v>48950</v>
          </cell>
          <cell r="F3222" t="b">
            <v>0</v>
          </cell>
          <cell r="G3222">
            <v>20081.779314850199</v>
          </cell>
          <cell r="H3222">
            <v>20081.779314850199</v>
          </cell>
        </row>
        <row r="3223">
          <cell r="B3223" t="str">
            <v>STILLWATER 1101CB</v>
          </cell>
          <cell r="C3223">
            <v>103561101</v>
          </cell>
          <cell r="D3223" t="str">
            <v>STILLWATER 1101</v>
          </cell>
          <cell r="E3223" t="str">
            <v>CB</v>
          </cell>
          <cell r="F3223" t="b">
            <v>0</v>
          </cell>
          <cell r="G3223">
            <v>6895.2449411302096</v>
          </cell>
          <cell r="H3223">
            <v>6754.54129552832</v>
          </cell>
        </row>
        <row r="3224">
          <cell r="B3224" t="str">
            <v>STILLWATER 11021466</v>
          </cell>
          <cell r="C3224">
            <v>103561102</v>
          </cell>
          <cell r="D3224" t="str">
            <v>STILLWATER 1102</v>
          </cell>
          <cell r="E3224">
            <v>1466</v>
          </cell>
          <cell r="F3224" t="b">
            <v>0</v>
          </cell>
          <cell r="G3224">
            <v>33154.334908593803</v>
          </cell>
          <cell r="H3224">
            <v>33039.704095297202</v>
          </cell>
        </row>
        <row r="3225">
          <cell r="B3225" t="str">
            <v>STILLWATER 11021644</v>
          </cell>
          <cell r="C3225">
            <v>103561102</v>
          </cell>
          <cell r="D3225" t="str">
            <v>STILLWATER 1102</v>
          </cell>
          <cell r="E3225">
            <v>1644</v>
          </cell>
          <cell r="F3225" t="b">
            <v>0</v>
          </cell>
          <cell r="G3225">
            <v>36747.479036105302</v>
          </cell>
          <cell r="H3225">
            <v>36747.479036105302</v>
          </cell>
        </row>
        <row r="3226">
          <cell r="B3226" t="str">
            <v>STILLWATER 110248952</v>
          </cell>
          <cell r="C3226">
            <v>103561102</v>
          </cell>
          <cell r="D3226" t="str">
            <v>STILLWATER 1102</v>
          </cell>
          <cell r="E3226">
            <v>48952</v>
          </cell>
          <cell r="F3226" t="b">
            <v>0</v>
          </cell>
          <cell r="G3226">
            <v>17050.561891436799</v>
          </cell>
          <cell r="H3226">
            <v>17050.561891436799</v>
          </cell>
        </row>
        <row r="3227">
          <cell r="B3227" t="str">
            <v>STILLWATER 1102CB</v>
          </cell>
          <cell r="C3227">
            <v>103561102</v>
          </cell>
          <cell r="D3227" t="str">
            <v>STILLWATER 1102</v>
          </cell>
          <cell r="E3227" t="str">
            <v>CB</v>
          </cell>
          <cell r="F3227" t="b">
            <v>0</v>
          </cell>
          <cell r="G3227">
            <v>40316.424080252204</v>
          </cell>
          <cell r="H3227">
            <v>40301.339457957103</v>
          </cell>
        </row>
        <row r="3228">
          <cell r="B3228" t="str">
            <v>STONE CORRAL 11087100</v>
          </cell>
          <cell r="C3228">
            <v>252921108</v>
          </cell>
          <cell r="D3228" t="str">
            <v>STONE CORRAL 1108</v>
          </cell>
          <cell r="E3228">
            <v>7100</v>
          </cell>
          <cell r="F3228" t="b">
            <v>0</v>
          </cell>
          <cell r="G3228">
            <v>29355.792254752701</v>
          </cell>
          <cell r="H3228">
            <v>3757.8694088447301</v>
          </cell>
        </row>
        <row r="3229">
          <cell r="B3229" t="str">
            <v>STONE CORRAL 1110189488</v>
          </cell>
          <cell r="C3229">
            <v>252921110</v>
          </cell>
          <cell r="D3229" t="str">
            <v>STONE CORRAL 1110</v>
          </cell>
          <cell r="E3229">
            <v>189488</v>
          </cell>
          <cell r="F3229" t="b">
            <v>0</v>
          </cell>
          <cell r="G3229">
            <v>1343.2605150064201</v>
          </cell>
          <cell r="H3229">
            <v>1327.2584672533601</v>
          </cell>
        </row>
        <row r="3230">
          <cell r="B3230" t="str">
            <v>STONE CORRAL 1110894956</v>
          </cell>
          <cell r="C3230">
            <v>252921110</v>
          </cell>
          <cell r="D3230" t="str">
            <v>STONE CORRAL 1110</v>
          </cell>
          <cell r="E3230">
            <v>894956</v>
          </cell>
          <cell r="F3230" t="b">
            <v>0</v>
          </cell>
          <cell r="G3230">
            <v>2635.3423689399501</v>
          </cell>
          <cell r="H3230">
            <v>1243.2231407905099</v>
          </cell>
        </row>
        <row r="3231">
          <cell r="B3231" t="str">
            <v>STONE CORRAL 1110975698</v>
          </cell>
          <cell r="C3231">
            <v>252921110</v>
          </cell>
          <cell r="D3231" t="str">
            <v>STONE CORRAL 1110</v>
          </cell>
          <cell r="E3231">
            <v>975698</v>
          </cell>
          <cell r="F3231" t="b">
            <v>0</v>
          </cell>
          <cell r="G3231">
            <v>7671.0517102185404</v>
          </cell>
          <cell r="H3231">
            <v>1441.79841003611</v>
          </cell>
        </row>
        <row r="3232">
          <cell r="B3232" t="str">
            <v>SUMMIT 110147786</v>
          </cell>
          <cell r="C3232">
            <v>152591101</v>
          </cell>
          <cell r="D3232" t="str">
            <v>SUMMIT 1101</v>
          </cell>
          <cell r="E3232">
            <v>47786</v>
          </cell>
          <cell r="F3232" t="b">
            <v>0</v>
          </cell>
          <cell r="G3232">
            <v>2915.70361699255</v>
          </cell>
          <cell r="H3232">
            <v>2915.70361699255</v>
          </cell>
        </row>
        <row r="3233">
          <cell r="B3233" t="str">
            <v>SUMMIT 110148632</v>
          </cell>
          <cell r="C3233">
            <v>152591101</v>
          </cell>
          <cell r="D3233" t="str">
            <v>SUMMIT 1101</v>
          </cell>
          <cell r="E3233">
            <v>48632</v>
          </cell>
          <cell r="F3233" t="b">
            <v>0</v>
          </cell>
          <cell r="G3233">
            <v>4391.6286261974901</v>
          </cell>
          <cell r="H3233">
            <v>4391.6286261974901</v>
          </cell>
        </row>
        <row r="3234">
          <cell r="B3234" t="str">
            <v>SUMMIT 110148636</v>
          </cell>
          <cell r="C3234">
            <v>152591101</v>
          </cell>
          <cell r="D3234" t="str">
            <v>SUMMIT 1101</v>
          </cell>
          <cell r="E3234">
            <v>48636</v>
          </cell>
          <cell r="F3234" t="b">
            <v>1</v>
          </cell>
          <cell r="G3234">
            <v>4495.7291240427103</v>
          </cell>
          <cell r="H3234">
            <v>86.422194141487907</v>
          </cell>
        </row>
        <row r="3235">
          <cell r="B3235" t="str">
            <v>SUMMIT 110158642</v>
          </cell>
          <cell r="C3235">
            <v>152591101</v>
          </cell>
          <cell r="D3235" t="str">
            <v>SUMMIT 1101</v>
          </cell>
          <cell r="E3235">
            <v>58642</v>
          </cell>
          <cell r="F3235" t="b">
            <v>0</v>
          </cell>
          <cell r="G3235">
            <v>2892.0319065276499</v>
          </cell>
          <cell r="H3235">
            <v>2892.0319065276499</v>
          </cell>
        </row>
        <row r="3236">
          <cell r="B3236" t="str">
            <v>SUMMIT 11016627</v>
          </cell>
          <cell r="C3236">
            <v>152591101</v>
          </cell>
          <cell r="D3236" t="str">
            <v>SUMMIT 1101</v>
          </cell>
          <cell r="E3236">
            <v>6627</v>
          </cell>
          <cell r="F3236" t="b">
            <v>1</v>
          </cell>
          <cell r="G3236">
            <v>910.38076332187404</v>
          </cell>
          <cell r="H3236">
            <v>910.38076332187404</v>
          </cell>
        </row>
        <row r="3237">
          <cell r="B3237" t="str">
            <v>SUMMIT 1101742</v>
          </cell>
          <cell r="C3237">
            <v>152591101</v>
          </cell>
          <cell r="D3237" t="str">
            <v>SUMMIT 1101</v>
          </cell>
          <cell r="E3237">
            <v>742</v>
          </cell>
          <cell r="F3237" t="b">
            <v>0</v>
          </cell>
          <cell r="G3237">
            <v>2084.4879087343202</v>
          </cell>
          <cell r="H3237">
            <v>2084.4879087343202</v>
          </cell>
        </row>
        <row r="3238">
          <cell r="B3238" t="str">
            <v>SUMMIT 110186658</v>
          </cell>
          <cell r="C3238">
            <v>152591101</v>
          </cell>
          <cell r="D3238" t="str">
            <v>SUMMIT 1101</v>
          </cell>
          <cell r="E3238">
            <v>86658</v>
          </cell>
          <cell r="F3238" t="b">
            <v>0</v>
          </cell>
          <cell r="G3238">
            <v>1081.81201078612</v>
          </cell>
          <cell r="H3238">
            <v>1029.02785696466</v>
          </cell>
        </row>
        <row r="3239">
          <cell r="B3239" t="str">
            <v>SUMMIT 1101CB</v>
          </cell>
          <cell r="C3239">
            <v>152591101</v>
          </cell>
          <cell r="D3239" t="str">
            <v>SUMMIT 1101</v>
          </cell>
          <cell r="E3239" t="str">
            <v>CB</v>
          </cell>
          <cell r="F3239" t="b">
            <v>1</v>
          </cell>
          <cell r="G3239">
            <v>221.07967421796999</v>
          </cell>
          <cell r="H3239">
            <v>221.07967421796999</v>
          </cell>
        </row>
        <row r="3240">
          <cell r="B3240" t="str">
            <v>SUMMIT 11022302</v>
          </cell>
          <cell r="C3240">
            <v>152591102</v>
          </cell>
          <cell r="D3240" t="str">
            <v>SUMMIT 1102</v>
          </cell>
          <cell r="E3240">
            <v>2302</v>
          </cell>
          <cell r="F3240" t="b">
            <v>0</v>
          </cell>
          <cell r="G3240">
            <v>2152.93431759854</v>
          </cell>
          <cell r="H3240">
            <v>2152.93431759854</v>
          </cell>
        </row>
        <row r="3241">
          <cell r="B3241" t="str">
            <v>SUMMIT 110249484</v>
          </cell>
          <cell r="C3241">
            <v>152591102</v>
          </cell>
          <cell r="D3241" t="str">
            <v>SUMMIT 1102</v>
          </cell>
          <cell r="E3241">
            <v>49484</v>
          </cell>
          <cell r="F3241" t="b">
            <v>0</v>
          </cell>
          <cell r="G3241">
            <v>4257.4420789925098</v>
          </cell>
          <cell r="H3241">
            <v>4257.4420789925098</v>
          </cell>
        </row>
        <row r="3242">
          <cell r="B3242" t="str">
            <v>SUMMIT 1102CB</v>
          </cell>
          <cell r="C3242">
            <v>152591102</v>
          </cell>
          <cell r="D3242" t="str">
            <v>SUMMIT 1102</v>
          </cell>
          <cell r="E3242" t="str">
            <v>CB</v>
          </cell>
          <cell r="F3242" t="b">
            <v>0</v>
          </cell>
          <cell r="G3242">
            <v>1694.4121811436701</v>
          </cell>
          <cell r="H3242">
            <v>1694.4121811436701</v>
          </cell>
        </row>
        <row r="3243">
          <cell r="B3243" t="str">
            <v>SUNOL 110148180</v>
          </cell>
          <cell r="C3243">
            <v>14241101</v>
          </cell>
          <cell r="D3243" t="str">
            <v>SUNOL 1101</v>
          </cell>
          <cell r="E3243">
            <v>48180</v>
          </cell>
          <cell r="F3243" t="b">
            <v>1</v>
          </cell>
          <cell r="G3243">
            <v>21.150175937356899</v>
          </cell>
          <cell r="H3243">
            <v>21.150175937356899</v>
          </cell>
        </row>
        <row r="3244">
          <cell r="B3244" t="str">
            <v>SUNOL 11018721</v>
          </cell>
          <cell r="C3244">
            <v>14241101</v>
          </cell>
          <cell r="D3244" t="str">
            <v>SUNOL 1101</v>
          </cell>
          <cell r="E3244">
            <v>8721</v>
          </cell>
          <cell r="F3244" t="b">
            <v>0</v>
          </cell>
          <cell r="G3244">
            <v>4901.8588049807304</v>
          </cell>
          <cell r="H3244">
            <v>4400.8399232883203</v>
          </cell>
        </row>
        <row r="3245">
          <cell r="B3245" t="str">
            <v>SUNOL 1101CB</v>
          </cell>
          <cell r="C3245">
            <v>14241101</v>
          </cell>
          <cell r="D3245" t="str">
            <v>SUNOL 1101</v>
          </cell>
          <cell r="E3245" t="str">
            <v>CB</v>
          </cell>
          <cell r="F3245" t="b">
            <v>0</v>
          </cell>
          <cell r="G3245">
            <v>9278.02372706799</v>
          </cell>
          <cell r="H3245">
            <v>5281.0095167946201</v>
          </cell>
        </row>
        <row r="3246">
          <cell r="B3246" t="str">
            <v>SUNOL 1101MR169</v>
          </cell>
          <cell r="C3246">
            <v>14241101</v>
          </cell>
          <cell r="D3246" t="str">
            <v>SUNOL 1101</v>
          </cell>
          <cell r="E3246" t="str">
            <v>MR169</v>
          </cell>
          <cell r="F3246" t="b">
            <v>0</v>
          </cell>
          <cell r="G3246">
            <v>15006.413971276301</v>
          </cell>
          <cell r="H3246">
            <v>4976.4794538133701</v>
          </cell>
        </row>
        <row r="3247">
          <cell r="B3247" t="str">
            <v>SUNOL 1101MR196</v>
          </cell>
          <cell r="C3247">
            <v>14241101</v>
          </cell>
          <cell r="D3247" t="str">
            <v>SUNOL 1101</v>
          </cell>
          <cell r="E3247" t="str">
            <v>MR196</v>
          </cell>
          <cell r="F3247" t="b">
            <v>0</v>
          </cell>
          <cell r="G3247">
            <v>21187.467811600702</v>
          </cell>
          <cell r="H3247">
            <v>6333.1478211991698</v>
          </cell>
        </row>
        <row r="3248">
          <cell r="B3248" t="str">
            <v>SUNOL 1101MR297</v>
          </cell>
          <cell r="C3248">
            <v>14241101</v>
          </cell>
          <cell r="D3248" t="str">
            <v>SUNOL 1101</v>
          </cell>
          <cell r="E3248" t="str">
            <v>MR297</v>
          </cell>
          <cell r="F3248" t="b">
            <v>0</v>
          </cell>
          <cell r="G3248">
            <v>9710.6915346803198</v>
          </cell>
          <cell r="H3248">
            <v>9531.5764230487293</v>
          </cell>
        </row>
        <row r="3249">
          <cell r="B3249" t="str">
            <v>SUNOL 1101MR298</v>
          </cell>
          <cell r="C3249">
            <v>14241101</v>
          </cell>
          <cell r="D3249" t="str">
            <v>SUNOL 1101</v>
          </cell>
          <cell r="E3249" t="str">
            <v>MR298</v>
          </cell>
          <cell r="F3249" t="b">
            <v>0</v>
          </cell>
          <cell r="G3249">
            <v>8473.8005573158098</v>
          </cell>
          <cell r="H3249">
            <v>8244.1822055817993</v>
          </cell>
        </row>
        <row r="3250">
          <cell r="B3250" t="str">
            <v>SUNOL 1101MR299</v>
          </cell>
          <cell r="C3250">
            <v>14241101</v>
          </cell>
          <cell r="D3250" t="str">
            <v>SUNOL 1101</v>
          </cell>
          <cell r="E3250" t="str">
            <v>MR299</v>
          </cell>
          <cell r="F3250" t="b">
            <v>0</v>
          </cell>
          <cell r="G3250">
            <v>7955.2461685553499</v>
          </cell>
          <cell r="H3250">
            <v>7955.2461685553499</v>
          </cell>
        </row>
        <row r="3251">
          <cell r="B3251" t="str">
            <v>SUNOL 1101MR387</v>
          </cell>
          <cell r="C3251">
            <v>14241101</v>
          </cell>
          <cell r="D3251" t="str">
            <v>SUNOL 1101</v>
          </cell>
          <cell r="E3251" t="str">
            <v>MR387</v>
          </cell>
          <cell r="F3251" t="b">
            <v>0</v>
          </cell>
          <cell r="G3251">
            <v>8072.5306794767803</v>
          </cell>
          <cell r="H3251">
            <v>8065.9096039097503</v>
          </cell>
        </row>
        <row r="3252">
          <cell r="B3252" t="str">
            <v>SUNOL 1101MR650</v>
          </cell>
          <cell r="C3252">
            <v>14241101</v>
          </cell>
          <cell r="D3252" t="str">
            <v>SUNOL 1101</v>
          </cell>
          <cell r="E3252" t="str">
            <v>MR650</v>
          </cell>
          <cell r="F3252" t="b">
            <v>0</v>
          </cell>
          <cell r="G3252">
            <v>4320.1366242907998</v>
          </cell>
          <cell r="H3252">
            <v>2086.6412217441002</v>
          </cell>
        </row>
        <row r="3253">
          <cell r="B3253" t="str">
            <v>SWIFT 2102889948</v>
          </cell>
          <cell r="C3253">
            <v>83392102</v>
          </cell>
          <cell r="D3253" t="str">
            <v>SWIFT 2102</v>
          </cell>
          <cell r="E3253">
            <v>889948</v>
          </cell>
          <cell r="F3253" t="b">
            <v>1</v>
          </cell>
          <cell r="G3253">
            <v>2120.3673046100898</v>
          </cell>
          <cell r="H3253">
            <v>706.88773917304002</v>
          </cell>
        </row>
        <row r="3254">
          <cell r="B3254" t="str">
            <v>SWIFT 2107XR526</v>
          </cell>
          <cell r="C3254">
            <v>83392107</v>
          </cell>
          <cell r="D3254" t="str">
            <v>SWIFT 2107</v>
          </cell>
          <cell r="E3254" t="str">
            <v>XR526</v>
          </cell>
          <cell r="F3254" t="b">
            <v>0</v>
          </cell>
          <cell r="G3254">
            <v>8725.9017744535995</v>
          </cell>
          <cell r="H3254">
            <v>3365.6589223368301</v>
          </cell>
        </row>
        <row r="3255">
          <cell r="B3255" t="str">
            <v>SWIFT 2109XR300</v>
          </cell>
          <cell r="C3255">
            <v>83392109</v>
          </cell>
          <cell r="D3255" t="str">
            <v>SWIFT 2109</v>
          </cell>
          <cell r="E3255" t="str">
            <v>XR300</v>
          </cell>
          <cell r="F3255" t="b">
            <v>1</v>
          </cell>
          <cell r="G3255">
            <v>1391.39331694418</v>
          </cell>
          <cell r="H3255">
            <v>526.75555974945996</v>
          </cell>
        </row>
        <row r="3256">
          <cell r="B3256" t="str">
            <v>SWIFT 2110853720</v>
          </cell>
          <cell r="C3256">
            <v>83392110</v>
          </cell>
          <cell r="D3256" t="str">
            <v>SWIFT 2110</v>
          </cell>
          <cell r="E3256">
            <v>853720</v>
          </cell>
          <cell r="F3256" t="b">
            <v>0</v>
          </cell>
          <cell r="G3256">
            <v>50276.810788005401</v>
          </cell>
          <cell r="H3256">
            <v>50276.810788005401</v>
          </cell>
        </row>
        <row r="3257">
          <cell r="B3257" t="str">
            <v>SWIFT 2110XR254</v>
          </cell>
          <cell r="C3257">
            <v>83392110</v>
          </cell>
          <cell r="D3257" t="str">
            <v>SWIFT 2110</v>
          </cell>
          <cell r="E3257" t="str">
            <v>XR254</v>
          </cell>
          <cell r="F3257" t="b">
            <v>0</v>
          </cell>
          <cell r="G3257">
            <v>40510.534373798902</v>
          </cell>
          <cell r="H3257">
            <v>40510.534373798902</v>
          </cell>
        </row>
        <row r="3258">
          <cell r="B3258" t="str">
            <v>SWIFT 2110XR332</v>
          </cell>
          <cell r="C3258">
            <v>83392110</v>
          </cell>
          <cell r="D3258" t="str">
            <v>SWIFT 2110</v>
          </cell>
          <cell r="E3258" t="str">
            <v>XR332</v>
          </cell>
          <cell r="F3258" t="b">
            <v>0</v>
          </cell>
          <cell r="G3258">
            <v>29699.192182154198</v>
          </cell>
          <cell r="H3258">
            <v>29699.192182154198</v>
          </cell>
        </row>
        <row r="3259">
          <cell r="B3259" t="str">
            <v>SWIFT 2110XR366</v>
          </cell>
          <cell r="C3259">
            <v>83392110</v>
          </cell>
          <cell r="D3259" t="str">
            <v>SWIFT 2110</v>
          </cell>
          <cell r="E3259" t="str">
            <v>XR366</v>
          </cell>
          <cell r="F3259" t="b">
            <v>0</v>
          </cell>
          <cell r="G3259">
            <v>17766.113260770799</v>
          </cell>
          <cell r="H3259">
            <v>13567.802176974101</v>
          </cell>
        </row>
        <row r="3260">
          <cell r="B3260" t="str">
            <v>SYCAMORE CREEK 1109CB</v>
          </cell>
          <cell r="C3260">
            <v>102971109</v>
          </cell>
          <cell r="D3260" t="str">
            <v>SYCAMORE CREEK 1109</v>
          </cell>
          <cell r="E3260" t="str">
            <v>CB</v>
          </cell>
          <cell r="F3260" t="b">
            <v>1</v>
          </cell>
          <cell r="G3260">
            <v>14599.8126189595</v>
          </cell>
          <cell r="H3260">
            <v>271.15113908191</v>
          </cell>
        </row>
        <row r="3261">
          <cell r="B3261" t="str">
            <v>SYCAMORE CREEK 1111153260</v>
          </cell>
          <cell r="C3261">
            <v>102971111</v>
          </cell>
          <cell r="D3261" t="str">
            <v>SYCAMORE CREEK 1111</v>
          </cell>
          <cell r="E3261">
            <v>153260</v>
          </cell>
          <cell r="F3261" t="b">
            <v>1</v>
          </cell>
          <cell r="G3261">
            <v>424.45920930618098</v>
          </cell>
          <cell r="H3261">
            <v>424.45920930618098</v>
          </cell>
        </row>
        <row r="3262">
          <cell r="B3262" t="str">
            <v>SYCAMORE CREEK 11112014</v>
          </cell>
          <cell r="C3262">
            <v>102971111</v>
          </cell>
          <cell r="D3262" t="str">
            <v>SYCAMORE CREEK 1111</v>
          </cell>
          <cell r="E3262">
            <v>2014</v>
          </cell>
          <cell r="F3262" t="b">
            <v>0</v>
          </cell>
          <cell r="G3262">
            <v>35984.1334924697</v>
          </cell>
          <cell r="H3262">
            <v>35984.1334924697</v>
          </cell>
        </row>
        <row r="3263">
          <cell r="B3263" t="str">
            <v>SYCAMORE CREEK 11112268</v>
          </cell>
          <cell r="C3263">
            <v>102971111</v>
          </cell>
          <cell r="D3263" t="str">
            <v>SYCAMORE CREEK 1111</v>
          </cell>
          <cell r="E3263">
            <v>2268</v>
          </cell>
          <cell r="F3263" t="b">
            <v>0</v>
          </cell>
          <cell r="G3263">
            <v>35117.3515856222</v>
          </cell>
          <cell r="H3263">
            <v>35117.3515856222</v>
          </cell>
        </row>
        <row r="3264">
          <cell r="B3264" t="str">
            <v>SYCAMORE CREEK 1111976428</v>
          </cell>
          <cell r="C3264">
            <v>102971111</v>
          </cell>
          <cell r="D3264" t="str">
            <v>SYCAMORE CREEK 1111</v>
          </cell>
          <cell r="E3264">
            <v>976428</v>
          </cell>
          <cell r="F3264" t="b">
            <v>0</v>
          </cell>
          <cell r="G3264">
            <v>16955.249878886501</v>
          </cell>
          <cell r="H3264">
            <v>14081.5811757513</v>
          </cell>
        </row>
        <row r="3265">
          <cell r="B3265" t="str">
            <v>SYCAMORE CREEK 1111CB</v>
          </cell>
          <cell r="C3265">
            <v>102971111</v>
          </cell>
          <cell r="D3265" t="str">
            <v>SYCAMORE CREEK 1111</v>
          </cell>
          <cell r="E3265" t="str">
            <v>CB</v>
          </cell>
          <cell r="F3265" t="b">
            <v>1</v>
          </cell>
          <cell r="G3265">
            <v>11952.160818945</v>
          </cell>
          <cell r="H3265">
            <v>777.742287775367</v>
          </cell>
        </row>
        <row r="3266">
          <cell r="B3266" t="str">
            <v>TAMARACK 1101CB</v>
          </cell>
          <cell r="C3266">
            <v>152291101</v>
          </cell>
          <cell r="D3266" t="str">
            <v>TAMARACK 1101</v>
          </cell>
          <cell r="E3266" t="str">
            <v>CB</v>
          </cell>
          <cell r="F3266" t="b">
            <v>0</v>
          </cell>
          <cell r="G3266">
            <v>28734.8817151599</v>
          </cell>
          <cell r="H3266">
            <v>28123.7557667293</v>
          </cell>
        </row>
        <row r="3267">
          <cell r="B3267" t="str">
            <v>TAR FLAT 0401CB</v>
          </cell>
          <cell r="C3267">
            <v>163240401</v>
          </cell>
          <cell r="D3267" t="str">
            <v>TAR FLAT 0401</v>
          </cell>
          <cell r="E3267" t="str">
            <v>CB</v>
          </cell>
          <cell r="F3267" t="b">
            <v>0</v>
          </cell>
          <cell r="G3267">
            <v>5901.3043799277702</v>
          </cell>
          <cell r="H3267">
            <v>5623.7964397247397</v>
          </cell>
        </row>
        <row r="3268">
          <cell r="B3268" t="str">
            <v>TAR FLAT 04023144</v>
          </cell>
          <cell r="C3268">
            <v>163240402</v>
          </cell>
          <cell r="D3268" t="str">
            <v>TAR FLAT 0402</v>
          </cell>
          <cell r="E3268">
            <v>3144</v>
          </cell>
          <cell r="F3268" t="b">
            <v>0</v>
          </cell>
          <cell r="G3268">
            <v>8269.2516986043101</v>
          </cell>
          <cell r="H3268">
            <v>7828.9118603105599</v>
          </cell>
        </row>
        <row r="3269">
          <cell r="B3269" t="str">
            <v>TAR FLAT 0402CB</v>
          </cell>
          <cell r="C3269">
            <v>163240402</v>
          </cell>
          <cell r="D3269" t="str">
            <v>TAR FLAT 0402</v>
          </cell>
          <cell r="E3269" t="str">
            <v>CB</v>
          </cell>
          <cell r="F3269" t="b">
            <v>0</v>
          </cell>
          <cell r="G3269">
            <v>2354.3543490196598</v>
          </cell>
          <cell r="H3269">
            <v>1281.2411980769</v>
          </cell>
        </row>
        <row r="3270">
          <cell r="B3270" t="str">
            <v>TASSAJARA 2103557000</v>
          </cell>
          <cell r="C3270">
            <v>14662103</v>
          </cell>
          <cell r="D3270" t="str">
            <v>TASSAJARA 2103</v>
          </cell>
          <cell r="E3270">
            <v>557000</v>
          </cell>
          <cell r="F3270" t="b">
            <v>1</v>
          </cell>
          <cell r="G3270">
            <v>398.693333899452</v>
          </cell>
          <cell r="H3270">
            <v>335.03165975799402</v>
          </cell>
        </row>
        <row r="3271">
          <cell r="B3271" t="str">
            <v>TASSAJARA 2103CB</v>
          </cell>
          <cell r="C3271">
            <v>14662103</v>
          </cell>
          <cell r="D3271" t="str">
            <v>TASSAJARA 2103</v>
          </cell>
          <cell r="E3271" t="str">
            <v>CB</v>
          </cell>
          <cell r="F3271" t="b">
            <v>1</v>
          </cell>
          <cell r="G3271">
            <v>28346.007709377402</v>
          </cell>
          <cell r="H3271">
            <v>787.86230400835802</v>
          </cell>
        </row>
        <row r="3272">
          <cell r="B3272" t="str">
            <v>TASSAJARA 210419042</v>
          </cell>
          <cell r="C3272">
            <v>14662104</v>
          </cell>
          <cell r="D3272" t="str">
            <v>TASSAJARA 2104</v>
          </cell>
          <cell r="E3272">
            <v>19042</v>
          </cell>
          <cell r="F3272" t="b">
            <v>0</v>
          </cell>
          <cell r="G3272">
            <v>13701.0778009483</v>
          </cell>
          <cell r="H3272">
            <v>10069.7208648947</v>
          </cell>
        </row>
        <row r="3273">
          <cell r="B3273" t="str">
            <v>TASSAJARA 2104CB</v>
          </cell>
          <cell r="C3273">
            <v>14662104</v>
          </cell>
          <cell r="D3273" t="str">
            <v>TASSAJARA 2104</v>
          </cell>
          <cell r="E3273" t="str">
            <v>CB</v>
          </cell>
          <cell r="F3273" t="b">
            <v>1</v>
          </cell>
          <cell r="G3273">
            <v>1951.9603396610901</v>
          </cell>
          <cell r="H3273">
            <v>159.164466792496</v>
          </cell>
        </row>
        <row r="3274">
          <cell r="B3274" t="str">
            <v>TASSAJARA 2106203380</v>
          </cell>
          <cell r="C3274">
            <v>14662106</v>
          </cell>
          <cell r="D3274" t="str">
            <v>TASSAJARA 2106</v>
          </cell>
          <cell r="E3274">
            <v>203380</v>
          </cell>
          <cell r="F3274" t="b">
            <v>1</v>
          </cell>
          <cell r="G3274">
            <v>3178.29906759805</v>
          </cell>
          <cell r="H3274">
            <v>809.595645700006</v>
          </cell>
        </row>
        <row r="3275">
          <cell r="B3275" t="str">
            <v>TASSAJARA 210812712</v>
          </cell>
          <cell r="C3275">
            <v>14662108</v>
          </cell>
          <cell r="D3275" t="str">
            <v>TASSAJARA 2108</v>
          </cell>
          <cell r="E3275">
            <v>12712</v>
          </cell>
          <cell r="F3275" t="b">
            <v>0</v>
          </cell>
          <cell r="G3275">
            <v>5357.93414548905</v>
          </cell>
          <cell r="H3275">
            <v>1227.8520803209201</v>
          </cell>
        </row>
        <row r="3276">
          <cell r="B3276" t="str">
            <v>TASSAJARA 2108189700</v>
          </cell>
          <cell r="C3276">
            <v>14662108</v>
          </cell>
          <cell r="D3276" t="str">
            <v>TASSAJARA 2108</v>
          </cell>
          <cell r="E3276">
            <v>189700</v>
          </cell>
          <cell r="F3276" t="b">
            <v>1</v>
          </cell>
          <cell r="G3276">
            <v>2164.8557580970701</v>
          </cell>
          <cell r="H3276">
            <v>306.72543422674801</v>
          </cell>
        </row>
        <row r="3277">
          <cell r="B3277" t="str">
            <v>TASSAJARA 2108437582</v>
          </cell>
          <cell r="C3277">
            <v>14662108</v>
          </cell>
          <cell r="D3277" t="str">
            <v>TASSAJARA 2108</v>
          </cell>
          <cell r="E3277">
            <v>437582</v>
          </cell>
          <cell r="F3277" t="b">
            <v>0</v>
          </cell>
          <cell r="G3277">
            <v>3785.2973533240202</v>
          </cell>
          <cell r="H3277">
            <v>1172.62427767248</v>
          </cell>
        </row>
        <row r="3278">
          <cell r="B3278" t="str">
            <v>TASSAJARA 2108D520R</v>
          </cell>
          <cell r="C3278">
            <v>14662108</v>
          </cell>
          <cell r="D3278" t="str">
            <v>TASSAJARA 2108</v>
          </cell>
          <cell r="E3278" t="str">
            <v>D520R</v>
          </cell>
          <cell r="F3278" t="b">
            <v>1</v>
          </cell>
          <cell r="G3278">
            <v>5652.8622732386002</v>
          </cell>
          <cell r="H3278">
            <v>0</v>
          </cell>
        </row>
        <row r="3279">
          <cell r="B3279" t="str">
            <v>TASSAJARA 2109CB</v>
          </cell>
          <cell r="C3279">
            <v>14662109</v>
          </cell>
          <cell r="D3279" t="str">
            <v>TASSAJARA 2109</v>
          </cell>
          <cell r="E3279" t="str">
            <v>CB</v>
          </cell>
          <cell r="F3279" t="b">
            <v>0</v>
          </cell>
          <cell r="G3279">
            <v>3124.8791790978598</v>
          </cell>
          <cell r="H3279">
            <v>3111.1631426353101</v>
          </cell>
        </row>
        <row r="3280">
          <cell r="B3280" t="str">
            <v>TASSAJARA 21123202</v>
          </cell>
          <cell r="C3280">
            <v>14662112</v>
          </cell>
          <cell r="D3280" t="str">
            <v>TASSAJARA 2112</v>
          </cell>
          <cell r="E3280">
            <v>3202</v>
          </cell>
          <cell r="F3280" t="b">
            <v>1</v>
          </cell>
          <cell r="G3280">
            <v>630.30213807825101</v>
          </cell>
          <cell r="H3280">
            <v>630.30213807825101</v>
          </cell>
        </row>
        <row r="3281">
          <cell r="B3281" t="str">
            <v>TASSAJARA 211238868</v>
          </cell>
          <cell r="C3281">
            <v>14662112</v>
          </cell>
          <cell r="D3281" t="str">
            <v>TASSAJARA 2112</v>
          </cell>
          <cell r="E3281">
            <v>38868</v>
          </cell>
          <cell r="F3281" t="b">
            <v>0</v>
          </cell>
          <cell r="G3281">
            <v>6917.0796500685301</v>
          </cell>
          <cell r="H3281">
            <v>3119.12756395421</v>
          </cell>
        </row>
        <row r="3282">
          <cell r="B3282" t="str">
            <v>TASSAJARA 21126392</v>
          </cell>
          <cell r="C3282">
            <v>14662112</v>
          </cell>
          <cell r="D3282" t="str">
            <v>TASSAJARA 2112</v>
          </cell>
          <cell r="E3282">
            <v>6392</v>
          </cell>
          <cell r="F3282" t="b">
            <v>0</v>
          </cell>
          <cell r="G3282">
            <v>8838.9848129477305</v>
          </cell>
          <cell r="H3282">
            <v>8838.9848129477305</v>
          </cell>
        </row>
        <row r="3283">
          <cell r="B3283" t="str">
            <v>TASSAJARA 2112CB</v>
          </cell>
          <cell r="C3283">
            <v>14662112</v>
          </cell>
          <cell r="D3283" t="str">
            <v>TASSAJARA 2112</v>
          </cell>
          <cell r="E3283" t="str">
            <v>CB</v>
          </cell>
          <cell r="F3283" t="b">
            <v>1</v>
          </cell>
          <cell r="G3283">
            <v>2118.6497120680401</v>
          </cell>
          <cell r="H3283">
            <v>279.42973407494998</v>
          </cell>
        </row>
        <row r="3284">
          <cell r="B3284" t="str">
            <v>TASSAJARA 2112D514R</v>
          </cell>
          <cell r="C3284">
            <v>14662112</v>
          </cell>
          <cell r="D3284" t="str">
            <v>TASSAJARA 2112</v>
          </cell>
          <cell r="E3284" t="str">
            <v>D514R</v>
          </cell>
          <cell r="F3284" t="b">
            <v>0</v>
          </cell>
          <cell r="G3284">
            <v>7698.3806844168002</v>
          </cell>
          <cell r="H3284">
            <v>5032.0091454953599</v>
          </cell>
        </row>
        <row r="3285">
          <cell r="B3285" t="str">
            <v>TASSAJARA 2113MR276</v>
          </cell>
          <cell r="C3285">
            <v>14662113</v>
          </cell>
          <cell r="D3285" t="str">
            <v>TASSAJARA 2113</v>
          </cell>
          <cell r="E3285" t="str">
            <v>MR276</v>
          </cell>
          <cell r="F3285" t="b">
            <v>0</v>
          </cell>
          <cell r="G3285">
            <v>6265.9534949725303</v>
          </cell>
          <cell r="H3285">
            <v>6199.9698055271901</v>
          </cell>
        </row>
        <row r="3286">
          <cell r="B3286" t="str">
            <v>TEJON 11022455</v>
          </cell>
          <cell r="C3286">
            <v>252931102</v>
          </cell>
          <cell r="D3286" t="str">
            <v>TEJON 1102</v>
          </cell>
          <cell r="E3286">
            <v>2455</v>
          </cell>
          <cell r="F3286" t="b">
            <v>0</v>
          </cell>
          <cell r="G3286">
            <v>10165.576369468899</v>
          </cell>
          <cell r="H3286">
            <v>10165.576369468899</v>
          </cell>
        </row>
        <row r="3287">
          <cell r="B3287" t="str">
            <v>TEJON 11023751</v>
          </cell>
          <cell r="C3287">
            <v>252931102</v>
          </cell>
          <cell r="D3287" t="str">
            <v>TEJON 1102</v>
          </cell>
          <cell r="E3287">
            <v>3751</v>
          </cell>
          <cell r="F3287" t="b">
            <v>0</v>
          </cell>
          <cell r="G3287">
            <v>16451.173741306899</v>
          </cell>
          <cell r="H3287">
            <v>15802.8651205846</v>
          </cell>
        </row>
        <row r="3288">
          <cell r="B3288" t="str">
            <v>TEJON 11023760</v>
          </cell>
          <cell r="C3288">
            <v>252931102</v>
          </cell>
          <cell r="D3288" t="str">
            <v>TEJON 1102</v>
          </cell>
          <cell r="E3288">
            <v>3760</v>
          </cell>
          <cell r="F3288" t="b">
            <v>0</v>
          </cell>
          <cell r="G3288">
            <v>10446.6342991126</v>
          </cell>
          <cell r="H3288">
            <v>10415.8966891776</v>
          </cell>
        </row>
        <row r="3289">
          <cell r="B3289" t="str">
            <v>TEJON 1102732836</v>
          </cell>
          <cell r="C3289">
            <v>252931102</v>
          </cell>
          <cell r="D3289" t="str">
            <v>TEJON 1102</v>
          </cell>
          <cell r="E3289">
            <v>732836</v>
          </cell>
          <cell r="F3289" t="b">
            <v>0</v>
          </cell>
          <cell r="G3289">
            <v>24952.577557155899</v>
          </cell>
          <cell r="H3289">
            <v>18788.629298731099</v>
          </cell>
        </row>
        <row r="3290">
          <cell r="B3290" t="str">
            <v>TEJON 1103286542</v>
          </cell>
          <cell r="C3290">
            <v>252931103</v>
          </cell>
          <cell r="D3290" t="str">
            <v>TEJON 1103</v>
          </cell>
          <cell r="E3290">
            <v>286542</v>
          </cell>
          <cell r="F3290" t="b">
            <v>0</v>
          </cell>
          <cell r="G3290">
            <v>9381.8687095197693</v>
          </cell>
          <cell r="H3290">
            <v>3501.85590580794</v>
          </cell>
        </row>
        <row r="3291">
          <cell r="B3291" t="str">
            <v>TEMPLETON 2108A40</v>
          </cell>
          <cell r="C3291">
            <v>183052108</v>
          </cell>
          <cell r="D3291" t="str">
            <v>TEMPLETON 2108</v>
          </cell>
          <cell r="E3291" t="str">
            <v>A40</v>
          </cell>
          <cell r="F3291" t="b">
            <v>0</v>
          </cell>
          <cell r="G3291">
            <v>20639.890253563601</v>
          </cell>
          <cell r="H3291">
            <v>6084.3101431607201</v>
          </cell>
        </row>
        <row r="3292">
          <cell r="B3292" t="str">
            <v>TEMPLETON 2108A64</v>
          </cell>
          <cell r="C3292">
            <v>183052108</v>
          </cell>
          <cell r="D3292" t="str">
            <v>TEMPLETON 2108</v>
          </cell>
          <cell r="E3292" t="str">
            <v>A64</v>
          </cell>
          <cell r="F3292" t="b">
            <v>0</v>
          </cell>
          <cell r="G3292">
            <v>18905.942431251799</v>
          </cell>
          <cell r="H3292">
            <v>3242.50145226528</v>
          </cell>
        </row>
        <row r="3293">
          <cell r="B3293" t="str">
            <v>TEMPLETON 2110307832</v>
          </cell>
          <cell r="C3293">
            <v>183052110</v>
          </cell>
          <cell r="D3293" t="str">
            <v>TEMPLETON 2110</v>
          </cell>
          <cell r="E3293">
            <v>307832</v>
          </cell>
          <cell r="F3293" t="b">
            <v>0</v>
          </cell>
          <cell r="G3293">
            <v>22986.440969404</v>
          </cell>
          <cell r="H3293">
            <v>2614.1135843624202</v>
          </cell>
        </row>
        <row r="3294">
          <cell r="B3294" t="str">
            <v>TEMPLETON 2110317796</v>
          </cell>
          <cell r="C3294">
            <v>183052110</v>
          </cell>
          <cell r="D3294" t="str">
            <v>TEMPLETON 2110</v>
          </cell>
          <cell r="E3294">
            <v>317796</v>
          </cell>
          <cell r="F3294" t="b">
            <v>0</v>
          </cell>
          <cell r="G3294">
            <v>11760.0743754045</v>
          </cell>
          <cell r="H3294">
            <v>8148.5565564478702</v>
          </cell>
        </row>
        <row r="3295">
          <cell r="B3295" t="str">
            <v>TEMPLETON 2110901690</v>
          </cell>
          <cell r="C3295">
            <v>183052110</v>
          </cell>
          <cell r="D3295" t="str">
            <v>TEMPLETON 2110</v>
          </cell>
          <cell r="E3295">
            <v>901690</v>
          </cell>
          <cell r="F3295" t="b">
            <v>0</v>
          </cell>
          <cell r="G3295">
            <v>63574.449635389698</v>
          </cell>
          <cell r="H3295">
            <v>60028.263067619999</v>
          </cell>
        </row>
        <row r="3296">
          <cell r="B3296" t="str">
            <v>TEMPLETON 2110N30</v>
          </cell>
          <cell r="C3296">
            <v>183052110</v>
          </cell>
          <cell r="D3296" t="str">
            <v>TEMPLETON 2110</v>
          </cell>
          <cell r="E3296" t="str">
            <v>N30</v>
          </cell>
          <cell r="F3296" t="b">
            <v>0</v>
          </cell>
          <cell r="G3296">
            <v>32768.323772588497</v>
          </cell>
          <cell r="H3296">
            <v>32768.323772588497</v>
          </cell>
        </row>
        <row r="3297">
          <cell r="B3297" t="str">
            <v>TEMPLETON 2110N32</v>
          </cell>
          <cell r="C3297">
            <v>183052110</v>
          </cell>
          <cell r="D3297" t="str">
            <v>TEMPLETON 2110</v>
          </cell>
          <cell r="E3297" t="str">
            <v>N32</v>
          </cell>
          <cell r="F3297" t="b">
            <v>0</v>
          </cell>
          <cell r="G3297">
            <v>47644.410489400201</v>
          </cell>
          <cell r="H3297">
            <v>47470.959716091202</v>
          </cell>
        </row>
        <row r="3298">
          <cell r="B3298" t="str">
            <v>TEMPLETON 2110R90</v>
          </cell>
          <cell r="C3298">
            <v>183052110</v>
          </cell>
          <cell r="D3298" t="str">
            <v>TEMPLETON 2110</v>
          </cell>
          <cell r="E3298" t="str">
            <v>R90</v>
          </cell>
          <cell r="F3298" t="b">
            <v>0</v>
          </cell>
          <cell r="G3298">
            <v>56951.178407305997</v>
          </cell>
          <cell r="H3298">
            <v>48580.678139080497</v>
          </cell>
        </row>
        <row r="3299">
          <cell r="B3299" t="str">
            <v>TEMPLETON 2110R94</v>
          </cell>
          <cell r="C3299">
            <v>183052110</v>
          </cell>
          <cell r="D3299" t="str">
            <v>TEMPLETON 2110</v>
          </cell>
          <cell r="E3299" t="str">
            <v>R94</v>
          </cell>
          <cell r="F3299" t="b">
            <v>0</v>
          </cell>
          <cell r="G3299">
            <v>33827.900910598</v>
          </cell>
          <cell r="H3299">
            <v>22380.658579505998</v>
          </cell>
        </row>
        <row r="3300">
          <cell r="B3300" t="str">
            <v>TEMPLETON 2111A66</v>
          </cell>
          <cell r="C3300">
            <v>183052111</v>
          </cell>
          <cell r="D3300" t="str">
            <v>TEMPLETON 2111</v>
          </cell>
          <cell r="E3300" t="str">
            <v>A66</v>
          </cell>
          <cell r="F3300" t="b">
            <v>0</v>
          </cell>
          <cell r="G3300">
            <v>54313.838061549097</v>
          </cell>
          <cell r="H3300">
            <v>54313.838061549097</v>
          </cell>
        </row>
        <row r="3301">
          <cell r="B3301" t="str">
            <v>TEMPLETON 2111CB</v>
          </cell>
          <cell r="C3301">
            <v>183052111</v>
          </cell>
          <cell r="D3301" t="str">
            <v>TEMPLETON 2111</v>
          </cell>
          <cell r="E3301" t="str">
            <v>CB</v>
          </cell>
          <cell r="F3301" t="b">
            <v>0</v>
          </cell>
          <cell r="G3301">
            <v>17908.511816465299</v>
          </cell>
          <cell r="H3301">
            <v>3627.2584493637301</v>
          </cell>
        </row>
        <row r="3302">
          <cell r="B3302" t="str">
            <v>TEMPLETON 2111R86</v>
          </cell>
          <cell r="C3302">
            <v>183052111</v>
          </cell>
          <cell r="D3302" t="str">
            <v>TEMPLETON 2111</v>
          </cell>
          <cell r="E3302" t="str">
            <v>R86</v>
          </cell>
          <cell r="F3302" t="b">
            <v>0</v>
          </cell>
          <cell r="G3302">
            <v>23197.454736549302</v>
          </cell>
          <cell r="H3302">
            <v>17574.2947040039</v>
          </cell>
        </row>
        <row r="3303">
          <cell r="B3303" t="str">
            <v>TEMPLETON 2112116402</v>
          </cell>
          <cell r="C3303">
            <v>183052112</v>
          </cell>
          <cell r="D3303" t="str">
            <v>TEMPLETON 2112</v>
          </cell>
          <cell r="E3303">
            <v>116402</v>
          </cell>
          <cell r="F3303" t="b">
            <v>0</v>
          </cell>
          <cell r="G3303">
            <v>11255.0357287526</v>
          </cell>
          <cell r="H3303">
            <v>3810.8828482018098</v>
          </cell>
        </row>
        <row r="3304">
          <cell r="B3304" t="str">
            <v>TEMPLETON 2112238418</v>
          </cell>
          <cell r="C3304">
            <v>183052112</v>
          </cell>
          <cell r="D3304" t="str">
            <v>TEMPLETON 2112</v>
          </cell>
          <cell r="E3304">
            <v>238418</v>
          </cell>
          <cell r="F3304" t="b">
            <v>1</v>
          </cell>
          <cell r="G3304">
            <v>1291.25204704408</v>
          </cell>
          <cell r="H3304">
            <v>331.23840147292901</v>
          </cell>
        </row>
        <row r="3305">
          <cell r="B3305" t="str">
            <v>TEMPLETON 21132949</v>
          </cell>
          <cell r="C3305">
            <v>183052113</v>
          </cell>
          <cell r="D3305" t="str">
            <v>TEMPLETON 2113</v>
          </cell>
          <cell r="E3305">
            <v>2949</v>
          </cell>
          <cell r="F3305" t="b">
            <v>1</v>
          </cell>
          <cell r="G3305">
            <v>766.57185354347905</v>
          </cell>
          <cell r="H3305">
            <v>766.57185354347905</v>
          </cell>
        </row>
        <row r="3306">
          <cell r="B3306" t="str">
            <v>TEMPLETON 2113641367</v>
          </cell>
          <cell r="C3306">
            <v>183052113</v>
          </cell>
          <cell r="D3306" t="str">
            <v>TEMPLETON 2113</v>
          </cell>
          <cell r="E3306">
            <v>641367</v>
          </cell>
          <cell r="F3306" t="b">
            <v>0</v>
          </cell>
          <cell r="G3306">
            <v>63879.290090131399</v>
          </cell>
          <cell r="H3306">
            <v>63879.290090131399</v>
          </cell>
        </row>
        <row r="3307">
          <cell r="B3307" t="str">
            <v>TEMPLETON 2113A08</v>
          </cell>
          <cell r="C3307">
            <v>183052113</v>
          </cell>
          <cell r="D3307" t="str">
            <v>TEMPLETON 2113</v>
          </cell>
          <cell r="E3307" t="str">
            <v>A08</v>
          </cell>
          <cell r="F3307" t="b">
            <v>0</v>
          </cell>
          <cell r="G3307">
            <v>39406.659701079501</v>
          </cell>
          <cell r="H3307">
            <v>16842.518635528599</v>
          </cell>
        </row>
        <row r="3308">
          <cell r="B3308" t="str">
            <v>TEMPLETON 2113A10</v>
          </cell>
          <cell r="C3308">
            <v>183052113</v>
          </cell>
          <cell r="D3308" t="str">
            <v>TEMPLETON 2113</v>
          </cell>
          <cell r="E3308" t="str">
            <v>A10</v>
          </cell>
          <cell r="F3308" t="b">
            <v>0</v>
          </cell>
          <cell r="G3308">
            <v>49945.6996420863</v>
          </cell>
          <cell r="H3308">
            <v>49945.6996420863</v>
          </cell>
        </row>
        <row r="3309">
          <cell r="B3309" t="str">
            <v>TEMPLETON 2113A12</v>
          </cell>
          <cell r="C3309">
            <v>183052113</v>
          </cell>
          <cell r="D3309" t="str">
            <v>TEMPLETON 2113</v>
          </cell>
          <cell r="E3309" t="str">
            <v>A12</v>
          </cell>
          <cell r="F3309" t="b">
            <v>0</v>
          </cell>
          <cell r="G3309">
            <v>64854.514391525903</v>
          </cell>
          <cell r="H3309">
            <v>64854.514391525903</v>
          </cell>
        </row>
        <row r="3310">
          <cell r="B3310" t="str">
            <v>TEMPLETON 2113A20</v>
          </cell>
          <cell r="C3310">
            <v>183052113</v>
          </cell>
          <cell r="D3310" t="str">
            <v>TEMPLETON 2113</v>
          </cell>
          <cell r="E3310" t="str">
            <v>A20</v>
          </cell>
          <cell r="F3310" t="b">
            <v>0</v>
          </cell>
          <cell r="G3310">
            <v>12666.422828729799</v>
          </cell>
          <cell r="H3310">
            <v>11999.0834893215</v>
          </cell>
        </row>
        <row r="3311">
          <cell r="B3311" t="str">
            <v>TEMPLETON 2113A30</v>
          </cell>
          <cell r="C3311">
            <v>183052113</v>
          </cell>
          <cell r="D3311" t="str">
            <v>TEMPLETON 2113</v>
          </cell>
          <cell r="E3311" t="str">
            <v>A30</v>
          </cell>
          <cell r="F3311" t="b">
            <v>1</v>
          </cell>
          <cell r="G3311">
            <v>2568.4190050533698</v>
          </cell>
          <cell r="H3311">
            <v>401.10460428001801</v>
          </cell>
        </row>
        <row r="3312">
          <cell r="B3312" t="str">
            <v>TEMPLETON 2113A32</v>
          </cell>
          <cell r="C3312">
            <v>183052113</v>
          </cell>
          <cell r="D3312" t="str">
            <v>TEMPLETON 2113</v>
          </cell>
          <cell r="E3312" t="str">
            <v>A32</v>
          </cell>
          <cell r="F3312" t="b">
            <v>0</v>
          </cell>
          <cell r="G3312">
            <v>9519.6112701278107</v>
          </cell>
          <cell r="H3312">
            <v>2633.38047003561</v>
          </cell>
        </row>
        <row r="3313">
          <cell r="B3313" t="str">
            <v>TEMPLETON 2113A60</v>
          </cell>
          <cell r="C3313">
            <v>183052113</v>
          </cell>
          <cell r="D3313" t="str">
            <v>TEMPLETON 2113</v>
          </cell>
          <cell r="E3313" t="str">
            <v>A60</v>
          </cell>
          <cell r="F3313" t="b">
            <v>0</v>
          </cell>
          <cell r="G3313">
            <v>14423.323330270099</v>
          </cell>
          <cell r="H3313">
            <v>11709.095351596199</v>
          </cell>
        </row>
        <row r="3314">
          <cell r="B3314" t="str">
            <v>TEMPLETON 2113A70</v>
          </cell>
          <cell r="C3314">
            <v>183052113</v>
          </cell>
          <cell r="D3314" t="str">
            <v>TEMPLETON 2113</v>
          </cell>
          <cell r="E3314" t="str">
            <v>A70</v>
          </cell>
          <cell r="F3314" t="b">
            <v>0</v>
          </cell>
          <cell r="G3314">
            <v>107377.73314761699</v>
          </cell>
          <cell r="H3314">
            <v>39764.028504659596</v>
          </cell>
        </row>
        <row r="3315">
          <cell r="B3315" t="str">
            <v>TEMPLETON 2113CB</v>
          </cell>
          <cell r="C3315">
            <v>183052113</v>
          </cell>
          <cell r="D3315" t="str">
            <v>TEMPLETON 2113</v>
          </cell>
          <cell r="E3315" t="str">
            <v>CB</v>
          </cell>
          <cell r="F3315" t="b">
            <v>0</v>
          </cell>
          <cell r="G3315">
            <v>41366.512127152499</v>
          </cell>
          <cell r="H3315">
            <v>1446.4902917504201</v>
          </cell>
        </row>
        <row r="3316">
          <cell r="B3316" t="str">
            <v>TEMPLETON 2113R82</v>
          </cell>
          <cell r="C3316">
            <v>183052113</v>
          </cell>
          <cell r="D3316" t="str">
            <v>TEMPLETON 2113</v>
          </cell>
          <cell r="E3316" t="str">
            <v>R82</v>
          </cell>
          <cell r="F3316" t="b">
            <v>0</v>
          </cell>
          <cell r="G3316">
            <v>111857.956298973</v>
          </cell>
          <cell r="H3316">
            <v>61789.4024993325</v>
          </cell>
        </row>
        <row r="3317">
          <cell r="B3317" t="str">
            <v>TIDEWATER 210614072</v>
          </cell>
          <cell r="C3317">
            <v>14652106</v>
          </cell>
          <cell r="D3317" t="str">
            <v>TIDEWATER 2106</v>
          </cell>
          <cell r="E3317">
            <v>14072</v>
          </cell>
          <cell r="F3317" t="b">
            <v>0</v>
          </cell>
          <cell r="G3317">
            <v>6206.8729110448803</v>
          </cell>
          <cell r="H3317">
            <v>5897.31174498563</v>
          </cell>
        </row>
        <row r="3318">
          <cell r="B3318" t="str">
            <v>TIDEWATER 210657926</v>
          </cell>
          <cell r="C3318">
            <v>14652106</v>
          </cell>
          <cell r="D3318" t="str">
            <v>TIDEWATER 2106</v>
          </cell>
          <cell r="E3318">
            <v>57926</v>
          </cell>
          <cell r="F3318" t="b">
            <v>1</v>
          </cell>
          <cell r="G3318">
            <v>18926.972373261098</v>
          </cell>
          <cell r="H3318">
            <v>200.791596720439</v>
          </cell>
        </row>
        <row r="3319">
          <cell r="B3319" t="str">
            <v>TIDEWATER 210665866</v>
          </cell>
          <cell r="C3319">
            <v>14652106</v>
          </cell>
          <cell r="D3319" t="str">
            <v>TIDEWATER 2106</v>
          </cell>
          <cell r="E3319">
            <v>65866</v>
          </cell>
          <cell r="F3319" t="b">
            <v>0</v>
          </cell>
          <cell r="G3319">
            <v>13028.5461495703</v>
          </cell>
          <cell r="H3319">
            <v>5501.1432040187201</v>
          </cell>
        </row>
        <row r="3320">
          <cell r="B3320" t="str">
            <v>TIDEWATER 2106745811</v>
          </cell>
          <cell r="C3320">
            <v>14652106</v>
          </cell>
          <cell r="D3320" t="str">
            <v>TIDEWATER 2106</v>
          </cell>
          <cell r="E3320">
            <v>745811</v>
          </cell>
          <cell r="F3320" t="b">
            <v>1</v>
          </cell>
          <cell r="G3320">
            <v>780.42601939451004</v>
          </cell>
          <cell r="H3320">
            <v>641.291639286394</v>
          </cell>
        </row>
        <row r="3321">
          <cell r="B3321" t="str">
            <v>TIDEWATER 2106781445</v>
          </cell>
          <cell r="C3321">
            <v>14652106</v>
          </cell>
          <cell r="D3321" t="str">
            <v>TIDEWATER 2106</v>
          </cell>
          <cell r="E3321">
            <v>781445</v>
          </cell>
          <cell r="F3321" t="b">
            <v>1</v>
          </cell>
          <cell r="G3321">
            <v>577.88771487984002</v>
          </cell>
          <cell r="H3321">
            <v>405.53649089548401</v>
          </cell>
        </row>
        <row r="3322">
          <cell r="B3322" t="str">
            <v>TIGER CREEK 0201CB</v>
          </cell>
          <cell r="C3322">
            <v>161380201</v>
          </cell>
          <cell r="D3322" t="str">
            <v>TIGER CREEK 0201</v>
          </cell>
          <cell r="E3322" t="str">
            <v>CB</v>
          </cell>
          <cell r="F3322" t="b">
            <v>0</v>
          </cell>
          <cell r="G3322">
            <v>6022.6717613153896</v>
          </cell>
          <cell r="H3322">
            <v>6022.6717613153896</v>
          </cell>
        </row>
        <row r="3323">
          <cell r="B3323" t="str">
            <v>TIVY VALLEY 110737522</v>
          </cell>
          <cell r="C3323">
            <v>252941107</v>
          </cell>
          <cell r="D3323" t="str">
            <v>TIVY VALLEY 1107</v>
          </cell>
          <cell r="E3323">
            <v>37522</v>
          </cell>
          <cell r="F3323" t="b">
            <v>1</v>
          </cell>
          <cell r="G3323">
            <v>4999.56715901395</v>
          </cell>
          <cell r="H3323">
            <v>833.62965746589896</v>
          </cell>
        </row>
        <row r="3324">
          <cell r="B3324" t="str">
            <v>TIVY VALLEY 1107584840</v>
          </cell>
          <cell r="C3324">
            <v>252941107</v>
          </cell>
          <cell r="D3324" t="str">
            <v>TIVY VALLEY 1107</v>
          </cell>
          <cell r="E3324">
            <v>584840</v>
          </cell>
          <cell r="F3324" t="b">
            <v>0</v>
          </cell>
          <cell r="G3324">
            <v>72531.106408262494</v>
          </cell>
          <cell r="H3324">
            <v>72531.106408262494</v>
          </cell>
        </row>
        <row r="3325">
          <cell r="B3325" t="str">
            <v>TIVY VALLEY 1107599142</v>
          </cell>
          <cell r="C3325">
            <v>252941107</v>
          </cell>
          <cell r="D3325" t="str">
            <v>TIVY VALLEY 1107</v>
          </cell>
          <cell r="E3325">
            <v>599142</v>
          </cell>
          <cell r="F3325" t="b">
            <v>1</v>
          </cell>
          <cell r="G3325">
            <v>3668.63376483715</v>
          </cell>
          <cell r="H3325">
            <v>573.31047687403998</v>
          </cell>
        </row>
        <row r="3326">
          <cell r="B3326" t="str">
            <v>TIVY VALLEY 11077380</v>
          </cell>
          <cell r="C3326">
            <v>252941107</v>
          </cell>
          <cell r="D3326" t="str">
            <v>TIVY VALLEY 1107</v>
          </cell>
          <cell r="E3326">
            <v>7380</v>
          </cell>
          <cell r="F3326" t="b">
            <v>0</v>
          </cell>
          <cell r="G3326">
            <v>45386.741567837198</v>
          </cell>
          <cell r="H3326">
            <v>20845.5532679346</v>
          </cell>
        </row>
        <row r="3327">
          <cell r="B3327" t="str">
            <v>TIVY VALLEY 1107822606</v>
          </cell>
          <cell r="C3327">
            <v>252941107</v>
          </cell>
          <cell r="D3327" t="str">
            <v>TIVY VALLEY 1107</v>
          </cell>
          <cell r="E3327">
            <v>822606</v>
          </cell>
          <cell r="F3327" t="b">
            <v>0</v>
          </cell>
          <cell r="G3327">
            <v>29230.095385437799</v>
          </cell>
          <cell r="H3327">
            <v>21701.946605641398</v>
          </cell>
        </row>
        <row r="3328">
          <cell r="B3328" t="str">
            <v>TIVY VALLEY 1107869946</v>
          </cell>
          <cell r="C3328">
            <v>252941107</v>
          </cell>
          <cell r="D3328" t="str">
            <v>TIVY VALLEY 1107</v>
          </cell>
          <cell r="E3328">
            <v>869946</v>
          </cell>
          <cell r="F3328" t="b">
            <v>0</v>
          </cell>
          <cell r="G3328">
            <v>47850.899969511098</v>
          </cell>
          <cell r="H3328">
            <v>47850.899969511098</v>
          </cell>
        </row>
        <row r="3329">
          <cell r="B3329" t="str">
            <v>TIVY VALLEY 1107CB</v>
          </cell>
          <cell r="C3329">
            <v>252941107</v>
          </cell>
          <cell r="D3329" t="str">
            <v>TIVY VALLEY 1107</v>
          </cell>
          <cell r="E3329" t="str">
            <v>CB</v>
          </cell>
          <cell r="F3329" t="b">
            <v>1</v>
          </cell>
          <cell r="G3329">
            <v>35309.480146135698</v>
          </cell>
          <cell r="H3329">
            <v>290.05308060245699</v>
          </cell>
        </row>
        <row r="3330">
          <cell r="B3330" t="str">
            <v>TIVY VALLEY 1107R1817</v>
          </cell>
          <cell r="C3330">
            <v>252941107</v>
          </cell>
          <cell r="D3330" t="str">
            <v>TIVY VALLEY 1107</v>
          </cell>
          <cell r="E3330" t="str">
            <v>R1817</v>
          </cell>
          <cell r="F3330" t="b">
            <v>0</v>
          </cell>
          <cell r="G3330">
            <v>31029.218735535</v>
          </cell>
          <cell r="H3330">
            <v>31029.218735535</v>
          </cell>
        </row>
        <row r="3331">
          <cell r="B3331" t="str">
            <v>TOCALOMA 0241CB</v>
          </cell>
          <cell r="C3331">
            <v>43150241</v>
          </cell>
          <cell r="D3331" t="str">
            <v>TOCALOMA 0241</v>
          </cell>
          <cell r="E3331" t="str">
            <v>CB</v>
          </cell>
          <cell r="F3331" t="b">
            <v>1</v>
          </cell>
          <cell r="G3331">
            <v>26.5151306552813</v>
          </cell>
          <cell r="H3331">
            <v>26.5151306552813</v>
          </cell>
        </row>
        <row r="3332">
          <cell r="B3332" t="str">
            <v>TRES PINOS 1111203126</v>
          </cell>
          <cell r="C3332">
            <v>183221111</v>
          </cell>
          <cell r="D3332" t="str">
            <v>TRES PINOS 1111</v>
          </cell>
          <cell r="E3332">
            <v>203126</v>
          </cell>
          <cell r="F3332" t="b">
            <v>1</v>
          </cell>
          <cell r="G3332">
            <v>10848.700135978301</v>
          </cell>
          <cell r="H3332">
            <v>107.461119208684</v>
          </cell>
        </row>
        <row r="3333">
          <cell r="B3333" t="str">
            <v>TRIDAM POWERHOUSE 2101CB</v>
          </cell>
          <cell r="C3333">
            <v>168152101</v>
          </cell>
          <cell r="D3333" t="str">
            <v>TRIDAM POWERHOUSE 2101</v>
          </cell>
          <cell r="E3333" t="str">
            <v>CB</v>
          </cell>
          <cell r="F3333" t="b">
            <v>1</v>
          </cell>
          <cell r="G3333">
            <v>80.995405193164402</v>
          </cell>
          <cell r="H3333">
            <v>80.995405193164402</v>
          </cell>
        </row>
        <row r="3334">
          <cell r="B3334" t="str">
            <v>TULE POWER HOUSE 1101CB</v>
          </cell>
          <cell r="C3334">
            <v>258591101</v>
          </cell>
          <cell r="D3334" t="str">
            <v>TULE POWER HOUSE 1101</v>
          </cell>
          <cell r="E3334" t="str">
            <v>CB</v>
          </cell>
          <cell r="F3334" t="b">
            <v>0</v>
          </cell>
          <cell r="G3334">
            <v>6570.8000181588704</v>
          </cell>
          <cell r="H3334">
            <v>6570.8000181588704</v>
          </cell>
        </row>
        <row r="3335">
          <cell r="B3335" t="str">
            <v>TULUCAY 1101504524</v>
          </cell>
          <cell r="C3335">
            <v>42301101</v>
          </cell>
          <cell r="D3335" t="str">
            <v>TULUCAY 1101</v>
          </cell>
          <cell r="E3335">
            <v>504524</v>
          </cell>
          <cell r="F3335" t="b">
            <v>1</v>
          </cell>
          <cell r="G3335">
            <v>2446.5239604860499</v>
          </cell>
          <cell r="H3335">
            <v>610.09910824704605</v>
          </cell>
        </row>
        <row r="3336">
          <cell r="B3336" t="str">
            <v>TULUCAY 1101628</v>
          </cell>
          <cell r="C3336">
            <v>42301101</v>
          </cell>
          <cell r="D3336" t="str">
            <v>TULUCAY 1101</v>
          </cell>
          <cell r="E3336">
            <v>628</v>
          </cell>
          <cell r="F3336" t="b">
            <v>0</v>
          </cell>
          <cell r="G3336">
            <v>14091.110488017999</v>
          </cell>
          <cell r="H3336">
            <v>6713.6414156599603</v>
          </cell>
        </row>
        <row r="3337">
          <cell r="B3337" t="str">
            <v>TYLER 11051536</v>
          </cell>
          <cell r="C3337">
            <v>103571105</v>
          </cell>
          <cell r="D3337" t="str">
            <v>TYLER 1105</v>
          </cell>
          <cell r="E3337">
            <v>1536</v>
          </cell>
          <cell r="F3337" t="b">
            <v>0</v>
          </cell>
          <cell r="G3337">
            <v>29066.107631232499</v>
          </cell>
          <cell r="H3337">
            <v>28603.814933089001</v>
          </cell>
        </row>
        <row r="3338">
          <cell r="B3338" t="str">
            <v>TYLER 1105816852</v>
          </cell>
          <cell r="C3338">
            <v>103571105</v>
          </cell>
          <cell r="D3338" t="str">
            <v>TYLER 1105</v>
          </cell>
          <cell r="E3338">
            <v>816852</v>
          </cell>
          <cell r="F3338" t="b">
            <v>0</v>
          </cell>
          <cell r="G3338">
            <v>70141.746645085805</v>
          </cell>
          <cell r="H3338">
            <v>20545.687609765999</v>
          </cell>
        </row>
        <row r="3339">
          <cell r="B3339" t="str">
            <v>TYLER 110585132</v>
          </cell>
          <cell r="C3339">
            <v>103571105</v>
          </cell>
          <cell r="D3339" t="str">
            <v>TYLER 1105</v>
          </cell>
          <cell r="E3339">
            <v>85132</v>
          </cell>
          <cell r="F3339" t="b">
            <v>0</v>
          </cell>
          <cell r="G3339">
            <v>50093.018916872497</v>
          </cell>
          <cell r="H3339">
            <v>50093.018916872497</v>
          </cell>
        </row>
        <row r="3340">
          <cell r="B3340" t="str">
            <v>UKIAH 1111168892</v>
          </cell>
          <cell r="C3340">
            <v>42771111</v>
          </cell>
          <cell r="D3340" t="str">
            <v>UKIAH 1111</v>
          </cell>
          <cell r="E3340">
            <v>168892</v>
          </cell>
          <cell r="F3340" t="b">
            <v>1</v>
          </cell>
          <cell r="G3340">
            <v>1078.2209172952801</v>
          </cell>
          <cell r="H3340">
            <v>264.32074702938098</v>
          </cell>
        </row>
        <row r="3341">
          <cell r="B3341" t="str">
            <v>UKIAH 1111534</v>
          </cell>
          <cell r="C3341">
            <v>42771111</v>
          </cell>
          <cell r="D3341" t="str">
            <v>UKIAH 1111</v>
          </cell>
          <cell r="E3341">
            <v>534</v>
          </cell>
          <cell r="F3341" t="b">
            <v>0</v>
          </cell>
          <cell r="G3341">
            <v>33775.849653717501</v>
          </cell>
          <cell r="H3341">
            <v>30432.339923334399</v>
          </cell>
        </row>
        <row r="3342">
          <cell r="B3342" t="str">
            <v>UKIAH 1111807988</v>
          </cell>
          <cell r="C3342">
            <v>42771111</v>
          </cell>
          <cell r="D3342" t="str">
            <v>UKIAH 1111</v>
          </cell>
          <cell r="E3342">
            <v>807988</v>
          </cell>
          <cell r="F3342" t="b">
            <v>0</v>
          </cell>
          <cell r="G3342">
            <v>6722.2778725561202</v>
          </cell>
          <cell r="H3342">
            <v>6706.24770917961</v>
          </cell>
        </row>
        <row r="3343">
          <cell r="B3343" t="str">
            <v>UKIAH 1113548420</v>
          </cell>
          <cell r="C3343">
            <v>42771113</v>
          </cell>
          <cell r="D3343" t="str">
            <v>UKIAH 1113</v>
          </cell>
          <cell r="E3343">
            <v>548420</v>
          </cell>
          <cell r="F3343" t="b">
            <v>0</v>
          </cell>
          <cell r="G3343">
            <v>8380.7958162259092</v>
          </cell>
          <cell r="H3343">
            <v>8369.7684400997896</v>
          </cell>
        </row>
        <row r="3344">
          <cell r="B3344" t="str">
            <v>UKIAH 1113658899</v>
          </cell>
          <cell r="C3344">
            <v>42771113</v>
          </cell>
          <cell r="D3344" t="str">
            <v>UKIAH 1113</v>
          </cell>
          <cell r="E3344">
            <v>658899</v>
          </cell>
          <cell r="F3344" t="b">
            <v>1</v>
          </cell>
          <cell r="G3344">
            <v>987.268210059137</v>
          </cell>
          <cell r="H3344">
            <v>941.37585403561002</v>
          </cell>
        </row>
        <row r="3345">
          <cell r="B3345" t="str">
            <v>UKIAH 1113691436</v>
          </cell>
          <cell r="C3345">
            <v>42771113</v>
          </cell>
          <cell r="D3345" t="str">
            <v>UKIAH 1113</v>
          </cell>
          <cell r="E3345">
            <v>691436</v>
          </cell>
          <cell r="F3345" t="b">
            <v>0</v>
          </cell>
          <cell r="G3345">
            <v>3576.81472177772</v>
          </cell>
          <cell r="H3345">
            <v>1680.7069266471201</v>
          </cell>
        </row>
        <row r="3346">
          <cell r="B3346" t="str">
            <v>UKIAH 1113968652</v>
          </cell>
          <cell r="C3346">
            <v>42771113</v>
          </cell>
          <cell r="D3346" t="str">
            <v>UKIAH 1113</v>
          </cell>
          <cell r="E3346">
            <v>968652</v>
          </cell>
          <cell r="F3346" t="b">
            <v>0</v>
          </cell>
          <cell r="G3346">
            <v>3017.7923211549601</v>
          </cell>
          <cell r="H3346">
            <v>1606.18342729562</v>
          </cell>
        </row>
        <row r="3347">
          <cell r="B3347" t="str">
            <v>UKIAH 1113CB</v>
          </cell>
          <cell r="C3347">
            <v>42771113</v>
          </cell>
          <cell r="D3347" t="str">
            <v>UKIAH 1113</v>
          </cell>
          <cell r="E3347" t="str">
            <v>CB</v>
          </cell>
          <cell r="F3347" t="b">
            <v>1</v>
          </cell>
          <cell r="G3347">
            <v>9680.9790191117809</v>
          </cell>
          <cell r="H3347">
            <v>75.437934213857602</v>
          </cell>
        </row>
        <row r="3348">
          <cell r="B3348" t="str">
            <v>UKIAH 1114296894</v>
          </cell>
          <cell r="C3348">
            <v>42771114</v>
          </cell>
          <cell r="D3348" t="str">
            <v>UKIAH 1114</v>
          </cell>
          <cell r="E3348">
            <v>296894</v>
          </cell>
          <cell r="F3348" t="b">
            <v>1</v>
          </cell>
          <cell r="G3348">
            <v>465.53217286589899</v>
          </cell>
          <cell r="H3348">
            <v>278.16355279618199</v>
          </cell>
        </row>
        <row r="3349">
          <cell r="B3349" t="str">
            <v>UKIAH 11143606</v>
          </cell>
          <cell r="C3349">
            <v>42771114</v>
          </cell>
          <cell r="D3349" t="str">
            <v>UKIAH 1114</v>
          </cell>
          <cell r="E3349">
            <v>3606</v>
          </cell>
          <cell r="F3349" t="b">
            <v>0</v>
          </cell>
          <cell r="G3349">
            <v>26641.175295291199</v>
          </cell>
          <cell r="H3349">
            <v>17219.5096299416</v>
          </cell>
        </row>
        <row r="3350">
          <cell r="B3350" t="str">
            <v>UKIAH 1114408</v>
          </cell>
          <cell r="C3350">
            <v>42771114</v>
          </cell>
          <cell r="D3350" t="str">
            <v>UKIAH 1114</v>
          </cell>
          <cell r="E3350">
            <v>408</v>
          </cell>
          <cell r="F3350" t="b">
            <v>0</v>
          </cell>
          <cell r="G3350">
            <v>61335.399233296703</v>
          </cell>
          <cell r="H3350">
            <v>60046.2208895402</v>
          </cell>
        </row>
        <row r="3351">
          <cell r="B3351" t="str">
            <v>UKIAH 1114528</v>
          </cell>
          <cell r="C3351">
            <v>42771114</v>
          </cell>
          <cell r="D3351" t="str">
            <v>UKIAH 1114</v>
          </cell>
          <cell r="E3351">
            <v>528</v>
          </cell>
          <cell r="F3351" t="b">
            <v>0</v>
          </cell>
          <cell r="G3351">
            <v>19817.3234021809</v>
          </cell>
          <cell r="H3351">
            <v>6048.4546811548898</v>
          </cell>
        </row>
        <row r="3352">
          <cell r="B3352" t="str">
            <v>UKIAH 1114544</v>
          </cell>
          <cell r="C3352">
            <v>42771114</v>
          </cell>
          <cell r="D3352" t="str">
            <v>UKIAH 1114</v>
          </cell>
          <cell r="E3352">
            <v>544</v>
          </cell>
          <cell r="F3352" t="b">
            <v>1</v>
          </cell>
          <cell r="G3352">
            <v>16214.8056021458</v>
          </cell>
          <cell r="H3352">
            <v>786.26762843950996</v>
          </cell>
        </row>
        <row r="3353">
          <cell r="B3353" t="str">
            <v>UKIAH 111472990</v>
          </cell>
          <cell r="C3353">
            <v>42771114</v>
          </cell>
          <cell r="D3353" t="str">
            <v>UKIAH 1114</v>
          </cell>
          <cell r="E3353">
            <v>72990</v>
          </cell>
          <cell r="F3353" t="b">
            <v>0</v>
          </cell>
          <cell r="G3353">
            <v>5262.4562367621502</v>
          </cell>
          <cell r="H3353">
            <v>1175.666312587</v>
          </cell>
        </row>
        <row r="3354">
          <cell r="B3354" t="str">
            <v>UKIAH 1114844294</v>
          </cell>
          <cell r="C3354">
            <v>42771114</v>
          </cell>
          <cell r="D3354" t="str">
            <v>UKIAH 1114</v>
          </cell>
          <cell r="E3354">
            <v>844294</v>
          </cell>
          <cell r="F3354" t="b">
            <v>0</v>
          </cell>
          <cell r="G3354">
            <v>9847.8884282323797</v>
          </cell>
          <cell r="H3354">
            <v>3879.7840072761401</v>
          </cell>
        </row>
        <row r="3355">
          <cell r="B3355" t="str">
            <v>UKIAH 1114CB</v>
          </cell>
          <cell r="C3355">
            <v>42771114</v>
          </cell>
          <cell r="D3355" t="str">
            <v>UKIAH 1114</v>
          </cell>
          <cell r="E3355" t="str">
            <v>CB</v>
          </cell>
          <cell r="F3355" t="b">
            <v>0</v>
          </cell>
          <cell r="G3355">
            <v>14024.7064085902</v>
          </cell>
          <cell r="H3355">
            <v>1067.2010392791001</v>
          </cell>
        </row>
        <row r="3356">
          <cell r="B3356" t="str">
            <v>UKIAH 11151216</v>
          </cell>
          <cell r="C3356">
            <v>42771115</v>
          </cell>
          <cell r="D3356" t="str">
            <v>UKIAH 1115</v>
          </cell>
          <cell r="E3356">
            <v>1216</v>
          </cell>
          <cell r="F3356" t="b">
            <v>0</v>
          </cell>
          <cell r="G3356">
            <v>30877.232876602699</v>
          </cell>
          <cell r="H3356">
            <v>21628.5531385551</v>
          </cell>
        </row>
        <row r="3357">
          <cell r="B3357" t="str">
            <v>UKIAH 1115CB</v>
          </cell>
          <cell r="C3357">
            <v>42771115</v>
          </cell>
          <cell r="D3357" t="str">
            <v>UKIAH 1115</v>
          </cell>
          <cell r="E3357" t="str">
            <v>CB</v>
          </cell>
          <cell r="F3357" t="b">
            <v>0</v>
          </cell>
          <cell r="G3357">
            <v>10025.157719950899</v>
          </cell>
          <cell r="H3357">
            <v>6936.1203193497904</v>
          </cell>
        </row>
        <row r="3358">
          <cell r="B3358" t="str">
            <v>UPPER LAKE 11011276</v>
          </cell>
          <cell r="C3358">
            <v>42871101</v>
          </cell>
          <cell r="D3358" t="str">
            <v>UPPER LAKE 1101</v>
          </cell>
          <cell r="E3358">
            <v>1276</v>
          </cell>
          <cell r="F3358" t="b">
            <v>0</v>
          </cell>
          <cell r="G3358">
            <v>20806.912094399599</v>
          </cell>
          <cell r="H3358">
            <v>20806.912094399599</v>
          </cell>
        </row>
        <row r="3359">
          <cell r="B3359" t="str">
            <v>UPPER LAKE 1101412</v>
          </cell>
          <cell r="C3359">
            <v>42871101</v>
          </cell>
          <cell r="D3359" t="str">
            <v>UPPER LAKE 1101</v>
          </cell>
          <cell r="E3359">
            <v>412</v>
          </cell>
          <cell r="F3359" t="b">
            <v>0</v>
          </cell>
          <cell r="G3359">
            <v>27547.352777003201</v>
          </cell>
          <cell r="H3359">
            <v>16599.981731723201</v>
          </cell>
        </row>
        <row r="3360">
          <cell r="B3360" t="str">
            <v>UPPER LAKE 1101452</v>
          </cell>
          <cell r="C3360">
            <v>42871101</v>
          </cell>
          <cell r="D3360" t="str">
            <v>UPPER LAKE 1101</v>
          </cell>
          <cell r="E3360">
            <v>452</v>
          </cell>
          <cell r="F3360" t="b">
            <v>0</v>
          </cell>
          <cell r="G3360">
            <v>31530.7427424204</v>
          </cell>
          <cell r="H3360">
            <v>8129.0760078600797</v>
          </cell>
        </row>
        <row r="3361">
          <cell r="B3361" t="str">
            <v>UPPER LAKE 1101472084</v>
          </cell>
          <cell r="C3361">
            <v>42871101</v>
          </cell>
          <cell r="D3361" t="str">
            <v>UPPER LAKE 1101</v>
          </cell>
          <cell r="E3361">
            <v>472084</v>
          </cell>
          <cell r="F3361" t="b">
            <v>0</v>
          </cell>
          <cell r="G3361">
            <v>11718.479490506101</v>
          </cell>
          <cell r="H3361">
            <v>7454.7110012222001</v>
          </cell>
        </row>
        <row r="3362">
          <cell r="B3362" t="str">
            <v>UPPER LAKE 1101660</v>
          </cell>
          <cell r="C3362">
            <v>42871101</v>
          </cell>
          <cell r="D3362" t="str">
            <v>UPPER LAKE 1101</v>
          </cell>
          <cell r="E3362">
            <v>660</v>
          </cell>
          <cell r="F3362" t="b">
            <v>0</v>
          </cell>
          <cell r="G3362">
            <v>15616.948590780101</v>
          </cell>
          <cell r="H3362">
            <v>9914.5590436700204</v>
          </cell>
        </row>
        <row r="3363">
          <cell r="B3363" t="str">
            <v>UPPER LAKE 11016663</v>
          </cell>
          <cell r="C3363">
            <v>42871101</v>
          </cell>
          <cell r="D3363" t="str">
            <v>UPPER LAKE 1101</v>
          </cell>
          <cell r="E3363">
            <v>6663</v>
          </cell>
          <cell r="F3363" t="b">
            <v>0</v>
          </cell>
          <cell r="G3363">
            <v>3787.4900083236298</v>
          </cell>
          <cell r="H3363">
            <v>3787.4900083236298</v>
          </cell>
        </row>
        <row r="3364">
          <cell r="B3364" t="str">
            <v>UPPER LAKE 110175370</v>
          </cell>
          <cell r="C3364">
            <v>42871101</v>
          </cell>
          <cell r="D3364" t="str">
            <v>UPPER LAKE 1101</v>
          </cell>
          <cell r="E3364">
            <v>75370</v>
          </cell>
          <cell r="F3364" t="b">
            <v>0</v>
          </cell>
          <cell r="G3364">
            <v>23702.8229077502</v>
          </cell>
          <cell r="H3364">
            <v>17823.7139182102</v>
          </cell>
        </row>
        <row r="3365">
          <cell r="B3365" t="str">
            <v>UPPER LAKE 1101CB</v>
          </cell>
          <cell r="C3365">
            <v>42871101</v>
          </cell>
          <cell r="D3365" t="str">
            <v>UPPER LAKE 1101</v>
          </cell>
          <cell r="E3365" t="str">
            <v>CB</v>
          </cell>
          <cell r="F3365" t="b">
            <v>0</v>
          </cell>
          <cell r="G3365">
            <v>1791.2622293775701</v>
          </cell>
          <cell r="H3365">
            <v>1791.2622293775701</v>
          </cell>
        </row>
        <row r="3366">
          <cell r="B3366" t="str">
            <v>VACA DIXON 1101126774</v>
          </cell>
          <cell r="C3366">
            <v>63591101</v>
          </cell>
          <cell r="D3366" t="str">
            <v>VACA DIXON 1101</v>
          </cell>
          <cell r="E3366">
            <v>126774</v>
          </cell>
          <cell r="F3366" t="b">
            <v>0</v>
          </cell>
          <cell r="G3366">
            <v>1267.3385902693301</v>
          </cell>
          <cell r="H3366">
            <v>1267.3385902693301</v>
          </cell>
        </row>
        <row r="3367">
          <cell r="B3367" t="str">
            <v>VACA DIXON 110118292</v>
          </cell>
          <cell r="C3367">
            <v>63591101</v>
          </cell>
          <cell r="D3367" t="str">
            <v>VACA DIXON 1101</v>
          </cell>
          <cell r="E3367">
            <v>18292</v>
          </cell>
          <cell r="F3367" t="b">
            <v>1</v>
          </cell>
          <cell r="G3367">
            <v>8145.5430482598304</v>
          </cell>
          <cell r="H3367">
            <v>73.034434675655703</v>
          </cell>
        </row>
        <row r="3368">
          <cell r="B3368" t="str">
            <v>VACA DIXON 110540092</v>
          </cell>
          <cell r="C3368">
            <v>63591105</v>
          </cell>
          <cell r="D3368" t="str">
            <v>VACA DIXON 1105</v>
          </cell>
          <cell r="E3368">
            <v>40092</v>
          </cell>
          <cell r="F3368" t="b">
            <v>0</v>
          </cell>
          <cell r="G3368">
            <v>68288.942721118205</v>
          </cell>
          <cell r="H3368">
            <v>37272.955572857099</v>
          </cell>
        </row>
        <row r="3369">
          <cell r="B3369" t="str">
            <v>VACA DIXON 1105965390</v>
          </cell>
          <cell r="C3369">
            <v>63591105</v>
          </cell>
          <cell r="D3369" t="str">
            <v>VACA DIXON 1105</v>
          </cell>
          <cell r="E3369">
            <v>965390</v>
          </cell>
          <cell r="F3369" t="b">
            <v>0</v>
          </cell>
          <cell r="G3369">
            <v>2587.1085144376498</v>
          </cell>
          <cell r="H3369">
            <v>1209.10922335348</v>
          </cell>
        </row>
        <row r="3370">
          <cell r="B3370" t="str">
            <v>VACA DIXON 11059792</v>
          </cell>
          <cell r="C3370">
            <v>63591105</v>
          </cell>
          <cell r="D3370" t="str">
            <v>VACA DIXON 1105</v>
          </cell>
          <cell r="E3370">
            <v>9792</v>
          </cell>
          <cell r="F3370" t="b">
            <v>0</v>
          </cell>
          <cell r="G3370">
            <v>44037.034292153301</v>
          </cell>
          <cell r="H3370">
            <v>1255.36755698763</v>
          </cell>
        </row>
        <row r="3371">
          <cell r="B3371" t="str">
            <v>VACAVILLE 11046542</v>
          </cell>
          <cell r="C3371">
            <v>63601104</v>
          </cell>
          <cell r="D3371" t="str">
            <v>VACAVILLE 1104</v>
          </cell>
          <cell r="E3371">
            <v>6542</v>
          </cell>
          <cell r="F3371" t="b">
            <v>0</v>
          </cell>
          <cell r="G3371">
            <v>23588.198937648001</v>
          </cell>
          <cell r="H3371">
            <v>23588.198937648001</v>
          </cell>
        </row>
        <row r="3372">
          <cell r="B3372" t="str">
            <v>VACAVILLE 1104874798</v>
          </cell>
          <cell r="C3372">
            <v>63601104</v>
          </cell>
          <cell r="D3372" t="str">
            <v>VACAVILLE 1104</v>
          </cell>
          <cell r="E3372">
            <v>874798</v>
          </cell>
          <cell r="F3372" t="b">
            <v>1</v>
          </cell>
          <cell r="G3372">
            <v>662.24002084037602</v>
          </cell>
          <cell r="H3372">
            <v>662.24002084037602</v>
          </cell>
        </row>
        <row r="3373">
          <cell r="B3373" t="str">
            <v>VACAVILLE 1104CB</v>
          </cell>
          <cell r="C3373">
            <v>63601104</v>
          </cell>
          <cell r="D3373" t="str">
            <v>VACAVILLE 1104</v>
          </cell>
          <cell r="E3373" t="str">
            <v>CB</v>
          </cell>
          <cell r="F3373" t="b">
            <v>1</v>
          </cell>
          <cell r="G3373">
            <v>4213.0060118814299</v>
          </cell>
          <cell r="H3373">
            <v>696.68372418458102</v>
          </cell>
        </row>
        <row r="3374">
          <cell r="B3374" t="str">
            <v>VACAVILLE 110838316</v>
          </cell>
          <cell r="C3374">
            <v>63601108</v>
          </cell>
          <cell r="D3374" t="str">
            <v>VACAVILLE 1108</v>
          </cell>
          <cell r="E3374">
            <v>38316</v>
          </cell>
          <cell r="F3374" t="b">
            <v>0</v>
          </cell>
          <cell r="G3374">
            <v>36512.812279026701</v>
          </cell>
          <cell r="H3374">
            <v>25616.7425944733</v>
          </cell>
        </row>
        <row r="3375">
          <cell r="B3375" t="str">
            <v>VACAVILLE 110847860</v>
          </cell>
          <cell r="C3375">
            <v>63601108</v>
          </cell>
          <cell r="D3375" t="str">
            <v>VACAVILLE 1108</v>
          </cell>
          <cell r="E3375">
            <v>47860</v>
          </cell>
          <cell r="F3375" t="b">
            <v>1</v>
          </cell>
          <cell r="G3375">
            <v>6236.9476472678098</v>
          </cell>
          <cell r="H3375">
            <v>466.01916296808201</v>
          </cell>
        </row>
        <row r="3376">
          <cell r="B3376" t="str">
            <v>VACAVILLE 11088762</v>
          </cell>
          <cell r="C3376">
            <v>63601108</v>
          </cell>
          <cell r="D3376" t="str">
            <v>VACAVILLE 1108</v>
          </cell>
          <cell r="E3376">
            <v>8762</v>
          </cell>
          <cell r="F3376" t="b">
            <v>0</v>
          </cell>
          <cell r="G3376">
            <v>26274.688433830401</v>
          </cell>
          <cell r="H3376">
            <v>22259.6162477875</v>
          </cell>
        </row>
        <row r="3377">
          <cell r="B3377" t="str">
            <v>VACAVILLE 1109799940</v>
          </cell>
          <cell r="C3377">
            <v>63601109</v>
          </cell>
          <cell r="D3377" t="str">
            <v>VACAVILLE 1109</v>
          </cell>
          <cell r="E3377">
            <v>799940</v>
          </cell>
          <cell r="F3377" t="b">
            <v>1</v>
          </cell>
          <cell r="G3377">
            <v>1340.3375180973901</v>
          </cell>
          <cell r="H3377">
            <v>954.77013148252001</v>
          </cell>
        </row>
        <row r="3378">
          <cell r="B3378" t="str">
            <v>VACAVILLE 111112342</v>
          </cell>
          <cell r="C3378">
            <v>63601111</v>
          </cell>
          <cell r="D3378" t="str">
            <v>VACAVILLE 1111</v>
          </cell>
          <cell r="E3378">
            <v>12342</v>
          </cell>
          <cell r="F3378" t="b">
            <v>1</v>
          </cell>
          <cell r="G3378">
            <v>1750.1360318864999</v>
          </cell>
          <cell r="H3378">
            <v>352.094916629056</v>
          </cell>
        </row>
        <row r="3379">
          <cell r="B3379" t="str">
            <v>VACAVILLE 111113652</v>
          </cell>
          <cell r="C3379">
            <v>63601111</v>
          </cell>
          <cell r="D3379" t="str">
            <v>VACAVILLE 1111</v>
          </cell>
          <cell r="E3379">
            <v>13652</v>
          </cell>
          <cell r="F3379" t="b">
            <v>0</v>
          </cell>
          <cell r="G3379">
            <v>6914.8484993561497</v>
          </cell>
          <cell r="H3379">
            <v>6914.8484993561497</v>
          </cell>
        </row>
        <row r="3380">
          <cell r="B3380" t="str">
            <v>VACAVILLE 1111772224</v>
          </cell>
          <cell r="C3380">
            <v>63601111</v>
          </cell>
          <cell r="D3380" t="str">
            <v>VACAVILLE 1111</v>
          </cell>
          <cell r="E3380">
            <v>772224</v>
          </cell>
          <cell r="F3380" t="b">
            <v>1</v>
          </cell>
          <cell r="G3380">
            <v>126.249112970562</v>
          </cell>
          <cell r="H3380">
            <v>91.958348784931303</v>
          </cell>
        </row>
        <row r="3381">
          <cell r="B3381" t="str">
            <v>VACAVILLE 1111CB</v>
          </cell>
          <cell r="C3381">
            <v>63601111</v>
          </cell>
          <cell r="D3381" t="str">
            <v>VACAVILLE 1111</v>
          </cell>
          <cell r="E3381" t="str">
            <v>CB</v>
          </cell>
          <cell r="F3381" t="b">
            <v>0</v>
          </cell>
          <cell r="G3381">
            <v>19525.023785855301</v>
          </cell>
          <cell r="H3381">
            <v>11777.3852204583</v>
          </cell>
        </row>
        <row r="3382">
          <cell r="B3382" t="str">
            <v>VACAVILLE 1112CB</v>
          </cell>
          <cell r="C3382">
            <v>63601112</v>
          </cell>
          <cell r="D3382" t="str">
            <v>VACAVILLE 1112</v>
          </cell>
          <cell r="E3382" t="str">
            <v>CB</v>
          </cell>
          <cell r="F3382" t="b">
            <v>1</v>
          </cell>
          <cell r="G3382">
            <v>5313.0282447794398</v>
          </cell>
          <cell r="H3382">
            <v>378.60796563659198</v>
          </cell>
        </row>
        <row r="3383">
          <cell r="B3383" t="str">
            <v>VALLEY VIEW 1103218424</v>
          </cell>
          <cell r="C3383">
            <v>14341103</v>
          </cell>
          <cell r="D3383" t="str">
            <v>VALLEY VIEW 1103</v>
          </cell>
          <cell r="E3383">
            <v>218424</v>
          </cell>
          <cell r="F3383" t="b">
            <v>1</v>
          </cell>
          <cell r="G3383">
            <v>877.61671357636601</v>
          </cell>
          <cell r="H3383">
            <v>866.51246608827205</v>
          </cell>
        </row>
        <row r="3384">
          <cell r="B3384" t="str">
            <v>VALLEY VIEW 1103CB</v>
          </cell>
          <cell r="C3384">
            <v>14341103</v>
          </cell>
          <cell r="D3384" t="str">
            <v>VALLEY VIEW 1103</v>
          </cell>
          <cell r="E3384" t="str">
            <v>CB</v>
          </cell>
          <cell r="F3384" t="b">
            <v>1</v>
          </cell>
          <cell r="G3384">
            <v>10480.891056524901</v>
          </cell>
          <cell r="H3384">
            <v>272.54588104588203</v>
          </cell>
        </row>
        <row r="3385">
          <cell r="B3385" t="str">
            <v>VALLEY VIEW 1103P160</v>
          </cell>
          <cell r="C3385">
            <v>14341103</v>
          </cell>
          <cell r="D3385" t="str">
            <v>VALLEY VIEW 1103</v>
          </cell>
          <cell r="E3385" t="str">
            <v>P160</v>
          </cell>
          <cell r="F3385" t="b">
            <v>1</v>
          </cell>
          <cell r="G3385">
            <v>10321.201302776401</v>
          </cell>
          <cell r="H3385">
            <v>0</v>
          </cell>
        </row>
        <row r="3386">
          <cell r="B3386" t="str">
            <v>VALLEY VIEW 1105305072</v>
          </cell>
          <cell r="C3386">
            <v>14341105</v>
          </cell>
          <cell r="D3386" t="str">
            <v>VALLEY VIEW 1105</v>
          </cell>
          <cell r="E3386">
            <v>305072</v>
          </cell>
          <cell r="F3386" t="b">
            <v>0</v>
          </cell>
          <cell r="G3386">
            <v>6216.89432106403</v>
          </cell>
          <cell r="H3386">
            <v>5044.0424750027896</v>
          </cell>
        </row>
        <row r="3387">
          <cell r="B3387" t="str">
            <v>VALLEY VIEW 1105CB</v>
          </cell>
          <cell r="C3387">
            <v>14341105</v>
          </cell>
          <cell r="D3387" t="str">
            <v>VALLEY VIEW 1105</v>
          </cell>
          <cell r="E3387" t="str">
            <v>CB</v>
          </cell>
          <cell r="F3387" t="b">
            <v>1</v>
          </cell>
          <cell r="G3387">
            <v>7478.2552098180204</v>
          </cell>
          <cell r="H3387">
            <v>0</v>
          </cell>
        </row>
        <row r="3388">
          <cell r="B3388" t="str">
            <v>VALLEY VIEW 1105P124</v>
          </cell>
          <cell r="C3388">
            <v>14341105</v>
          </cell>
          <cell r="D3388" t="str">
            <v>VALLEY VIEW 1105</v>
          </cell>
          <cell r="E3388" t="str">
            <v>P124</v>
          </cell>
          <cell r="F3388" t="b">
            <v>1</v>
          </cell>
          <cell r="G3388">
            <v>5089.5347214719604</v>
          </cell>
          <cell r="H3388">
            <v>0</v>
          </cell>
        </row>
        <row r="3389">
          <cell r="B3389" t="str">
            <v>VALLEY VIEW 1105P126</v>
          </cell>
          <cell r="C3389">
            <v>14341105</v>
          </cell>
          <cell r="D3389" t="str">
            <v>VALLEY VIEW 1105</v>
          </cell>
          <cell r="E3389" t="str">
            <v>P126</v>
          </cell>
          <cell r="F3389" t="b">
            <v>0</v>
          </cell>
          <cell r="G3389">
            <v>3297.3508278403801</v>
          </cell>
          <cell r="H3389">
            <v>1680.83631404429</v>
          </cell>
        </row>
        <row r="3390">
          <cell r="B3390" t="str">
            <v>VALLEY VIEW 1105P190</v>
          </cell>
          <cell r="C3390">
            <v>14341105</v>
          </cell>
          <cell r="D3390" t="str">
            <v>VALLEY VIEW 1105</v>
          </cell>
          <cell r="E3390" t="str">
            <v>P190</v>
          </cell>
          <cell r="F3390" t="b">
            <v>1</v>
          </cell>
          <cell r="G3390">
            <v>3318.5959192464502</v>
          </cell>
          <cell r="H3390">
            <v>0</v>
          </cell>
        </row>
        <row r="3391">
          <cell r="B3391" t="str">
            <v>VALLEY VIEW 1106602871</v>
          </cell>
          <cell r="C3391">
            <v>14341106</v>
          </cell>
          <cell r="D3391" t="str">
            <v>VALLEY VIEW 1106</v>
          </cell>
          <cell r="E3391">
            <v>602871</v>
          </cell>
          <cell r="F3391" t="b">
            <v>0</v>
          </cell>
          <cell r="G3391">
            <v>1324.4477903301499</v>
          </cell>
          <cell r="H3391">
            <v>1324.4477903301499</v>
          </cell>
        </row>
        <row r="3392">
          <cell r="B3392" t="str">
            <v>VALLEY VIEW 1106CB</v>
          </cell>
          <cell r="C3392">
            <v>14341106</v>
          </cell>
          <cell r="D3392" t="str">
            <v>VALLEY VIEW 1106</v>
          </cell>
          <cell r="E3392" t="str">
            <v>CB</v>
          </cell>
          <cell r="F3392" t="b">
            <v>0</v>
          </cell>
          <cell r="G3392">
            <v>8114.1348096620704</v>
          </cell>
          <cell r="H3392">
            <v>6042.2887545788999</v>
          </cell>
        </row>
        <row r="3393">
          <cell r="B3393" t="str">
            <v>VALLEY VIEW 1106P128</v>
          </cell>
          <cell r="C3393">
            <v>14341106</v>
          </cell>
          <cell r="D3393" t="str">
            <v>VALLEY VIEW 1106</v>
          </cell>
          <cell r="E3393" t="str">
            <v>P128</v>
          </cell>
          <cell r="F3393" t="b">
            <v>1</v>
          </cell>
          <cell r="G3393">
            <v>4067.7933837007199</v>
          </cell>
          <cell r="H3393">
            <v>190.90907529748901</v>
          </cell>
        </row>
        <row r="3394">
          <cell r="B3394" t="str">
            <v>VALLEY VIEW 1106P166</v>
          </cell>
          <cell r="C3394">
            <v>14341106</v>
          </cell>
          <cell r="D3394" t="str">
            <v>VALLEY VIEW 1106</v>
          </cell>
          <cell r="E3394" t="str">
            <v>P166</v>
          </cell>
          <cell r="F3394" t="b">
            <v>0</v>
          </cell>
          <cell r="G3394">
            <v>7343.1284616802004</v>
          </cell>
          <cell r="H3394">
            <v>7068.5221957274898</v>
          </cell>
        </row>
        <row r="3395">
          <cell r="B3395" t="str">
            <v>VALLEY VIEW 1106P176</v>
          </cell>
          <cell r="C3395">
            <v>14341106</v>
          </cell>
          <cell r="D3395" t="str">
            <v>VALLEY VIEW 1106</v>
          </cell>
          <cell r="E3395" t="str">
            <v>P176</v>
          </cell>
          <cell r="F3395" t="b">
            <v>1</v>
          </cell>
          <cell r="G3395">
            <v>5384.4602329211802</v>
          </cell>
          <cell r="H3395">
            <v>354.468744050716</v>
          </cell>
        </row>
        <row r="3396">
          <cell r="B3396" t="str">
            <v>VASCO 1102886522</v>
          </cell>
          <cell r="C3396">
            <v>13751102</v>
          </cell>
          <cell r="D3396" t="str">
            <v>VASCO 1102</v>
          </cell>
          <cell r="E3396">
            <v>886522</v>
          </cell>
          <cell r="F3396" t="b">
            <v>0</v>
          </cell>
          <cell r="G3396">
            <v>30828.655156638</v>
          </cell>
          <cell r="H3396">
            <v>10908.526975684101</v>
          </cell>
        </row>
        <row r="3397">
          <cell r="B3397" t="str">
            <v>VASCO 1102MR176</v>
          </cell>
          <cell r="C3397">
            <v>13751102</v>
          </cell>
          <cell r="D3397" t="str">
            <v>VASCO 1102</v>
          </cell>
          <cell r="E3397" t="str">
            <v>MR176</v>
          </cell>
          <cell r="F3397" t="b">
            <v>0</v>
          </cell>
          <cell r="G3397">
            <v>68684.323642028598</v>
          </cell>
          <cell r="H3397">
            <v>62474.180252438397</v>
          </cell>
        </row>
        <row r="3398">
          <cell r="B3398" t="str">
            <v>VASCO 1102MR178</v>
          </cell>
          <cell r="C3398">
            <v>13751102</v>
          </cell>
          <cell r="D3398" t="str">
            <v>VASCO 1102</v>
          </cell>
          <cell r="E3398" t="str">
            <v>MR178</v>
          </cell>
          <cell r="F3398" t="b">
            <v>0</v>
          </cell>
          <cell r="G3398">
            <v>21546.685867093602</v>
          </cell>
          <cell r="H3398">
            <v>2579.6297244223201</v>
          </cell>
        </row>
        <row r="3399">
          <cell r="B3399" t="str">
            <v>VASONA 1102944560</v>
          </cell>
          <cell r="C3399">
            <v>83771102</v>
          </cell>
          <cell r="D3399" t="str">
            <v>VASONA 1102</v>
          </cell>
          <cell r="E3399">
            <v>944560</v>
          </cell>
          <cell r="F3399" t="b">
            <v>1</v>
          </cell>
          <cell r="G3399">
            <v>944.57738781113596</v>
          </cell>
          <cell r="H3399">
            <v>282.640143308549</v>
          </cell>
        </row>
        <row r="3400">
          <cell r="B3400" t="str">
            <v>VIEJO 22012064</v>
          </cell>
          <cell r="C3400">
            <v>182852201</v>
          </cell>
          <cell r="D3400" t="str">
            <v>VIEJO 2201</v>
          </cell>
          <cell r="E3400">
            <v>2064</v>
          </cell>
          <cell r="F3400" t="b">
            <v>0</v>
          </cell>
          <cell r="G3400">
            <v>1409.3975594593201</v>
          </cell>
          <cell r="H3400">
            <v>1409.3975594593201</v>
          </cell>
        </row>
        <row r="3401">
          <cell r="B3401" t="str">
            <v>VIEJO 22019114</v>
          </cell>
          <cell r="C3401">
            <v>182852201</v>
          </cell>
          <cell r="D3401" t="str">
            <v>VIEJO 2201</v>
          </cell>
          <cell r="E3401">
            <v>9114</v>
          </cell>
          <cell r="F3401" t="b">
            <v>0</v>
          </cell>
          <cell r="G3401">
            <v>11036.312331892699</v>
          </cell>
          <cell r="H3401">
            <v>10977.6209448143</v>
          </cell>
        </row>
        <row r="3402">
          <cell r="B3402" t="str">
            <v>VIEJO 22019490</v>
          </cell>
          <cell r="C3402">
            <v>182852201</v>
          </cell>
          <cell r="D3402" t="str">
            <v>VIEJO 2201</v>
          </cell>
          <cell r="E3402">
            <v>9490</v>
          </cell>
          <cell r="F3402" t="b">
            <v>0</v>
          </cell>
          <cell r="G3402">
            <v>2186.22444144978</v>
          </cell>
          <cell r="H3402">
            <v>2004.0139997488</v>
          </cell>
        </row>
        <row r="3403">
          <cell r="B3403" t="str">
            <v>VIEJO 22019698</v>
          </cell>
          <cell r="C3403">
            <v>182852201</v>
          </cell>
          <cell r="D3403" t="str">
            <v>VIEJO 2201</v>
          </cell>
          <cell r="E3403">
            <v>9698</v>
          </cell>
          <cell r="F3403" t="b">
            <v>1</v>
          </cell>
          <cell r="G3403">
            <v>1062.5186395619401</v>
          </cell>
          <cell r="H3403">
            <v>929.66244791274698</v>
          </cell>
        </row>
        <row r="3404">
          <cell r="B3404" t="str">
            <v>VIEJO 22019704</v>
          </cell>
          <cell r="C3404">
            <v>182852201</v>
          </cell>
          <cell r="D3404" t="str">
            <v>VIEJO 2201</v>
          </cell>
          <cell r="E3404">
            <v>9704</v>
          </cell>
          <cell r="F3404" t="b">
            <v>1</v>
          </cell>
          <cell r="G3404">
            <v>4114.9937522698901</v>
          </cell>
          <cell r="H3404">
            <v>786.59860789011498</v>
          </cell>
        </row>
        <row r="3405">
          <cell r="B3405" t="str">
            <v>VIEJO 2201CB</v>
          </cell>
          <cell r="C3405">
            <v>182852201</v>
          </cell>
          <cell r="D3405" t="str">
            <v>VIEJO 2201</v>
          </cell>
          <cell r="E3405" t="str">
            <v>CB</v>
          </cell>
          <cell r="F3405" t="b">
            <v>0</v>
          </cell>
          <cell r="G3405">
            <v>8287.0610497657199</v>
          </cell>
          <cell r="H3405">
            <v>8183.2874924825601</v>
          </cell>
        </row>
        <row r="3406">
          <cell r="B3406" t="str">
            <v>VIEJO 22022606</v>
          </cell>
          <cell r="C3406">
            <v>182852202</v>
          </cell>
          <cell r="D3406" t="str">
            <v>VIEJO 2202</v>
          </cell>
          <cell r="E3406">
            <v>2606</v>
          </cell>
          <cell r="F3406" t="b">
            <v>0</v>
          </cell>
          <cell r="G3406">
            <v>4663.4326051665203</v>
          </cell>
          <cell r="H3406">
            <v>1279.3760369689501</v>
          </cell>
        </row>
        <row r="3407">
          <cell r="B3407" t="str">
            <v>VIEJO 220235388</v>
          </cell>
          <cell r="C3407">
            <v>182852202</v>
          </cell>
          <cell r="D3407" t="str">
            <v>VIEJO 2202</v>
          </cell>
          <cell r="E3407">
            <v>35388</v>
          </cell>
          <cell r="F3407" t="b">
            <v>1</v>
          </cell>
          <cell r="G3407">
            <v>727.29740508567397</v>
          </cell>
          <cell r="H3407">
            <v>517.01392348478601</v>
          </cell>
        </row>
        <row r="3408">
          <cell r="B3408" t="str">
            <v>VIEJO 220255787</v>
          </cell>
          <cell r="C3408">
            <v>182852202</v>
          </cell>
          <cell r="D3408" t="str">
            <v>VIEJO 2202</v>
          </cell>
          <cell r="E3408">
            <v>55787</v>
          </cell>
          <cell r="F3408" t="b">
            <v>1</v>
          </cell>
          <cell r="G3408">
            <v>58.9250580656593</v>
          </cell>
          <cell r="H3408">
            <v>58.9250580656593</v>
          </cell>
        </row>
        <row r="3409">
          <cell r="B3409" t="str">
            <v>VIEJO 220285904</v>
          </cell>
          <cell r="C3409">
            <v>182852202</v>
          </cell>
          <cell r="D3409" t="str">
            <v>VIEJO 2202</v>
          </cell>
          <cell r="E3409">
            <v>85904</v>
          </cell>
          <cell r="F3409" t="b">
            <v>0</v>
          </cell>
          <cell r="G3409">
            <v>3179.0036321821299</v>
          </cell>
          <cell r="H3409">
            <v>1684.9898078966601</v>
          </cell>
        </row>
        <row r="3410">
          <cell r="B3410" t="str">
            <v>VIEJO 22029089</v>
          </cell>
          <cell r="C3410">
            <v>182852202</v>
          </cell>
          <cell r="D3410" t="str">
            <v>VIEJO 2202</v>
          </cell>
          <cell r="E3410">
            <v>9089</v>
          </cell>
          <cell r="F3410" t="b">
            <v>0</v>
          </cell>
          <cell r="G3410">
            <v>2700.0602624786302</v>
          </cell>
          <cell r="H3410">
            <v>2319.95001292385</v>
          </cell>
        </row>
        <row r="3411">
          <cell r="B3411" t="str">
            <v>VIEJO 22029104</v>
          </cell>
          <cell r="C3411">
            <v>182852202</v>
          </cell>
          <cell r="D3411" t="str">
            <v>VIEJO 2202</v>
          </cell>
          <cell r="E3411">
            <v>9104</v>
          </cell>
          <cell r="F3411" t="b">
            <v>0</v>
          </cell>
          <cell r="G3411">
            <v>9586.0766021684794</v>
          </cell>
          <cell r="H3411">
            <v>9148.5670443796298</v>
          </cell>
        </row>
        <row r="3412">
          <cell r="B3412" t="str">
            <v>VIEJO 22029112</v>
          </cell>
          <cell r="C3412">
            <v>182852202</v>
          </cell>
          <cell r="D3412" t="str">
            <v>VIEJO 2202</v>
          </cell>
          <cell r="E3412">
            <v>9112</v>
          </cell>
          <cell r="F3412" t="b">
            <v>0</v>
          </cell>
          <cell r="G3412">
            <v>5302.2860067072997</v>
          </cell>
          <cell r="H3412">
            <v>1359.40941106174</v>
          </cell>
        </row>
        <row r="3413">
          <cell r="B3413" t="str">
            <v>VIEJO 22029118</v>
          </cell>
          <cell r="C3413">
            <v>182852202</v>
          </cell>
          <cell r="D3413" t="str">
            <v>VIEJO 2202</v>
          </cell>
          <cell r="E3413">
            <v>9118</v>
          </cell>
          <cell r="F3413" t="b">
            <v>0</v>
          </cell>
          <cell r="G3413">
            <v>4822.7839184463</v>
          </cell>
          <cell r="H3413">
            <v>1265.78270544154</v>
          </cell>
        </row>
        <row r="3414">
          <cell r="B3414" t="str">
            <v>VIEJO 22029120</v>
          </cell>
          <cell r="C3414">
            <v>182852202</v>
          </cell>
          <cell r="D3414" t="str">
            <v>VIEJO 2202</v>
          </cell>
          <cell r="E3414">
            <v>9120</v>
          </cell>
          <cell r="F3414" t="b">
            <v>0</v>
          </cell>
          <cell r="G3414">
            <v>11903.524353458401</v>
          </cell>
          <cell r="H3414">
            <v>2858.0041188846599</v>
          </cell>
        </row>
        <row r="3415">
          <cell r="B3415" t="str">
            <v>VIEJO 220292792</v>
          </cell>
          <cell r="C3415">
            <v>182852202</v>
          </cell>
          <cell r="D3415" t="str">
            <v>VIEJO 2202</v>
          </cell>
          <cell r="E3415">
            <v>92792</v>
          </cell>
          <cell r="F3415" t="b">
            <v>1</v>
          </cell>
          <cell r="G3415">
            <v>2338.4550643827702</v>
          </cell>
          <cell r="H3415">
            <v>0</v>
          </cell>
        </row>
        <row r="3416">
          <cell r="B3416" t="str">
            <v>VIEJO 22029488</v>
          </cell>
          <cell r="C3416">
            <v>182852202</v>
          </cell>
          <cell r="D3416" t="str">
            <v>VIEJO 2202</v>
          </cell>
          <cell r="E3416">
            <v>9488</v>
          </cell>
          <cell r="F3416" t="b">
            <v>0</v>
          </cell>
          <cell r="G3416">
            <v>2122.5518244362802</v>
          </cell>
          <cell r="H3416">
            <v>1460.4010030279701</v>
          </cell>
        </row>
        <row r="3417">
          <cell r="B3417" t="str">
            <v>VIEJO 2202CB</v>
          </cell>
          <cell r="C3417">
            <v>182852202</v>
          </cell>
          <cell r="D3417" t="str">
            <v>VIEJO 2202</v>
          </cell>
          <cell r="E3417" t="str">
            <v>CB</v>
          </cell>
          <cell r="F3417" t="b">
            <v>0</v>
          </cell>
          <cell r="G3417">
            <v>3450.21075210341</v>
          </cell>
          <cell r="H3417">
            <v>3450.21075210341</v>
          </cell>
        </row>
        <row r="3418">
          <cell r="B3418" t="str">
            <v>VIEJO 22032634</v>
          </cell>
          <cell r="C3418">
            <v>182852203</v>
          </cell>
          <cell r="D3418" t="str">
            <v>VIEJO 2203</v>
          </cell>
          <cell r="E3418">
            <v>2634</v>
          </cell>
          <cell r="F3418" t="b">
            <v>1</v>
          </cell>
          <cell r="G3418">
            <v>2692.6366066564401</v>
          </cell>
          <cell r="H3418">
            <v>0</v>
          </cell>
        </row>
        <row r="3419">
          <cell r="B3419" t="str">
            <v>VIEJO 2203573610</v>
          </cell>
          <cell r="C3419">
            <v>182852203</v>
          </cell>
          <cell r="D3419" t="str">
            <v>VIEJO 2203</v>
          </cell>
          <cell r="E3419">
            <v>573610</v>
          </cell>
          <cell r="F3419" t="b">
            <v>1</v>
          </cell>
          <cell r="G3419">
            <v>5029.4734525102504</v>
          </cell>
          <cell r="H3419">
            <v>0</v>
          </cell>
        </row>
        <row r="3420">
          <cell r="B3420" t="str">
            <v>VIEJO 22039094</v>
          </cell>
          <cell r="C3420">
            <v>182852203</v>
          </cell>
          <cell r="D3420" t="str">
            <v>VIEJO 2203</v>
          </cell>
          <cell r="E3420">
            <v>9094</v>
          </cell>
          <cell r="F3420" t="b">
            <v>1</v>
          </cell>
          <cell r="G3420">
            <v>4020.7214624308399</v>
          </cell>
          <cell r="H3420">
            <v>160.274167769717</v>
          </cell>
        </row>
        <row r="3421">
          <cell r="B3421" t="str">
            <v>VIEJO 2203947314</v>
          </cell>
          <cell r="C3421">
            <v>182852203</v>
          </cell>
          <cell r="D3421" t="str">
            <v>VIEJO 2203</v>
          </cell>
          <cell r="E3421">
            <v>947314</v>
          </cell>
          <cell r="F3421" t="b">
            <v>1</v>
          </cell>
          <cell r="G3421">
            <v>2331.85114956702</v>
          </cell>
          <cell r="H3421">
            <v>461.40106097895102</v>
          </cell>
        </row>
        <row r="3422">
          <cell r="B3422" t="str">
            <v>VIEJO 2203CB</v>
          </cell>
          <cell r="C3422">
            <v>182852203</v>
          </cell>
          <cell r="D3422" t="str">
            <v>VIEJO 2203</v>
          </cell>
          <cell r="E3422" t="str">
            <v>CB</v>
          </cell>
          <cell r="F3422" t="b">
            <v>0</v>
          </cell>
          <cell r="G3422">
            <v>5468.4733315650801</v>
          </cell>
          <cell r="H3422">
            <v>4727.7308435474897</v>
          </cell>
        </row>
        <row r="3423">
          <cell r="B3423" t="str">
            <v>VIEJO 220436948</v>
          </cell>
          <cell r="C3423">
            <v>182852204</v>
          </cell>
          <cell r="D3423" t="str">
            <v>VIEJO 2204</v>
          </cell>
          <cell r="E3423">
            <v>36948</v>
          </cell>
          <cell r="F3423" t="b">
            <v>1</v>
          </cell>
          <cell r="G3423">
            <v>13534.0060615737</v>
          </cell>
          <cell r="H3423">
            <v>809.62732441001504</v>
          </cell>
        </row>
        <row r="3424">
          <cell r="B3424" t="str">
            <v>VIEJO 22049110</v>
          </cell>
          <cell r="C3424">
            <v>182852204</v>
          </cell>
          <cell r="D3424" t="str">
            <v>VIEJO 2204</v>
          </cell>
          <cell r="E3424">
            <v>9110</v>
          </cell>
          <cell r="F3424" t="b">
            <v>1</v>
          </cell>
          <cell r="G3424">
            <v>6943.3734992227301</v>
          </cell>
          <cell r="H3424">
            <v>472.91158737896598</v>
          </cell>
        </row>
        <row r="3425">
          <cell r="B3425" t="str">
            <v>VIEJO 22049440</v>
          </cell>
          <cell r="C3425">
            <v>182852204</v>
          </cell>
          <cell r="D3425" t="str">
            <v>VIEJO 2204</v>
          </cell>
          <cell r="E3425">
            <v>9440</v>
          </cell>
          <cell r="F3425" t="b">
            <v>1</v>
          </cell>
          <cell r="G3425">
            <v>5507.4999548489704</v>
          </cell>
          <cell r="H3425">
            <v>123.739517955824</v>
          </cell>
        </row>
        <row r="3426">
          <cell r="B3426" t="str">
            <v>VIEJO 22049540</v>
          </cell>
          <cell r="C3426">
            <v>182852204</v>
          </cell>
          <cell r="D3426" t="str">
            <v>VIEJO 2204</v>
          </cell>
          <cell r="E3426">
            <v>9540</v>
          </cell>
          <cell r="F3426" t="b">
            <v>0</v>
          </cell>
          <cell r="G3426">
            <v>3592.08896987344</v>
          </cell>
          <cell r="H3426">
            <v>2319.70966787614</v>
          </cell>
        </row>
        <row r="3427">
          <cell r="B3427" t="str">
            <v>VIEJO 2204CB</v>
          </cell>
          <cell r="C3427">
            <v>182852204</v>
          </cell>
          <cell r="D3427" t="str">
            <v>VIEJO 2204</v>
          </cell>
          <cell r="E3427" t="str">
            <v>CB</v>
          </cell>
          <cell r="F3427" t="b">
            <v>0</v>
          </cell>
          <cell r="G3427">
            <v>4041.5057126736701</v>
          </cell>
          <cell r="H3427">
            <v>3727.5542985790298</v>
          </cell>
        </row>
        <row r="3428">
          <cell r="B3428" t="str">
            <v>VINEYARD 2107246084</v>
          </cell>
          <cell r="C3428">
            <v>14502107</v>
          </cell>
          <cell r="D3428" t="str">
            <v>VINEYARD 2107</v>
          </cell>
          <cell r="E3428">
            <v>246084</v>
          </cell>
          <cell r="F3428" t="b">
            <v>1</v>
          </cell>
          <cell r="G3428">
            <v>830.43503338721496</v>
          </cell>
          <cell r="H3428">
            <v>385.24430470309801</v>
          </cell>
        </row>
        <row r="3429">
          <cell r="B3429" t="str">
            <v>VINEYARD 2107978364</v>
          </cell>
          <cell r="C3429">
            <v>14502107</v>
          </cell>
          <cell r="D3429" t="str">
            <v>VINEYARD 2107</v>
          </cell>
          <cell r="E3429">
            <v>978364</v>
          </cell>
          <cell r="F3429" t="b">
            <v>0</v>
          </cell>
          <cell r="G3429">
            <v>4026.4295255571801</v>
          </cell>
          <cell r="H3429">
            <v>1557.65726742437</v>
          </cell>
        </row>
        <row r="3430">
          <cell r="B3430" t="str">
            <v>VINEYARD 2107CB</v>
          </cell>
          <cell r="C3430">
            <v>14502107</v>
          </cell>
          <cell r="D3430" t="str">
            <v>VINEYARD 2107</v>
          </cell>
          <cell r="E3430" t="str">
            <v>CB</v>
          </cell>
          <cell r="F3430" t="b">
            <v>0</v>
          </cell>
          <cell r="G3430">
            <v>12364.421939841801</v>
          </cell>
          <cell r="H3430">
            <v>3069.8489247534899</v>
          </cell>
        </row>
        <row r="3431">
          <cell r="B3431" t="str">
            <v>VINEYARD 2107MR332</v>
          </cell>
          <cell r="C3431">
            <v>14502107</v>
          </cell>
          <cell r="D3431" t="str">
            <v>VINEYARD 2107</v>
          </cell>
          <cell r="E3431" t="str">
            <v>MR332</v>
          </cell>
          <cell r="F3431" t="b">
            <v>1</v>
          </cell>
          <cell r="G3431">
            <v>4548.7456954233703</v>
          </cell>
          <cell r="H3431">
            <v>520.66286401593504</v>
          </cell>
        </row>
        <row r="3432">
          <cell r="B3432" t="str">
            <v>VINEYARD 2108383748</v>
          </cell>
          <cell r="C3432">
            <v>14502108</v>
          </cell>
          <cell r="D3432" t="str">
            <v>VINEYARD 2108</v>
          </cell>
          <cell r="E3432">
            <v>383748</v>
          </cell>
          <cell r="F3432" t="b">
            <v>1</v>
          </cell>
          <cell r="G3432">
            <v>582.31803847741696</v>
          </cell>
          <cell r="H3432">
            <v>582.31803847741696</v>
          </cell>
        </row>
        <row r="3433">
          <cell r="B3433" t="str">
            <v>VINEYARD 2108609690</v>
          </cell>
          <cell r="C3433">
            <v>14502108</v>
          </cell>
          <cell r="D3433" t="str">
            <v>VINEYARD 2108</v>
          </cell>
          <cell r="E3433">
            <v>609690</v>
          </cell>
          <cell r="F3433" t="b">
            <v>0</v>
          </cell>
          <cell r="G3433">
            <v>12043.450966549201</v>
          </cell>
          <cell r="H3433">
            <v>7774.3070942342301</v>
          </cell>
        </row>
        <row r="3434">
          <cell r="B3434" t="str">
            <v>VINEYARD 2108MR172</v>
          </cell>
          <cell r="C3434">
            <v>14502108</v>
          </cell>
          <cell r="D3434" t="str">
            <v>VINEYARD 2108</v>
          </cell>
          <cell r="E3434" t="str">
            <v>MR172</v>
          </cell>
          <cell r="F3434" t="b">
            <v>1</v>
          </cell>
          <cell r="G3434">
            <v>1779.12534395482</v>
          </cell>
          <cell r="H3434">
            <v>856.80018265735896</v>
          </cell>
        </row>
        <row r="3435">
          <cell r="B3435" t="str">
            <v>VINEYARD 2110391250</v>
          </cell>
          <cell r="C3435">
            <v>14502110</v>
          </cell>
          <cell r="D3435" t="str">
            <v>VINEYARD 2110</v>
          </cell>
          <cell r="E3435">
            <v>391250</v>
          </cell>
          <cell r="F3435" t="b">
            <v>0</v>
          </cell>
          <cell r="G3435">
            <v>1481.32264495763</v>
          </cell>
          <cell r="H3435">
            <v>1481.32264495763</v>
          </cell>
        </row>
        <row r="3436">
          <cell r="B3436" t="str">
            <v>VINEYARD 2110CB</v>
          </cell>
          <cell r="C3436">
            <v>14502110</v>
          </cell>
          <cell r="D3436" t="str">
            <v>VINEYARD 2110</v>
          </cell>
          <cell r="E3436" t="str">
            <v>CB</v>
          </cell>
          <cell r="F3436" t="b">
            <v>0</v>
          </cell>
          <cell r="G3436">
            <v>16260.0031729353</v>
          </cell>
          <cell r="H3436">
            <v>8994.5064152397208</v>
          </cell>
        </row>
        <row r="3437">
          <cell r="B3437" t="str">
            <v>VOLTA 11011516</v>
          </cell>
          <cell r="C3437">
            <v>102541101</v>
          </cell>
          <cell r="D3437" t="str">
            <v>VOLTA 1101</v>
          </cell>
          <cell r="E3437">
            <v>1516</v>
          </cell>
          <cell r="F3437" t="b">
            <v>0</v>
          </cell>
          <cell r="G3437">
            <v>41402.755784893103</v>
          </cell>
          <cell r="H3437">
            <v>40856.604486234603</v>
          </cell>
        </row>
        <row r="3438">
          <cell r="B3438" t="str">
            <v>VOLTA 11011568</v>
          </cell>
          <cell r="C3438">
            <v>102541101</v>
          </cell>
          <cell r="D3438" t="str">
            <v>VOLTA 1101</v>
          </cell>
          <cell r="E3438">
            <v>1568</v>
          </cell>
          <cell r="F3438" t="b">
            <v>0</v>
          </cell>
          <cell r="G3438">
            <v>37176.496760695401</v>
          </cell>
          <cell r="H3438">
            <v>37176.496760695401</v>
          </cell>
        </row>
        <row r="3439">
          <cell r="B3439" t="str">
            <v>VOLTA 11011596</v>
          </cell>
          <cell r="C3439">
            <v>102541101</v>
          </cell>
          <cell r="D3439" t="str">
            <v>VOLTA 1101</v>
          </cell>
          <cell r="E3439">
            <v>1596</v>
          </cell>
          <cell r="F3439" t="b">
            <v>0</v>
          </cell>
          <cell r="G3439">
            <v>35104.546457862401</v>
          </cell>
          <cell r="H3439">
            <v>35104.546457862401</v>
          </cell>
        </row>
        <row r="3440">
          <cell r="B3440" t="str">
            <v>VOLTA 11011640</v>
          </cell>
          <cell r="C3440">
            <v>102541101</v>
          </cell>
          <cell r="D3440" t="str">
            <v>VOLTA 1101</v>
          </cell>
          <cell r="E3440">
            <v>1640</v>
          </cell>
          <cell r="F3440" t="b">
            <v>0</v>
          </cell>
          <cell r="G3440">
            <v>16804.165980010999</v>
          </cell>
          <cell r="H3440">
            <v>16804.165980010999</v>
          </cell>
        </row>
        <row r="3441">
          <cell r="B3441" t="str">
            <v>VOLTA 110149742</v>
          </cell>
          <cell r="C3441">
            <v>102541101</v>
          </cell>
          <cell r="D3441" t="str">
            <v>VOLTA 1101</v>
          </cell>
          <cell r="E3441">
            <v>49742</v>
          </cell>
          <cell r="F3441" t="b">
            <v>0</v>
          </cell>
          <cell r="G3441">
            <v>5593.8567607372397</v>
          </cell>
          <cell r="H3441">
            <v>5593.8567607372397</v>
          </cell>
        </row>
        <row r="3442">
          <cell r="B3442" t="str">
            <v>VOLTA 110153118</v>
          </cell>
          <cell r="C3442">
            <v>102541101</v>
          </cell>
          <cell r="D3442" t="str">
            <v>VOLTA 1101</v>
          </cell>
          <cell r="E3442">
            <v>53118</v>
          </cell>
          <cell r="F3442" t="b">
            <v>0</v>
          </cell>
          <cell r="G3442">
            <v>15490.2628530606</v>
          </cell>
          <cell r="H3442">
            <v>15490.2628530606</v>
          </cell>
        </row>
        <row r="3443">
          <cell r="B3443" t="str">
            <v>VOLTA 110165764</v>
          </cell>
          <cell r="C3443">
            <v>102541101</v>
          </cell>
          <cell r="D3443" t="str">
            <v>VOLTA 1101</v>
          </cell>
          <cell r="E3443">
            <v>65764</v>
          </cell>
          <cell r="F3443" t="b">
            <v>0</v>
          </cell>
          <cell r="G3443">
            <v>16669.4005004295</v>
          </cell>
          <cell r="H3443">
            <v>16669.4005004295</v>
          </cell>
        </row>
        <row r="3444">
          <cell r="B3444" t="str">
            <v>VOLTA 110180454</v>
          </cell>
          <cell r="C3444">
            <v>102541101</v>
          </cell>
          <cell r="D3444" t="str">
            <v>VOLTA 1101</v>
          </cell>
          <cell r="E3444">
            <v>80454</v>
          </cell>
          <cell r="F3444" t="b">
            <v>0</v>
          </cell>
          <cell r="G3444">
            <v>51836.244994567598</v>
          </cell>
          <cell r="H3444">
            <v>51220.5160606309</v>
          </cell>
        </row>
        <row r="3445">
          <cell r="B3445" t="str">
            <v>VOLTA 110185234</v>
          </cell>
          <cell r="C3445">
            <v>102541101</v>
          </cell>
          <cell r="D3445" t="str">
            <v>VOLTA 1101</v>
          </cell>
          <cell r="E3445">
            <v>85234</v>
          </cell>
          <cell r="F3445" t="b">
            <v>0</v>
          </cell>
          <cell r="G3445">
            <v>12730.834699102699</v>
          </cell>
          <cell r="H3445">
            <v>12730.834699102699</v>
          </cell>
        </row>
        <row r="3446">
          <cell r="B3446" t="str">
            <v>VOLTA 1101CB</v>
          </cell>
          <cell r="C3446">
            <v>102541101</v>
          </cell>
          <cell r="D3446" t="str">
            <v>VOLTA 1101</v>
          </cell>
          <cell r="E3446" t="str">
            <v>CB</v>
          </cell>
          <cell r="F3446" t="b">
            <v>0</v>
          </cell>
          <cell r="G3446">
            <v>14817.1822928907</v>
          </cell>
          <cell r="H3446">
            <v>14817.1822928907</v>
          </cell>
        </row>
        <row r="3447">
          <cell r="B3447" t="str">
            <v>VOLTA 11021502</v>
          </cell>
          <cell r="C3447">
            <v>102541102</v>
          </cell>
          <cell r="D3447" t="str">
            <v>VOLTA 1102</v>
          </cell>
          <cell r="E3447">
            <v>1502</v>
          </cell>
          <cell r="F3447" t="b">
            <v>0</v>
          </cell>
          <cell r="G3447">
            <v>11680.2523363533</v>
          </cell>
          <cell r="H3447">
            <v>11680.2523363533</v>
          </cell>
        </row>
        <row r="3448">
          <cell r="B3448" t="str">
            <v>VOLTA 11021504</v>
          </cell>
          <cell r="C3448">
            <v>102541102</v>
          </cell>
          <cell r="D3448" t="str">
            <v>VOLTA 1102</v>
          </cell>
          <cell r="E3448">
            <v>1504</v>
          </cell>
          <cell r="F3448" t="b">
            <v>0</v>
          </cell>
          <cell r="G3448">
            <v>13347.4852897609</v>
          </cell>
          <cell r="H3448">
            <v>13347.4852897609</v>
          </cell>
        </row>
        <row r="3449">
          <cell r="B3449" t="str">
            <v>VOLTA 11021646</v>
          </cell>
          <cell r="C3449">
            <v>102541102</v>
          </cell>
          <cell r="D3449" t="str">
            <v>VOLTA 1102</v>
          </cell>
          <cell r="E3449">
            <v>1646</v>
          </cell>
          <cell r="F3449" t="b">
            <v>0</v>
          </cell>
          <cell r="G3449">
            <v>38843.319144330497</v>
          </cell>
          <cell r="H3449">
            <v>38535.026511176598</v>
          </cell>
        </row>
        <row r="3450">
          <cell r="B3450" t="str">
            <v>VOLTA 11021650</v>
          </cell>
          <cell r="C3450">
            <v>102541102</v>
          </cell>
          <cell r="D3450" t="str">
            <v>VOLTA 1102</v>
          </cell>
          <cell r="E3450">
            <v>1650</v>
          </cell>
          <cell r="F3450" t="b">
            <v>0</v>
          </cell>
          <cell r="G3450">
            <v>34931.974318947097</v>
          </cell>
          <cell r="H3450">
            <v>34931.974318947097</v>
          </cell>
        </row>
        <row r="3451">
          <cell r="B3451" t="str">
            <v>VOLTA 110237350</v>
          </cell>
          <cell r="C3451">
            <v>102541102</v>
          </cell>
          <cell r="D3451" t="str">
            <v>VOLTA 1102</v>
          </cell>
          <cell r="E3451">
            <v>37350</v>
          </cell>
          <cell r="F3451" t="b">
            <v>0</v>
          </cell>
          <cell r="G3451">
            <v>39069.900620662302</v>
          </cell>
          <cell r="H3451">
            <v>39069.900620662302</v>
          </cell>
        </row>
        <row r="3452">
          <cell r="B3452" t="str">
            <v>VOLTA 1102453266</v>
          </cell>
          <cell r="C3452">
            <v>102541102</v>
          </cell>
          <cell r="D3452" t="str">
            <v>VOLTA 1102</v>
          </cell>
          <cell r="E3452">
            <v>453266</v>
          </cell>
          <cell r="F3452" t="b">
            <v>1</v>
          </cell>
          <cell r="G3452">
            <v>510.150868777825</v>
          </cell>
          <cell r="H3452">
            <v>510.150868777825</v>
          </cell>
        </row>
        <row r="3453">
          <cell r="B3453" t="str">
            <v>VOLTA 110253130</v>
          </cell>
          <cell r="C3453">
            <v>102541102</v>
          </cell>
          <cell r="D3453" t="str">
            <v>VOLTA 1102</v>
          </cell>
          <cell r="E3453">
            <v>53130</v>
          </cell>
          <cell r="F3453" t="b">
            <v>0</v>
          </cell>
          <cell r="G3453">
            <v>22213.296130283699</v>
          </cell>
          <cell r="H3453">
            <v>22213.296130283699</v>
          </cell>
        </row>
        <row r="3454">
          <cell r="B3454" t="str">
            <v>VOLTA 110254932</v>
          </cell>
          <cell r="C3454">
            <v>102541102</v>
          </cell>
          <cell r="D3454" t="str">
            <v>VOLTA 1102</v>
          </cell>
          <cell r="E3454">
            <v>54932</v>
          </cell>
          <cell r="F3454" t="b">
            <v>0</v>
          </cell>
          <cell r="G3454">
            <v>7042.6654201302799</v>
          </cell>
          <cell r="H3454">
            <v>7042.6654201302799</v>
          </cell>
        </row>
        <row r="3455">
          <cell r="B3455" t="str">
            <v>VOLTA 1102641544</v>
          </cell>
          <cell r="C3455">
            <v>102541102</v>
          </cell>
          <cell r="D3455" t="str">
            <v>VOLTA 1102</v>
          </cell>
          <cell r="E3455">
            <v>641544</v>
          </cell>
          <cell r="F3455" t="b">
            <v>0</v>
          </cell>
          <cell r="G3455">
            <v>7956.2573108228398</v>
          </cell>
          <cell r="H3455">
            <v>7956.2573108228398</v>
          </cell>
        </row>
        <row r="3456">
          <cell r="B3456" t="str">
            <v>VOLTA 110280982</v>
          </cell>
          <cell r="C3456">
            <v>102541102</v>
          </cell>
          <cell r="D3456" t="str">
            <v>VOLTA 1102</v>
          </cell>
          <cell r="E3456">
            <v>80982</v>
          </cell>
          <cell r="F3456" t="b">
            <v>1</v>
          </cell>
          <cell r="G3456">
            <v>836.52313223680801</v>
          </cell>
          <cell r="H3456">
            <v>836.52313223680801</v>
          </cell>
        </row>
        <row r="3457">
          <cell r="B3457" t="str">
            <v>VOLTA 110293418</v>
          </cell>
          <cell r="C3457">
            <v>102541102</v>
          </cell>
          <cell r="D3457" t="str">
            <v>VOLTA 1102</v>
          </cell>
          <cell r="E3457">
            <v>93418</v>
          </cell>
          <cell r="F3457" t="b">
            <v>0</v>
          </cell>
          <cell r="G3457">
            <v>4145.9231739104998</v>
          </cell>
          <cell r="H3457">
            <v>4145.9231739104998</v>
          </cell>
        </row>
        <row r="3458">
          <cell r="B3458" t="str">
            <v>VOLTA 11029742</v>
          </cell>
          <cell r="C3458">
            <v>102541102</v>
          </cell>
          <cell r="D3458" t="str">
            <v>VOLTA 1102</v>
          </cell>
          <cell r="E3458">
            <v>9742</v>
          </cell>
          <cell r="F3458" t="b">
            <v>0</v>
          </cell>
          <cell r="G3458">
            <v>14685.6636215852</v>
          </cell>
          <cell r="H3458">
            <v>14685.6636215852</v>
          </cell>
        </row>
        <row r="3459">
          <cell r="B3459" t="str">
            <v>VOLTA 110297816</v>
          </cell>
          <cell r="C3459">
            <v>102541102</v>
          </cell>
          <cell r="D3459" t="str">
            <v>VOLTA 1102</v>
          </cell>
          <cell r="E3459">
            <v>97816</v>
          </cell>
          <cell r="F3459" t="b">
            <v>0</v>
          </cell>
          <cell r="G3459">
            <v>8457.2763432713</v>
          </cell>
          <cell r="H3459">
            <v>8457.2763432713</v>
          </cell>
        </row>
        <row r="3460">
          <cell r="B3460" t="str">
            <v>VOLTA 1102CB</v>
          </cell>
          <cell r="C3460">
            <v>102541102</v>
          </cell>
          <cell r="D3460" t="str">
            <v>VOLTA 1102</v>
          </cell>
          <cell r="E3460" t="str">
            <v>CB</v>
          </cell>
          <cell r="F3460" t="b">
            <v>0</v>
          </cell>
          <cell r="G3460">
            <v>5307.8326952088401</v>
          </cell>
          <cell r="H3460">
            <v>5307.8326952088401</v>
          </cell>
        </row>
        <row r="3461">
          <cell r="B3461" t="str">
            <v>WALDO 0401965216</v>
          </cell>
          <cell r="C3461">
            <v>13350401</v>
          </cell>
          <cell r="D3461" t="str">
            <v>WALDO 0401</v>
          </cell>
          <cell r="E3461">
            <v>965216</v>
          </cell>
          <cell r="F3461" t="b">
            <v>0</v>
          </cell>
          <cell r="G3461">
            <v>2651.88591643975</v>
          </cell>
          <cell r="H3461">
            <v>2642.7418685724201</v>
          </cell>
        </row>
        <row r="3462">
          <cell r="B3462" t="str">
            <v>WALDO 0401CB</v>
          </cell>
          <cell r="C3462">
            <v>13350401</v>
          </cell>
          <cell r="D3462" t="str">
            <v>WALDO 0401</v>
          </cell>
          <cell r="E3462" t="str">
            <v>CB</v>
          </cell>
          <cell r="F3462" t="b">
            <v>1</v>
          </cell>
          <cell r="G3462">
            <v>6516.7766948062599</v>
          </cell>
          <cell r="H3462">
            <v>0</v>
          </cell>
        </row>
        <row r="3463">
          <cell r="B3463" t="str">
            <v>WALDO 0402258792</v>
          </cell>
          <cell r="C3463">
            <v>13350402</v>
          </cell>
          <cell r="D3463" t="str">
            <v>WALDO 0402</v>
          </cell>
          <cell r="E3463">
            <v>258792</v>
          </cell>
          <cell r="F3463" t="b">
            <v>0</v>
          </cell>
          <cell r="G3463">
            <v>4808.6866786471101</v>
          </cell>
          <cell r="H3463">
            <v>4793.9751325294701</v>
          </cell>
        </row>
        <row r="3464">
          <cell r="B3464" t="str">
            <v>WALDO 0402CB</v>
          </cell>
          <cell r="C3464">
            <v>13350402</v>
          </cell>
          <cell r="D3464" t="str">
            <v>WALDO 0402</v>
          </cell>
          <cell r="E3464" t="str">
            <v>CB</v>
          </cell>
          <cell r="F3464" t="b">
            <v>1</v>
          </cell>
          <cell r="G3464">
            <v>3475.5479951369698</v>
          </cell>
          <cell r="H3464">
            <v>0</v>
          </cell>
        </row>
        <row r="3465">
          <cell r="B3465" t="str">
            <v>WATERSHED 0402CB</v>
          </cell>
          <cell r="C3465">
            <v>24240402</v>
          </cell>
          <cell r="D3465" t="str">
            <v>WATERSHED 0402</v>
          </cell>
          <cell r="E3465" t="str">
            <v>CB</v>
          </cell>
          <cell r="F3465" t="b">
            <v>1</v>
          </cell>
          <cell r="G3465">
            <v>1752.4586954285201</v>
          </cell>
          <cell r="H3465">
            <v>342.980040238794</v>
          </cell>
        </row>
        <row r="3466">
          <cell r="B3466" t="str">
            <v>WAYNE 0401954811</v>
          </cell>
          <cell r="C3466">
            <v>13810401</v>
          </cell>
          <cell r="D3466" t="str">
            <v>WAYNE 0401</v>
          </cell>
          <cell r="E3466">
            <v>954811</v>
          </cell>
          <cell r="F3466" t="b">
            <v>1</v>
          </cell>
          <cell r="G3466">
            <v>903.93470802182901</v>
          </cell>
          <cell r="H3466">
            <v>282.89346546407199</v>
          </cell>
        </row>
        <row r="3467">
          <cell r="B3467" t="str">
            <v>WEIMAR 11012058</v>
          </cell>
          <cell r="C3467">
            <v>152491101</v>
          </cell>
          <cell r="D3467" t="str">
            <v>WEIMAR 1101</v>
          </cell>
          <cell r="E3467">
            <v>2058</v>
          </cell>
          <cell r="F3467" t="b">
            <v>0</v>
          </cell>
          <cell r="G3467">
            <v>34315.206505780698</v>
          </cell>
          <cell r="H3467">
            <v>34315.206505780698</v>
          </cell>
        </row>
        <row r="3468">
          <cell r="B3468" t="str">
            <v>WEIMAR 11012084</v>
          </cell>
          <cell r="C3468">
            <v>152491101</v>
          </cell>
          <cell r="D3468" t="str">
            <v>WEIMAR 1101</v>
          </cell>
          <cell r="E3468">
            <v>2084</v>
          </cell>
          <cell r="F3468" t="b">
            <v>0</v>
          </cell>
          <cell r="G3468">
            <v>29723.3402621471</v>
          </cell>
          <cell r="H3468">
            <v>29723.3402621471</v>
          </cell>
        </row>
        <row r="3469">
          <cell r="B3469" t="str">
            <v>WEIMAR 11012740</v>
          </cell>
          <cell r="C3469">
            <v>152491101</v>
          </cell>
          <cell r="D3469" t="str">
            <v>WEIMAR 1101</v>
          </cell>
          <cell r="E3469">
            <v>2740</v>
          </cell>
          <cell r="F3469" t="b">
            <v>0</v>
          </cell>
          <cell r="G3469">
            <v>30939.0056238137</v>
          </cell>
          <cell r="H3469">
            <v>30939.0056238137</v>
          </cell>
        </row>
        <row r="3470">
          <cell r="B3470" t="str">
            <v>WEIMAR 11012764</v>
          </cell>
          <cell r="C3470">
            <v>152491101</v>
          </cell>
          <cell r="D3470" t="str">
            <v>WEIMAR 1101</v>
          </cell>
          <cell r="E3470">
            <v>2764</v>
          </cell>
          <cell r="F3470" t="b">
            <v>0</v>
          </cell>
          <cell r="G3470">
            <v>9871.3778296199907</v>
          </cell>
          <cell r="H3470">
            <v>9871.3778296199907</v>
          </cell>
        </row>
        <row r="3471">
          <cell r="B3471" t="str">
            <v>WEIMAR 1101CB</v>
          </cell>
          <cell r="C3471">
            <v>152491101</v>
          </cell>
          <cell r="D3471" t="str">
            <v>WEIMAR 1101</v>
          </cell>
          <cell r="E3471" t="str">
            <v>CB</v>
          </cell>
          <cell r="F3471" t="b">
            <v>0</v>
          </cell>
          <cell r="G3471">
            <v>14897.593924065201</v>
          </cell>
          <cell r="H3471">
            <v>14897.593924065201</v>
          </cell>
        </row>
        <row r="3472">
          <cell r="B3472" t="str">
            <v>WEIMAR 11022038</v>
          </cell>
          <cell r="C3472">
            <v>152491102</v>
          </cell>
          <cell r="D3472" t="str">
            <v>WEIMAR 1102</v>
          </cell>
          <cell r="E3472">
            <v>2038</v>
          </cell>
          <cell r="F3472" t="b">
            <v>0</v>
          </cell>
          <cell r="G3472">
            <v>21510.923287970301</v>
          </cell>
          <cell r="H3472">
            <v>21510.923287970301</v>
          </cell>
        </row>
        <row r="3473">
          <cell r="B3473" t="str">
            <v>WEIMAR 11026175</v>
          </cell>
          <cell r="C3473">
            <v>152491102</v>
          </cell>
          <cell r="D3473" t="str">
            <v>WEIMAR 1102</v>
          </cell>
          <cell r="E3473">
            <v>6175</v>
          </cell>
          <cell r="F3473" t="b">
            <v>0</v>
          </cell>
          <cell r="G3473">
            <v>4418.4641882660799</v>
          </cell>
          <cell r="H3473">
            <v>4418.4641882660799</v>
          </cell>
        </row>
        <row r="3474">
          <cell r="B3474" t="str">
            <v>WEIMAR 1102CB</v>
          </cell>
          <cell r="C3474">
            <v>152491102</v>
          </cell>
          <cell r="D3474" t="str">
            <v>WEIMAR 1102</v>
          </cell>
          <cell r="E3474" t="str">
            <v>CB</v>
          </cell>
          <cell r="F3474" t="b">
            <v>0</v>
          </cell>
          <cell r="G3474">
            <v>19605.556297796302</v>
          </cell>
          <cell r="H3474">
            <v>19605.556297796302</v>
          </cell>
        </row>
        <row r="3475">
          <cell r="B3475" t="str">
            <v>WEST POINT 110112256</v>
          </cell>
          <cell r="C3475">
            <v>163201101</v>
          </cell>
          <cell r="D3475" t="str">
            <v>WEST POINT 1101</v>
          </cell>
          <cell r="E3475">
            <v>12256</v>
          </cell>
          <cell r="F3475" t="b">
            <v>0</v>
          </cell>
          <cell r="G3475">
            <v>10425.115914054801</v>
          </cell>
          <cell r="H3475">
            <v>10425.115914054801</v>
          </cell>
        </row>
        <row r="3476">
          <cell r="B3476" t="str">
            <v>WEST POINT 110113444</v>
          </cell>
          <cell r="C3476">
            <v>163201101</v>
          </cell>
          <cell r="D3476" t="str">
            <v>WEST POINT 1101</v>
          </cell>
          <cell r="E3476">
            <v>13444</v>
          </cell>
          <cell r="F3476" t="b">
            <v>0</v>
          </cell>
          <cell r="G3476">
            <v>27386.8447044764</v>
          </cell>
          <cell r="H3476">
            <v>27386.8447044764</v>
          </cell>
        </row>
        <row r="3477">
          <cell r="B3477" t="str">
            <v>WEST POINT 110136674</v>
          </cell>
          <cell r="C3477">
            <v>163201101</v>
          </cell>
          <cell r="D3477" t="str">
            <v>WEST POINT 1101</v>
          </cell>
          <cell r="E3477">
            <v>36674</v>
          </cell>
          <cell r="F3477" t="b">
            <v>0</v>
          </cell>
          <cell r="G3477">
            <v>15144.146589468201</v>
          </cell>
          <cell r="H3477">
            <v>15144.146589468201</v>
          </cell>
        </row>
        <row r="3478">
          <cell r="B3478" t="str">
            <v>WEST POINT 11014706</v>
          </cell>
          <cell r="C3478">
            <v>163201101</v>
          </cell>
          <cell r="D3478" t="str">
            <v>WEST POINT 1101</v>
          </cell>
          <cell r="E3478">
            <v>4706</v>
          </cell>
          <cell r="F3478" t="b">
            <v>0</v>
          </cell>
          <cell r="G3478">
            <v>18429.6340041851</v>
          </cell>
          <cell r="H3478">
            <v>18429.6340041851</v>
          </cell>
        </row>
        <row r="3479">
          <cell r="B3479" t="str">
            <v>WEST POINT 1101CB</v>
          </cell>
          <cell r="C3479">
            <v>163201101</v>
          </cell>
          <cell r="D3479" t="str">
            <v>WEST POINT 1101</v>
          </cell>
          <cell r="E3479" t="str">
            <v>CB</v>
          </cell>
          <cell r="F3479" t="b">
            <v>0</v>
          </cell>
          <cell r="G3479">
            <v>7713.2868776241903</v>
          </cell>
          <cell r="H3479">
            <v>7713.2868776241903</v>
          </cell>
        </row>
        <row r="3480">
          <cell r="B3480" t="str">
            <v>WEST POINT 1101L1969</v>
          </cell>
          <cell r="C3480">
            <v>163201101</v>
          </cell>
          <cell r="D3480" t="str">
            <v>WEST POINT 1101</v>
          </cell>
          <cell r="E3480" t="str">
            <v>L1969</v>
          </cell>
          <cell r="F3480" t="b">
            <v>0</v>
          </cell>
          <cell r="G3480">
            <v>1768.61388681521</v>
          </cell>
          <cell r="H3480">
            <v>1768.61388681521</v>
          </cell>
        </row>
        <row r="3481">
          <cell r="B3481" t="str">
            <v>WEST POINT 1101L2219</v>
          </cell>
          <cell r="C3481">
            <v>163201101</v>
          </cell>
          <cell r="D3481" t="str">
            <v>WEST POINT 1101</v>
          </cell>
          <cell r="E3481" t="str">
            <v>L2219</v>
          </cell>
          <cell r="F3481" t="b">
            <v>0</v>
          </cell>
          <cell r="G3481">
            <v>5447.1163381865499</v>
          </cell>
          <cell r="H3481">
            <v>5447.1163381865499</v>
          </cell>
        </row>
        <row r="3482">
          <cell r="B3482" t="str">
            <v>WEST POINT 1101L3355</v>
          </cell>
          <cell r="C3482">
            <v>163201101</v>
          </cell>
          <cell r="D3482" t="str">
            <v>WEST POINT 1101</v>
          </cell>
          <cell r="E3482" t="str">
            <v>L3355</v>
          </cell>
          <cell r="F3482" t="b">
            <v>0</v>
          </cell>
          <cell r="G3482">
            <v>3618.1853036161101</v>
          </cell>
          <cell r="H3482">
            <v>3618.1853036161101</v>
          </cell>
        </row>
        <row r="3483">
          <cell r="B3483" t="str">
            <v>WEST POINT 1101L373</v>
          </cell>
          <cell r="C3483">
            <v>163201101</v>
          </cell>
          <cell r="D3483" t="str">
            <v>WEST POINT 1101</v>
          </cell>
          <cell r="E3483" t="str">
            <v>L373</v>
          </cell>
          <cell r="F3483" t="b">
            <v>0</v>
          </cell>
          <cell r="G3483">
            <v>11899.5211026862</v>
          </cell>
          <cell r="H3483">
            <v>11899.5211026862</v>
          </cell>
        </row>
        <row r="3484">
          <cell r="B3484" t="str">
            <v>WEST POINT 11021303</v>
          </cell>
          <cell r="C3484">
            <v>163201102</v>
          </cell>
          <cell r="D3484" t="str">
            <v>WEST POINT 1102</v>
          </cell>
          <cell r="E3484">
            <v>1303</v>
          </cell>
          <cell r="F3484" t="b">
            <v>0</v>
          </cell>
          <cell r="G3484">
            <v>25207.413834476101</v>
          </cell>
          <cell r="H3484">
            <v>25207.413834476101</v>
          </cell>
        </row>
        <row r="3485">
          <cell r="B3485" t="str">
            <v>WEST POINT 11021305</v>
          </cell>
          <cell r="C3485">
            <v>163201102</v>
          </cell>
          <cell r="D3485" t="str">
            <v>WEST POINT 1102</v>
          </cell>
          <cell r="E3485">
            <v>1305</v>
          </cell>
          <cell r="F3485" t="b">
            <v>0</v>
          </cell>
          <cell r="G3485">
            <v>18201.370804647198</v>
          </cell>
          <cell r="H3485">
            <v>18201.370804647198</v>
          </cell>
        </row>
        <row r="3486">
          <cell r="B3486" t="str">
            <v>WEST POINT 11021341</v>
          </cell>
          <cell r="C3486">
            <v>163201102</v>
          </cell>
          <cell r="D3486" t="str">
            <v>WEST POINT 1102</v>
          </cell>
          <cell r="E3486">
            <v>1341</v>
          </cell>
          <cell r="F3486" t="b">
            <v>0</v>
          </cell>
          <cell r="G3486">
            <v>15927.2158617779</v>
          </cell>
          <cell r="H3486">
            <v>15927.2158617779</v>
          </cell>
        </row>
        <row r="3487">
          <cell r="B3487" t="str">
            <v>WEST POINT 11021535</v>
          </cell>
          <cell r="C3487">
            <v>163201102</v>
          </cell>
          <cell r="D3487" t="str">
            <v>WEST POINT 1102</v>
          </cell>
          <cell r="E3487">
            <v>1535</v>
          </cell>
          <cell r="F3487" t="b">
            <v>0</v>
          </cell>
          <cell r="G3487">
            <v>4933.58948281024</v>
          </cell>
          <cell r="H3487">
            <v>4933.58948281024</v>
          </cell>
        </row>
        <row r="3488">
          <cell r="B3488" t="str">
            <v>WEST POINT 110234416</v>
          </cell>
          <cell r="C3488">
            <v>163201102</v>
          </cell>
          <cell r="D3488" t="str">
            <v>WEST POINT 1102</v>
          </cell>
          <cell r="E3488">
            <v>34416</v>
          </cell>
          <cell r="F3488" t="b">
            <v>0</v>
          </cell>
          <cell r="G3488">
            <v>16821.512674276601</v>
          </cell>
          <cell r="H3488">
            <v>16821.512674276601</v>
          </cell>
        </row>
        <row r="3489">
          <cell r="B3489" t="str">
            <v>WEST POINT 110236676</v>
          </cell>
          <cell r="C3489">
            <v>163201102</v>
          </cell>
          <cell r="D3489" t="str">
            <v>WEST POINT 1102</v>
          </cell>
          <cell r="E3489">
            <v>36676</v>
          </cell>
          <cell r="F3489" t="b">
            <v>0</v>
          </cell>
          <cell r="G3489">
            <v>27305.8876967996</v>
          </cell>
          <cell r="H3489">
            <v>27305.8876967996</v>
          </cell>
        </row>
        <row r="3490">
          <cell r="B3490" t="str">
            <v>WEST POINT 11024788</v>
          </cell>
          <cell r="C3490">
            <v>163201102</v>
          </cell>
          <cell r="D3490" t="str">
            <v>WEST POINT 1102</v>
          </cell>
          <cell r="E3490">
            <v>4788</v>
          </cell>
          <cell r="F3490" t="b">
            <v>0</v>
          </cell>
          <cell r="G3490">
            <v>111874.95367822199</v>
          </cell>
          <cell r="H3490">
            <v>111874.95367822199</v>
          </cell>
        </row>
        <row r="3491">
          <cell r="B3491" t="str">
            <v>WEST POINT 11024790</v>
          </cell>
          <cell r="C3491">
            <v>163201102</v>
          </cell>
          <cell r="D3491" t="str">
            <v>WEST POINT 1102</v>
          </cell>
          <cell r="E3491">
            <v>4790</v>
          </cell>
          <cell r="F3491" t="b">
            <v>0</v>
          </cell>
          <cell r="G3491">
            <v>52731.038321812703</v>
          </cell>
          <cell r="H3491">
            <v>52731.038321812703</v>
          </cell>
        </row>
        <row r="3492">
          <cell r="B3492" t="str">
            <v>WEST POINT 11025357</v>
          </cell>
          <cell r="C3492">
            <v>163201102</v>
          </cell>
          <cell r="D3492" t="str">
            <v>WEST POINT 1102</v>
          </cell>
          <cell r="E3492">
            <v>5357</v>
          </cell>
          <cell r="F3492" t="b">
            <v>0</v>
          </cell>
          <cell r="G3492">
            <v>5401.7845486593897</v>
          </cell>
          <cell r="H3492">
            <v>5401.7845486593897</v>
          </cell>
        </row>
        <row r="3493">
          <cell r="B3493" t="str">
            <v>WEST POINT 110272036</v>
          </cell>
          <cell r="C3493">
            <v>163201102</v>
          </cell>
          <cell r="D3493" t="str">
            <v>WEST POINT 1102</v>
          </cell>
          <cell r="E3493">
            <v>72036</v>
          </cell>
          <cell r="F3493" t="b">
            <v>0</v>
          </cell>
          <cell r="G3493">
            <v>21135.824068993901</v>
          </cell>
          <cell r="H3493">
            <v>20864.461066818301</v>
          </cell>
        </row>
        <row r="3494">
          <cell r="B3494" t="str">
            <v>WEST POINT 110277204</v>
          </cell>
          <cell r="C3494">
            <v>163201102</v>
          </cell>
          <cell r="D3494" t="str">
            <v>WEST POINT 1102</v>
          </cell>
          <cell r="E3494">
            <v>77204</v>
          </cell>
          <cell r="F3494" t="b">
            <v>0</v>
          </cell>
          <cell r="G3494">
            <v>11918.3859720652</v>
          </cell>
          <cell r="H3494">
            <v>11918.3859720652</v>
          </cell>
        </row>
        <row r="3495">
          <cell r="B3495" t="str">
            <v>WEST POINT 110293116</v>
          </cell>
          <cell r="C3495">
            <v>163201102</v>
          </cell>
          <cell r="D3495" t="str">
            <v>WEST POINT 1102</v>
          </cell>
          <cell r="E3495">
            <v>93116</v>
          </cell>
          <cell r="F3495" t="b">
            <v>0</v>
          </cell>
          <cell r="G3495">
            <v>68103.731379427205</v>
          </cell>
          <cell r="H3495">
            <v>68103.731379427205</v>
          </cell>
        </row>
        <row r="3496">
          <cell r="B3496" t="str">
            <v>WEST POINT 1102CB</v>
          </cell>
          <cell r="C3496">
            <v>163201102</v>
          </cell>
          <cell r="D3496" t="str">
            <v>WEST POINT 1102</v>
          </cell>
          <cell r="E3496" t="str">
            <v>CB</v>
          </cell>
          <cell r="F3496" t="b">
            <v>0</v>
          </cell>
          <cell r="G3496">
            <v>28620.470982721399</v>
          </cell>
          <cell r="H3496">
            <v>28620.470982721399</v>
          </cell>
        </row>
        <row r="3497">
          <cell r="B3497" t="str">
            <v>WEST POINT 1102L3733</v>
          </cell>
          <cell r="C3497">
            <v>163201102</v>
          </cell>
          <cell r="D3497" t="str">
            <v>WEST POINT 1102</v>
          </cell>
          <cell r="E3497" t="str">
            <v>L3733</v>
          </cell>
          <cell r="F3497" t="b">
            <v>0</v>
          </cell>
          <cell r="G3497">
            <v>2820.1266904965</v>
          </cell>
          <cell r="H3497">
            <v>2820.1266904965</v>
          </cell>
        </row>
        <row r="3498">
          <cell r="B3498" t="str">
            <v>WESTLEY 1103237522</v>
          </cell>
          <cell r="C3498">
            <v>162671103</v>
          </cell>
          <cell r="D3498" t="str">
            <v>WESTLEY 1103</v>
          </cell>
          <cell r="E3498">
            <v>237522</v>
          </cell>
          <cell r="F3498" t="b">
            <v>0</v>
          </cell>
          <cell r="G3498">
            <v>26805.159635776199</v>
          </cell>
          <cell r="H3498">
            <v>1485.9819606636399</v>
          </cell>
        </row>
        <row r="3499">
          <cell r="B3499" t="str">
            <v>WHEATLAND 1105248490</v>
          </cell>
          <cell r="C3499">
            <v>152811105</v>
          </cell>
          <cell r="D3499" t="str">
            <v>WHEATLAND 1105</v>
          </cell>
          <cell r="E3499">
            <v>248490</v>
          </cell>
          <cell r="F3499" t="b">
            <v>0</v>
          </cell>
          <cell r="G3499">
            <v>43282.228743108099</v>
          </cell>
          <cell r="H3499">
            <v>17726.622403925099</v>
          </cell>
        </row>
        <row r="3500">
          <cell r="B3500" t="str">
            <v>WHITMORE 11011594</v>
          </cell>
          <cell r="C3500">
            <v>103601101</v>
          </cell>
          <cell r="D3500" t="str">
            <v>WHITMORE 1101</v>
          </cell>
          <cell r="E3500">
            <v>1594</v>
          </cell>
          <cell r="F3500" t="b">
            <v>0</v>
          </cell>
          <cell r="G3500">
            <v>39042.209287121201</v>
          </cell>
          <cell r="H3500">
            <v>39042.209287121201</v>
          </cell>
        </row>
        <row r="3501">
          <cell r="B3501" t="str">
            <v>WHITMORE 11011598</v>
          </cell>
          <cell r="C3501">
            <v>103601101</v>
          </cell>
          <cell r="D3501" t="str">
            <v>WHITMORE 1101</v>
          </cell>
          <cell r="E3501">
            <v>1598</v>
          </cell>
          <cell r="F3501" t="b">
            <v>0</v>
          </cell>
          <cell r="G3501">
            <v>53928.002263348302</v>
          </cell>
          <cell r="H3501">
            <v>53928.002263348302</v>
          </cell>
        </row>
        <row r="3502">
          <cell r="B3502" t="str">
            <v>WHITMORE 110145262</v>
          </cell>
          <cell r="C3502">
            <v>103601101</v>
          </cell>
          <cell r="D3502" t="str">
            <v>WHITMORE 1101</v>
          </cell>
          <cell r="E3502">
            <v>45262</v>
          </cell>
          <cell r="F3502" t="b">
            <v>0</v>
          </cell>
          <cell r="G3502">
            <v>46333.9347186616</v>
          </cell>
          <cell r="H3502">
            <v>46333.9347186616</v>
          </cell>
        </row>
        <row r="3503">
          <cell r="B3503" t="str">
            <v>WHITMORE 1101CB</v>
          </cell>
          <cell r="C3503">
            <v>103601101</v>
          </cell>
          <cell r="D3503" t="str">
            <v>WHITMORE 1101</v>
          </cell>
          <cell r="E3503" t="str">
            <v>CB</v>
          </cell>
          <cell r="F3503" t="b">
            <v>0</v>
          </cell>
          <cell r="G3503">
            <v>9497.7631053222194</v>
          </cell>
          <cell r="H3503">
            <v>9497.7631053222194</v>
          </cell>
        </row>
        <row r="3504">
          <cell r="B3504" t="str">
            <v>WILDWOOD 11011454</v>
          </cell>
          <cell r="C3504">
            <v>103611101</v>
          </cell>
          <cell r="D3504" t="str">
            <v>WILDWOOD 1101</v>
          </cell>
          <cell r="E3504">
            <v>1454</v>
          </cell>
          <cell r="F3504" t="b">
            <v>0</v>
          </cell>
          <cell r="G3504">
            <v>12602.11729264</v>
          </cell>
          <cell r="H3504">
            <v>12602.11729264</v>
          </cell>
        </row>
        <row r="3505">
          <cell r="B3505" t="str">
            <v>WILDWOOD 11011576</v>
          </cell>
          <cell r="C3505">
            <v>103611101</v>
          </cell>
          <cell r="D3505" t="str">
            <v>WILDWOOD 1101</v>
          </cell>
          <cell r="E3505">
            <v>1576</v>
          </cell>
          <cell r="F3505" t="b">
            <v>0</v>
          </cell>
          <cell r="G3505">
            <v>12974.576980518401</v>
          </cell>
          <cell r="H3505">
            <v>12974.576980518401</v>
          </cell>
        </row>
        <row r="3506">
          <cell r="B3506" t="str">
            <v>WILDWOOD 1101384582</v>
          </cell>
          <cell r="C3506">
            <v>103611101</v>
          </cell>
          <cell r="D3506" t="str">
            <v>WILDWOOD 1101</v>
          </cell>
          <cell r="E3506">
            <v>384582</v>
          </cell>
          <cell r="F3506" t="b">
            <v>0</v>
          </cell>
          <cell r="G3506">
            <v>7304.3535485536604</v>
          </cell>
          <cell r="H3506">
            <v>7304.3535485536604</v>
          </cell>
        </row>
        <row r="3507">
          <cell r="B3507" t="str">
            <v>WILDWOOD 110185112</v>
          </cell>
          <cell r="C3507">
            <v>103611101</v>
          </cell>
          <cell r="D3507" t="str">
            <v>WILDWOOD 1101</v>
          </cell>
          <cell r="E3507">
            <v>85112</v>
          </cell>
          <cell r="F3507" t="b">
            <v>0</v>
          </cell>
          <cell r="G3507">
            <v>10932.250323120301</v>
          </cell>
          <cell r="H3507">
            <v>10932.250323120301</v>
          </cell>
        </row>
        <row r="3508">
          <cell r="B3508" t="str">
            <v>WILDWOOD 110198896</v>
          </cell>
          <cell r="C3508">
            <v>103611101</v>
          </cell>
          <cell r="D3508" t="str">
            <v>WILDWOOD 1101</v>
          </cell>
          <cell r="E3508">
            <v>98896</v>
          </cell>
          <cell r="F3508" t="b">
            <v>0</v>
          </cell>
          <cell r="G3508">
            <v>8090.5275280857304</v>
          </cell>
          <cell r="H3508">
            <v>8090.5275280857304</v>
          </cell>
        </row>
        <row r="3509">
          <cell r="B3509" t="str">
            <v>WILDWOOD 1101CB</v>
          </cell>
          <cell r="C3509">
            <v>103611101</v>
          </cell>
          <cell r="D3509" t="str">
            <v>WILDWOOD 1101</v>
          </cell>
          <cell r="E3509" t="str">
            <v>CB</v>
          </cell>
          <cell r="F3509" t="b">
            <v>1</v>
          </cell>
          <cell r="G3509">
            <v>200.86179926501799</v>
          </cell>
          <cell r="H3509">
            <v>200.86179926501799</v>
          </cell>
        </row>
        <row r="3510">
          <cell r="B3510" t="str">
            <v>WILLITS 11021270</v>
          </cell>
          <cell r="C3510">
            <v>42661102</v>
          </cell>
          <cell r="D3510" t="str">
            <v>WILLITS 1102</v>
          </cell>
          <cell r="E3510">
            <v>1270</v>
          </cell>
          <cell r="F3510" t="b">
            <v>1</v>
          </cell>
          <cell r="G3510">
            <v>2454.7077181076602</v>
          </cell>
          <cell r="H3510">
            <v>0</v>
          </cell>
        </row>
        <row r="3511">
          <cell r="B3511" t="str">
            <v>WILLITS 1102CB</v>
          </cell>
          <cell r="C3511">
            <v>42661102</v>
          </cell>
          <cell r="D3511" t="str">
            <v>WILLITS 1102</v>
          </cell>
          <cell r="E3511" t="str">
            <v>CB</v>
          </cell>
          <cell r="F3511" t="b">
            <v>0</v>
          </cell>
          <cell r="G3511">
            <v>15673.772580048801</v>
          </cell>
          <cell r="H3511">
            <v>8550.6099680534007</v>
          </cell>
        </row>
        <row r="3512">
          <cell r="B3512" t="str">
            <v>WILLITS 11032500</v>
          </cell>
          <cell r="C3512">
            <v>42661103</v>
          </cell>
          <cell r="D3512" t="str">
            <v>WILLITS 1103</v>
          </cell>
          <cell r="E3512">
            <v>2500</v>
          </cell>
          <cell r="F3512" t="b">
            <v>0</v>
          </cell>
          <cell r="G3512">
            <v>48136.395931904102</v>
          </cell>
          <cell r="H3512">
            <v>48136.395931904102</v>
          </cell>
        </row>
        <row r="3513">
          <cell r="B3513" t="str">
            <v>WILLITS 11032506</v>
          </cell>
          <cell r="C3513">
            <v>42661103</v>
          </cell>
          <cell r="D3513" t="str">
            <v>WILLITS 1103</v>
          </cell>
          <cell r="E3513">
            <v>2506</v>
          </cell>
          <cell r="F3513" t="b">
            <v>0</v>
          </cell>
          <cell r="G3513">
            <v>20286.238548129899</v>
          </cell>
          <cell r="H3513">
            <v>20286.238548129899</v>
          </cell>
        </row>
        <row r="3514">
          <cell r="B3514" t="str">
            <v>WILLITS 110337504</v>
          </cell>
          <cell r="C3514">
            <v>42661103</v>
          </cell>
          <cell r="D3514" t="str">
            <v>WILLITS 1103</v>
          </cell>
          <cell r="E3514">
            <v>37504</v>
          </cell>
          <cell r="F3514" t="b">
            <v>0</v>
          </cell>
          <cell r="G3514">
            <v>5704.6997720538702</v>
          </cell>
          <cell r="H3514">
            <v>1890.9338717840801</v>
          </cell>
        </row>
        <row r="3515">
          <cell r="B3515" t="str">
            <v>WILLITS 110337506</v>
          </cell>
          <cell r="C3515">
            <v>42661103</v>
          </cell>
          <cell r="D3515" t="str">
            <v>WILLITS 1103</v>
          </cell>
          <cell r="E3515">
            <v>37506</v>
          </cell>
          <cell r="F3515" t="b">
            <v>0</v>
          </cell>
          <cell r="G3515">
            <v>18602.1389905713</v>
          </cell>
          <cell r="H3515">
            <v>18602.1389905713</v>
          </cell>
        </row>
        <row r="3516">
          <cell r="B3516" t="str">
            <v>WILLITS 1103538</v>
          </cell>
          <cell r="C3516">
            <v>42661103</v>
          </cell>
          <cell r="D3516" t="str">
            <v>WILLITS 1103</v>
          </cell>
          <cell r="E3516">
            <v>538</v>
          </cell>
          <cell r="F3516" t="b">
            <v>0</v>
          </cell>
          <cell r="G3516">
            <v>10176.807324978099</v>
          </cell>
          <cell r="H3516">
            <v>10176.807324978099</v>
          </cell>
        </row>
        <row r="3517">
          <cell r="B3517" t="str">
            <v>WILLITS 1103696</v>
          </cell>
          <cell r="C3517">
            <v>42661103</v>
          </cell>
          <cell r="D3517" t="str">
            <v>WILLITS 1103</v>
          </cell>
          <cell r="E3517">
            <v>696</v>
          </cell>
          <cell r="F3517" t="b">
            <v>0</v>
          </cell>
          <cell r="G3517">
            <v>15381.4121680145</v>
          </cell>
          <cell r="H3517">
            <v>10464.566720770699</v>
          </cell>
        </row>
        <row r="3518">
          <cell r="B3518" t="str">
            <v>WILLITS 1103826</v>
          </cell>
          <cell r="C3518">
            <v>42661103</v>
          </cell>
          <cell r="D3518" t="str">
            <v>WILLITS 1103</v>
          </cell>
          <cell r="E3518">
            <v>826</v>
          </cell>
          <cell r="F3518" t="b">
            <v>0</v>
          </cell>
          <cell r="G3518">
            <v>12455.772552869799</v>
          </cell>
          <cell r="H3518">
            <v>12455.772552869799</v>
          </cell>
        </row>
        <row r="3519">
          <cell r="B3519" t="str">
            <v>WILLITS 110391810</v>
          </cell>
          <cell r="C3519">
            <v>42661103</v>
          </cell>
          <cell r="D3519" t="str">
            <v>WILLITS 1103</v>
          </cell>
          <cell r="E3519">
            <v>91810</v>
          </cell>
          <cell r="F3519" t="b">
            <v>0</v>
          </cell>
          <cell r="G3519">
            <v>47379.4323523243</v>
          </cell>
          <cell r="H3519">
            <v>47379.4323523243</v>
          </cell>
        </row>
        <row r="3520">
          <cell r="B3520" t="str">
            <v>WILLITS 110391948</v>
          </cell>
          <cell r="C3520">
            <v>42661103</v>
          </cell>
          <cell r="D3520" t="str">
            <v>WILLITS 1103</v>
          </cell>
          <cell r="E3520">
            <v>91948</v>
          </cell>
          <cell r="F3520" t="b">
            <v>0</v>
          </cell>
          <cell r="G3520">
            <v>11942.5867597549</v>
          </cell>
          <cell r="H3520">
            <v>11942.5867597549</v>
          </cell>
        </row>
        <row r="3521">
          <cell r="B3521" t="str">
            <v>WILLITS 1103964</v>
          </cell>
          <cell r="C3521">
            <v>42661103</v>
          </cell>
          <cell r="D3521" t="str">
            <v>WILLITS 1103</v>
          </cell>
          <cell r="E3521">
            <v>964</v>
          </cell>
          <cell r="F3521" t="b">
            <v>0</v>
          </cell>
          <cell r="G3521">
            <v>8651.6924789138393</v>
          </cell>
          <cell r="H3521">
            <v>4999.6691949387696</v>
          </cell>
        </row>
        <row r="3522">
          <cell r="B3522" t="str">
            <v>WILLITS 1103966</v>
          </cell>
          <cell r="C3522">
            <v>42661103</v>
          </cell>
          <cell r="D3522" t="str">
            <v>WILLITS 1103</v>
          </cell>
          <cell r="E3522">
            <v>966</v>
          </cell>
          <cell r="F3522" t="b">
            <v>0</v>
          </cell>
          <cell r="G3522">
            <v>3670.43560356425</v>
          </cell>
          <cell r="H3522">
            <v>1555.8490090483799</v>
          </cell>
        </row>
        <row r="3523">
          <cell r="B3523" t="str">
            <v>WILLITS 1103968</v>
          </cell>
          <cell r="C3523">
            <v>42661103</v>
          </cell>
          <cell r="D3523" t="str">
            <v>WILLITS 1103</v>
          </cell>
          <cell r="E3523">
            <v>968</v>
          </cell>
          <cell r="F3523" t="b">
            <v>0</v>
          </cell>
          <cell r="G3523">
            <v>44551.664391689803</v>
          </cell>
          <cell r="H3523">
            <v>42969.090016761998</v>
          </cell>
        </row>
        <row r="3524">
          <cell r="B3524" t="str">
            <v>WILLITS 1103CB</v>
          </cell>
          <cell r="C3524">
            <v>42661103</v>
          </cell>
          <cell r="D3524" t="str">
            <v>WILLITS 1103</v>
          </cell>
          <cell r="E3524" t="str">
            <v>CB</v>
          </cell>
          <cell r="F3524" t="b">
            <v>0</v>
          </cell>
          <cell r="G3524">
            <v>6348.78627254199</v>
          </cell>
          <cell r="H3524">
            <v>4803.99995156348</v>
          </cell>
        </row>
        <row r="3525">
          <cell r="B3525" t="str">
            <v>WILLITS 1104188268</v>
          </cell>
          <cell r="C3525">
            <v>42661104</v>
          </cell>
          <cell r="D3525" t="str">
            <v>WILLITS 1104</v>
          </cell>
          <cell r="E3525">
            <v>188268</v>
          </cell>
          <cell r="F3525" t="b">
            <v>0</v>
          </cell>
          <cell r="G3525">
            <v>8709.5261704281202</v>
          </cell>
          <cell r="H3525">
            <v>6867.49818237201</v>
          </cell>
        </row>
        <row r="3526">
          <cell r="B3526" t="str">
            <v>WILLITS 110434008</v>
          </cell>
          <cell r="C3526">
            <v>42661104</v>
          </cell>
          <cell r="D3526" t="str">
            <v>WILLITS 1104</v>
          </cell>
          <cell r="E3526">
            <v>34008</v>
          </cell>
          <cell r="F3526" t="b">
            <v>0</v>
          </cell>
          <cell r="G3526">
            <v>36886.240283287203</v>
          </cell>
          <cell r="H3526">
            <v>36886.240283287203</v>
          </cell>
        </row>
        <row r="3527">
          <cell r="B3527" t="str">
            <v>WILLITS 11044650</v>
          </cell>
          <cell r="C3527">
            <v>42661104</v>
          </cell>
          <cell r="D3527" t="str">
            <v>WILLITS 1104</v>
          </cell>
          <cell r="E3527">
            <v>4650</v>
          </cell>
          <cell r="F3527" t="b">
            <v>0</v>
          </cell>
          <cell r="G3527">
            <v>9890.1610110147103</v>
          </cell>
          <cell r="H3527">
            <v>6190.4879536189901</v>
          </cell>
        </row>
        <row r="3528">
          <cell r="B3528" t="str">
            <v>WILLITS 1104504</v>
          </cell>
          <cell r="C3528">
            <v>42661104</v>
          </cell>
          <cell r="D3528" t="str">
            <v>WILLITS 1104</v>
          </cell>
          <cell r="E3528">
            <v>504</v>
          </cell>
          <cell r="F3528" t="b">
            <v>0</v>
          </cell>
          <cell r="G3528">
            <v>36253.183214325101</v>
          </cell>
          <cell r="H3528">
            <v>36253.183214325101</v>
          </cell>
        </row>
        <row r="3529">
          <cell r="B3529" t="str">
            <v>WILLITS 1104934</v>
          </cell>
          <cell r="C3529">
            <v>42661104</v>
          </cell>
          <cell r="D3529" t="str">
            <v>WILLITS 1104</v>
          </cell>
          <cell r="E3529">
            <v>934</v>
          </cell>
          <cell r="F3529" t="b">
            <v>0</v>
          </cell>
          <cell r="G3529">
            <v>49660.376679686502</v>
          </cell>
          <cell r="H3529">
            <v>49660.376679686502</v>
          </cell>
        </row>
        <row r="3530">
          <cell r="B3530" t="str">
            <v>WILLITS 1104CB</v>
          </cell>
          <cell r="C3530">
            <v>42661104</v>
          </cell>
          <cell r="D3530" t="str">
            <v>WILLITS 1104</v>
          </cell>
          <cell r="E3530" t="str">
            <v>CB</v>
          </cell>
          <cell r="F3530" t="b">
            <v>0</v>
          </cell>
          <cell r="G3530">
            <v>12241.4218278842</v>
          </cell>
          <cell r="H3530">
            <v>6260.0525225538904</v>
          </cell>
        </row>
        <row r="3531">
          <cell r="B3531" t="str">
            <v>WILLOW CREEK 110129362</v>
          </cell>
          <cell r="C3531">
            <v>192171101</v>
          </cell>
          <cell r="D3531" t="str">
            <v>WILLOW CREEK 1101</v>
          </cell>
          <cell r="E3531">
            <v>29362</v>
          </cell>
          <cell r="F3531" t="b">
            <v>0</v>
          </cell>
          <cell r="G3531">
            <v>18377.660247780801</v>
          </cell>
          <cell r="H3531">
            <v>12371.514539522699</v>
          </cell>
        </row>
        <row r="3532">
          <cell r="B3532" t="str">
            <v>WILLOW CREEK 11013050</v>
          </cell>
          <cell r="C3532">
            <v>192171101</v>
          </cell>
          <cell r="D3532" t="str">
            <v>WILLOW CREEK 1101</v>
          </cell>
          <cell r="E3532">
            <v>3050</v>
          </cell>
          <cell r="F3532" t="b">
            <v>0</v>
          </cell>
          <cell r="G3532">
            <v>4223.7093733771999</v>
          </cell>
          <cell r="H3532">
            <v>4223.7093733771999</v>
          </cell>
        </row>
        <row r="3533">
          <cell r="B3533" t="str">
            <v>WILLOW CREEK 11014904</v>
          </cell>
          <cell r="C3533">
            <v>192171101</v>
          </cell>
          <cell r="D3533" t="str">
            <v>WILLOW CREEK 1101</v>
          </cell>
          <cell r="E3533">
            <v>4904</v>
          </cell>
          <cell r="F3533" t="b">
            <v>0</v>
          </cell>
          <cell r="G3533">
            <v>29337.063114857199</v>
          </cell>
          <cell r="H3533">
            <v>29337.063114857199</v>
          </cell>
        </row>
        <row r="3534">
          <cell r="B3534" t="str">
            <v>WILLOW CREEK 11015002</v>
          </cell>
          <cell r="C3534">
            <v>192171101</v>
          </cell>
          <cell r="D3534" t="str">
            <v>WILLOW CREEK 1101</v>
          </cell>
          <cell r="E3534">
            <v>5002</v>
          </cell>
          <cell r="F3534" t="b">
            <v>0</v>
          </cell>
          <cell r="G3534">
            <v>22234.478271468601</v>
          </cell>
          <cell r="H3534">
            <v>21939.724912531299</v>
          </cell>
        </row>
        <row r="3535">
          <cell r="B3535" t="str">
            <v>WILLOW CREEK 110191926</v>
          </cell>
          <cell r="C3535">
            <v>192171101</v>
          </cell>
          <cell r="D3535" t="str">
            <v>WILLOW CREEK 1101</v>
          </cell>
          <cell r="E3535">
            <v>91926</v>
          </cell>
          <cell r="F3535" t="b">
            <v>0</v>
          </cell>
          <cell r="G3535">
            <v>17004.311272644802</v>
          </cell>
          <cell r="H3535">
            <v>10358.722278371401</v>
          </cell>
        </row>
        <row r="3536">
          <cell r="B3536" t="str">
            <v>WILLOW CREEK 1101CB</v>
          </cell>
          <cell r="C3536">
            <v>192171101</v>
          </cell>
          <cell r="D3536" t="str">
            <v>WILLOW CREEK 1101</v>
          </cell>
          <cell r="E3536" t="str">
            <v>CB</v>
          </cell>
          <cell r="F3536" t="b">
            <v>1</v>
          </cell>
          <cell r="G3536">
            <v>460.83643415773201</v>
          </cell>
          <cell r="H3536">
            <v>460.83643415773201</v>
          </cell>
        </row>
        <row r="3537">
          <cell r="B3537" t="str">
            <v>WILLOW CREEK 110237374</v>
          </cell>
          <cell r="C3537">
            <v>192171102</v>
          </cell>
          <cell r="D3537" t="str">
            <v>WILLOW CREEK 1102</v>
          </cell>
          <cell r="E3537">
            <v>37374</v>
          </cell>
          <cell r="F3537" t="b">
            <v>0</v>
          </cell>
          <cell r="G3537">
            <v>3616.7474051725799</v>
          </cell>
          <cell r="H3537">
            <v>3616.7474051725799</v>
          </cell>
        </row>
        <row r="3538">
          <cell r="B3538" t="str">
            <v>WILLOW CREEK 1102CB</v>
          </cell>
          <cell r="C3538">
            <v>192171102</v>
          </cell>
          <cell r="D3538" t="str">
            <v>WILLOW CREEK 1102</v>
          </cell>
          <cell r="E3538" t="str">
            <v>CB</v>
          </cell>
          <cell r="F3538" t="b">
            <v>0</v>
          </cell>
          <cell r="G3538">
            <v>11789.423616055299</v>
          </cell>
          <cell r="H3538">
            <v>11789.423616055299</v>
          </cell>
        </row>
        <row r="3539">
          <cell r="B3539" t="str">
            <v>WILLOW CREEK 1103181562</v>
          </cell>
          <cell r="C3539">
            <v>192171103</v>
          </cell>
          <cell r="D3539" t="str">
            <v>WILLOW CREEK 1103</v>
          </cell>
          <cell r="E3539">
            <v>181562</v>
          </cell>
          <cell r="F3539" t="b">
            <v>1</v>
          </cell>
          <cell r="G3539">
            <v>4.5720071049875397</v>
          </cell>
          <cell r="H3539">
            <v>4.5720071049875397</v>
          </cell>
        </row>
        <row r="3540">
          <cell r="B3540" t="str">
            <v>WILLOW CREEK 11032936</v>
          </cell>
          <cell r="C3540">
            <v>192171103</v>
          </cell>
          <cell r="D3540" t="str">
            <v>WILLOW CREEK 1103</v>
          </cell>
          <cell r="E3540">
            <v>2936</v>
          </cell>
          <cell r="F3540" t="b">
            <v>0</v>
          </cell>
          <cell r="G3540">
            <v>53378.682928048198</v>
          </cell>
          <cell r="H3540">
            <v>53378.682928048198</v>
          </cell>
        </row>
        <row r="3541">
          <cell r="B3541" t="str">
            <v>WILLOW CREEK 11033090</v>
          </cell>
          <cell r="C3541">
            <v>192171103</v>
          </cell>
          <cell r="D3541" t="str">
            <v>WILLOW CREEK 1103</v>
          </cell>
          <cell r="E3541">
            <v>3090</v>
          </cell>
          <cell r="F3541" t="b">
            <v>0</v>
          </cell>
          <cell r="G3541">
            <v>17393.653092428602</v>
          </cell>
          <cell r="H3541">
            <v>17393.653092428602</v>
          </cell>
        </row>
        <row r="3542">
          <cell r="B3542" t="str">
            <v>WILLOW CREEK 110347966</v>
          </cell>
          <cell r="C3542">
            <v>192171103</v>
          </cell>
          <cell r="D3542" t="str">
            <v>WILLOW CREEK 1103</v>
          </cell>
          <cell r="E3542">
            <v>47966</v>
          </cell>
          <cell r="F3542" t="b">
            <v>0</v>
          </cell>
          <cell r="G3542">
            <v>27271.322236129599</v>
          </cell>
          <cell r="H3542">
            <v>27271.322236129599</v>
          </cell>
        </row>
        <row r="3543">
          <cell r="B3543" t="str">
            <v>WILLOW CREEK 11035012</v>
          </cell>
          <cell r="C3543">
            <v>192171103</v>
          </cell>
          <cell r="D3543" t="str">
            <v>WILLOW CREEK 1103</v>
          </cell>
          <cell r="E3543">
            <v>5012</v>
          </cell>
          <cell r="F3543" t="b">
            <v>0</v>
          </cell>
          <cell r="G3543">
            <v>17904.062361657499</v>
          </cell>
          <cell r="H3543">
            <v>17904.062361657499</v>
          </cell>
        </row>
        <row r="3544">
          <cell r="B3544" t="str">
            <v>WILLOW CREEK 11037514</v>
          </cell>
          <cell r="C3544">
            <v>192171103</v>
          </cell>
          <cell r="D3544" t="str">
            <v>WILLOW CREEK 1103</v>
          </cell>
          <cell r="E3544">
            <v>7514</v>
          </cell>
          <cell r="F3544" t="b">
            <v>0</v>
          </cell>
          <cell r="G3544">
            <v>16121.9059984054</v>
          </cell>
          <cell r="H3544">
            <v>14595.717796331301</v>
          </cell>
        </row>
        <row r="3545">
          <cell r="B3545" t="str">
            <v>WILLOW CREEK 1103CB</v>
          </cell>
          <cell r="C3545">
            <v>192171103</v>
          </cell>
          <cell r="D3545" t="str">
            <v>WILLOW CREEK 1103</v>
          </cell>
          <cell r="E3545" t="str">
            <v>CB</v>
          </cell>
          <cell r="F3545" t="b">
            <v>0</v>
          </cell>
          <cell r="G3545">
            <v>6307.2067115364398</v>
          </cell>
          <cell r="H3545">
            <v>6307.2067115364398</v>
          </cell>
        </row>
        <row r="3546">
          <cell r="B3546" t="str">
            <v>WILLOW PASS 1101152874</v>
          </cell>
          <cell r="C3546">
            <v>13911101</v>
          </cell>
          <cell r="D3546" t="str">
            <v>WILLOW PASS 1101</v>
          </cell>
          <cell r="E3546">
            <v>152874</v>
          </cell>
          <cell r="F3546" t="b">
            <v>1</v>
          </cell>
          <cell r="G3546">
            <v>1306.34221404756</v>
          </cell>
          <cell r="H3546">
            <v>982.30276744897606</v>
          </cell>
        </row>
        <row r="3547">
          <cell r="B3547" t="str">
            <v>WILLOW PASS 1101CB</v>
          </cell>
          <cell r="C3547">
            <v>13911101</v>
          </cell>
          <cell r="D3547" t="str">
            <v>WILLOW PASS 1101</v>
          </cell>
          <cell r="E3547" t="str">
            <v>CB</v>
          </cell>
          <cell r="F3547" t="b">
            <v>0</v>
          </cell>
          <cell r="G3547">
            <v>10055.421901236399</v>
          </cell>
          <cell r="H3547">
            <v>1899.3732814973901</v>
          </cell>
        </row>
        <row r="3548">
          <cell r="B3548" t="str">
            <v>WILLOW PASS 2107445650</v>
          </cell>
          <cell r="C3548">
            <v>13912107</v>
          </cell>
          <cell r="D3548" t="str">
            <v>WILLOW PASS 2107</v>
          </cell>
          <cell r="E3548">
            <v>445650</v>
          </cell>
          <cell r="F3548" t="b">
            <v>0</v>
          </cell>
          <cell r="G3548">
            <v>1066.4109410645899</v>
          </cell>
          <cell r="H3548">
            <v>1066.4109410645899</v>
          </cell>
        </row>
        <row r="3549">
          <cell r="B3549" t="str">
            <v>WILLOW PASS 2108CB</v>
          </cell>
          <cell r="C3549">
            <v>13912108</v>
          </cell>
          <cell r="D3549" t="str">
            <v>WILLOW PASS 2108</v>
          </cell>
          <cell r="E3549" t="str">
            <v>CB</v>
          </cell>
          <cell r="F3549" t="b">
            <v>1</v>
          </cell>
          <cell r="G3549">
            <v>14676.669367291601</v>
          </cell>
          <cell r="H3549">
            <v>318.080225899715</v>
          </cell>
        </row>
        <row r="3550">
          <cell r="B3550" t="str">
            <v>WINDSOR 1103171410</v>
          </cell>
          <cell r="C3550">
            <v>43501103</v>
          </cell>
          <cell r="D3550" t="str">
            <v>WINDSOR 1103</v>
          </cell>
          <cell r="E3550">
            <v>171410</v>
          </cell>
          <cell r="F3550" t="b">
            <v>0</v>
          </cell>
          <cell r="G3550">
            <v>7035.3213895286899</v>
          </cell>
          <cell r="H3550">
            <v>2217.96394079218</v>
          </cell>
        </row>
        <row r="3551">
          <cell r="B3551" t="str">
            <v>WINDSOR 11035060</v>
          </cell>
          <cell r="C3551">
            <v>43501103</v>
          </cell>
          <cell r="D3551" t="str">
            <v>WINDSOR 1103</v>
          </cell>
          <cell r="E3551">
            <v>5060</v>
          </cell>
          <cell r="F3551" t="b">
            <v>1</v>
          </cell>
          <cell r="G3551">
            <v>1113.3002002093101</v>
          </cell>
          <cell r="H3551">
            <v>291.56378074900601</v>
          </cell>
        </row>
        <row r="3552">
          <cell r="B3552" t="str">
            <v>WINDSOR 1103701650</v>
          </cell>
          <cell r="C3552">
            <v>43501103</v>
          </cell>
          <cell r="D3552" t="str">
            <v>WINDSOR 1103</v>
          </cell>
          <cell r="E3552">
            <v>701650</v>
          </cell>
          <cell r="F3552" t="b">
            <v>0</v>
          </cell>
          <cell r="G3552">
            <v>1191.05621847102</v>
          </cell>
          <cell r="H3552">
            <v>1191.05621847102</v>
          </cell>
        </row>
        <row r="3553">
          <cell r="B3553" t="str">
            <v>WINDSOR 1103CB</v>
          </cell>
          <cell r="C3553">
            <v>43501103</v>
          </cell>
          <cell r="D3553" t="str">
            <v>WINDSOR 1103</v>
          </cell>
          <cell r="E3553" t="str">
            <v>CB</v>
          </cell>
          <cell r="F3553" t="b">
            <v>1</v>
          </cell>
          <cell r="G3553">
            <v>8832.9668055536895</v>
          </cell>
          <cell r="H3553">
            <v>0</v>
          </cell>
        </row>
        <row r="3554">
          <cell r="B3554" t="str">
            <v>WISE 11011404</v>
          </cell>
          <cell r="C3554">
            <v>152271101</v>
          </cell>
          <cell r="D3554" t="str">
            <v>WISE 1101</v>
          </cell>
          <cell r="E3554">
            <v>1404</v>
          </cell>
          <cell r="F3554" t="b">
            <v>0</v>
          </cell>
          <cell r="G3554">
            <v>5740.3583722127696</v>
          </cell>
          <cell r="H3554">
            <v>2402.88908041276</v>
          </cell>
        </row>
        <row r="3555">
          <cell r="B3555" t="str">
            <v>WISE 110163199</v>
          </cell>
          <cell r="C3555">
            <v>152271101</v>
          </cell>
          <cell r="D3555" t="str">
            <v>WISE 1101</v>
          </cell>
          <cell r="E3555">
            <v>63199</v>
          </cell>
          <cell r="F3555" t="b">
            <v>1</v>
          </cell>
          <cell r="G3555">
            <v>1501.40824471929</v>
          </cell>
          <cell r="H3555">
            <v>989.41000822206001</v>
          </cell>
        </row>
        <row r="3556">
          <cell r="B3556" t="str">
            <v>WISE 1101CB</v>
          </cell>
          <cell r="C3556">
            <v>152271101</v>
          </cell>
          <cell r="D3556" t="str">
            <v>WISE 1101</v>
          </cell>
          <cell r="E3556" t="str">
            <v>CB</v>
          </cell>
          <cell r="F3556" t="b">
            <v>0</v>
          </cell>
          <cell r="G3556">
            <v>14435.552605156199</v>
          </cell>
          <cell r="H3556">
            <v>7662.7202365815801</v>
          </cell>
        </row>
        <row r="3557">
          <cell r="B3557" t="str">
            <v>WISE 11022054</v>
          </cell>
          <cell r="C3557">
            <v>152271102</v>
          </cell>
          <cell r="D3557" t="str">
            <v>WISE 1102</v>
          </cell>
          <cell r="E3557">
            <v>2054</v>
          </cell>
          <cell r="F3557" t="b">
            <v>0</v>
          </cell>
          <cell r="G3557">
            <v>20940.0353390282</v>
          </cell>
          <cell r="H3557">
            <v>20940.0353390282</v>
          </cell>
        </row>
        <row r="3558">
          <cell r="B3558" t="str">
            <v>WISE 11022230</v>
          </cell>
          <cell r="C3558">
            <v>152271102</v>
          </cell>
          <cell r="D3558" t="str">
            <v>WISE 1102</v>
          </cell>
          <cell r="E3558">
            <v>2230</v>
          </cell>
          <cell r="F3558" t="b">
            <v>0</v>
          </cell>
          <cell r="G3558">
            <v>40267.111206846297</v>
          </cell>
          <cell r="H3558">
            <v>38210.881907595198</v>
          </cell>
        </row>
        <row r="3559">
          <cell r="B3559" t="str">
            <v>WISE 11022234</v>
          </cell>
          <cell r="C3559">
            <v>152271102</v>
          </cell>
          <cell r="D3559" t="str">
            <v>WISE 1102</v>
          </cell>
          <cell r="E3559">
            <v>2234</v>
          </cell>
          <cell r="F3559" t="b">
            <v>0</v>
          </cell>
          <cell r="G3559">
            <v>24349.991380997901</v>
          </cell>
          <cell r="H3559">
            <v>24349.991380997901</v>
          </cell>
        </row>
        <row r="3560">
          <cell r="B3560" t="str">
            <v>WISE 1102307494</v>
          </cell>
          <cell r="C3560">
            <v>152271102</v>
          </cell>
          <cell r="D3560" t="str">
            <v>WISE 1102</v>
          </cell>
          <cell r="E3560">
            <v>307494</v>
          </cell>
          <cell r="F3560" t="b">
            <v>0</v>
          </cell>
          <cell r="G3560">
            <v>54418.632482554298</v>
          </cell>
          <cell r="H3560">
            <v>49958.747719305698</v>
          </cell>
        </row>
        <row r="3561">
          <cell r="B3561" t="str">
            <v>WISE 1102465074</v>
          </cell>
          <cell r="C3561">
            <v>152271102</v>
          </cell>
          <cell r="D3561" t="str">
            <v>WISE 1102</v>
          </cell>
          <cell r="E3561">
            <v>465074</v>
          </cell>
          <cell r="F3561" t="b">
            <v>0</v>
          </cell>
          <cell r="G3561">
            <v>7662.1854941412003</v>
          </cell>
          <cell r="H3561">
            <v>7662.1854941412003</v>
          </cell>
        </row>
        <row r="3562">
          <cell r="B3562" t="str">
            <v>WISE 1102697216</v>
          </cell>
          <cell r="C3562">
            <v>152271102</v>
          </cell>
          <cell r="D3562" t="str">
            <v>WISE 1102</v>
          </cell>
          <cell r="E3562">
            <v>697216</v>
          </cell>
          <cell r="F3562" t="b">
            <v>0</v>
          </cell>
          <cell r="G3562">
            <v>21374.284225315401</v>
          </cell>
          <cell r="H3562">
            <v>21374.284225315401</v>
          </cell>
        </row>
        <row r="3563">
          <cell r="B3563" t="str">
            <v>WISE 1102CB</v>
          </cell>
          <cell r="C3563">
            <v>152271102</v>
          </cell>
          <cell r="D3563" t="str">
            <v>WISE 1102</v>
          </cell>
          <cell r="E3563" t="str">
            <v>CB</v>
          </cell>
          <cell r="F3563" t="b">
            <v>0</v>
          </cell>
          <cell r="G3563">
            <v>23260.434980873801</v>
          </cell>
          <cell r="H3563">
            <v>22633.240123227301</v>
          </cell>
        </row>
        <row r="3564">
          <cell r="B3564" t="str">
            <v>WISHON 1101CB</v>
          </cell>
          <cell r="C3564">
            <v>251511101</v>
          </cell>
          <cell r="D3564" t="str">
            <v>WISHON 1101</v>
          </cell>
          <cell r="E3564" t="str">
            <v>CB</v>
          </cell>
          <cell r="F3564" t="b">
            <v>0</v>
          </cell>
          <cell r="G3564">
            <v>12293.528275554199</v>
          </cell>
          <cell r="H3564">
            <v>12293.528275554199</v>
          </cell>
        </row>
        <row r="3565">
          <cell r="B3565" t="str">
            <v>WOOD 0401265211</v>
          </cell>
          <cell r="C3565">
            <v>13380401</v>
          </cell>
          <cell r="D3565" t="str">
            <v>WOOD 0401</v>
          </cell>
          <cell r="E3565">
            <v>265211</v>
          </cell>
          <cell r="F3565" t="b">
            <v>1</v>
          </cell>
          <cell r="G3565">
            <v>282.19499398411801</v>
          </cell>
          <cell r="H3565">
            <v>238.16934169154601</v>
          </cell>
        </row>
        <row r="3566">
          <cell r="B3566" t="str">
            <v>WOOD 0401880795</v>
          </cell>
          <cell r="C3566">
            <v>13380401</v>
          </cell>
          <cell r="D3566" t="str">
            <v>WOOD 0401</v>
          </cell>
          <cell r="E3566">
            <v>880795</v>
          </cell>
          <cell r="F3566" t="b">
            <v>1</v>
          </cell>
          <cell r="G3566">
            <v>506.00771869909101</v>
          </cell>
          <cell r="H3566">
            <v>163.975201228332</v>
          </cell>
        </row>
        <row r="3567">
          <cell r="B3567" t="str">
            <v>WOODACRE 11011238</v>
          </cell>
          <cell r="C3567">
            <v>43021101</v>
          </cell>
          <cell r="D3567" t="str">
            <v>WOODACRE 1101</v>
          </cell>
          <cell r="E3567">
            <v>1238</v>
          </cell>
          <cell r="F3567" t="b">
            <v>0</v>
          </cell>
          <cell r="G3567">
            <v>5923.81616330002</v>
          </cell>
          <cell r="H3567">
            <v>5923.81616330002</v>
          </cell>
        </row>
        <row r="3568">
          <cell r="B3568" t="str">
            <v>WOODACRE 11011456</v>
          </cell>
          <cell r="C3568">
            <v>43021101</v>
          </cell>
          <cell r="D3568" t="str">
            <v>WOODACRE 1101</v>
          </cell>
          <cell r="E3568">
            <v>1456</v>
          </cell>
          <cell r="F3568" t="b">
            <v>0</v>
          </cell>
          <cell r="G3568">
            <v>6155.4626700775598</v>
          </cell>
          <cell r="H3568">
            <v>6155.4626700775598</v>
          </cell>
        </row>
        <row r="3569">
          <cell r="B3569" t="str">
            <v>WOODACRE 1101404</v>
          </cell>
          <cell r="C3569">
            <v>43021101</v>
          </cell>
          <cell r="D3569" t="str">
            <v>WOODACRE 1101</v>
          </cell>
          <cell r="E3569">
            <v>404</v>
          </cell>
          <cell r="F3569" t="b">
            <v>0</v>
          </cell>
          <cell r="G3569">
            <v>19975.0809530486</v>
          </cell>
          <cell r="H3569">
            <v>19975.0809530486</v>
          </cell>
        </row>
        <row r="3570">
          <cell r="B3570" t="str">
            <v>WOODACRE 110191900</v>
          </cell>
          <cell r="C3570">
            <v>43021101</v>
          </cell>
          <cell r="D3570" t="str">
            <v>WOODACRE 1101</v>
          </cell>
          <cell r="E3570">
            <v>91900</v>
          </cell>
          <cell r="F3570" t="b">
            <v>0</v>
          </cell>
          <cell r="G3570">
            <v>22248.603541659599</v>
          </cell>
          <cell r="H3570">
            <v>14519.294037662299</v>
          </cell>
        </row>
        <row r="3571">
          <cell r="B3571" t="str">
            <v>WOODACRE 110196844</v>
          </cell>
          <cell r="C3571">
            <v>43021101</v>
          </cell>
          <cell r="D3571" t="str">
            <v>WOODACRE 1101</v>
          </cell>
          <cell r="E3571">
            <v>96844</v>
          </cell>
          <cell r="F3571" t="b">
            <v>0</v>
          </cell>
          <cell r="G3571">
            <v>9556.2940813121204</v>
          </cell>
          <cell r="H3571">
            <v>9556.2940813121204</v>
          </cell>
        </row>
        <row r="3572">
          <cell r="B3572" t="str">
            <v>WOODACRE 1101CB</v>
          </cell>
          <cell r="C3572">
            <v>43021101</v>
          </cell>
          <cell r="D3572" t="str">
            <v>WOODACRE 1101</v>
          </cell>
          <cell r="E3572" t="str">
            <v>CB</v>
          </cell>
          <cell r="F3572" t="b">
            <v>0</v>
          </cell>
          <cell r="G3572">
            <v>4540.4380060989397</v>
          </cell>
          <cell r="H3572">
            <v>4454.6417104965603</v>
          </cell>
        </row>
        <row r="3573">
          <cell r="B3573" t="str">
            <v>WOODACRE 11021280</v>
          </cell>
          <cell r="C3573">
            <v>43021102</v>
          </cell>
          <cell r="D3573" t="str">
            <v>WOODACRE 1102</v>
          </cell>
          <cell r="E3573">
            <v>1280</v>
          </cell>
          <cell r="F3573" t="b">
            <v>0</v>
          </cell>
          <cell r="G3573">
            <v>13974.646587917599</v>
          </cell>
          <cell r="H3573">
            <v>13812.8360259295</v>
          </cell>
        </row>
        <row r="3574">
          <cell r="B3574" t="str">
            <v>WOODACRE 1102137662</v>
          </cell>
          <cell r="C3574">
            <v>43021102</v>
          </cell>
          <cell r="D3574" t="str">
            <v>WOODACRE 1102</v>
          </cell>
          <cell r="E3574">
            <v>137662</v>
          </cell>
          <cell r="F3574" t="b">
            <v>0</v>
          </cell>
          <cell r="G3574">
            <v>13866.490212512101</v>
          </cell>
          <cell r="H3574">
            <v>13813.2405309315</v>
          </cell>
        </row>
        <row r="3575">
          <cell r="B3575" t="str">
            <v>WOODACRE 1102851</v>
          </cell>
          <cell r="C3575">
            <v>43021102</v>
          </cell>
          <cell r="D3575" t="str">
            <v>WOODACRE 1102</v>
          </cell>
          <cell r="E3575">
            <v>851</v>
          </cell>
          <cell r="F3575" t="b">
            <v>0</v>
          </cell>
          <cell r="G3575">
            <v>2029.0983527403901</v>
          </cell>
          <cell r="H3575">
            <v>2029.0983527403901</v>
          </cell>
        </row>
        <row r="3576">
          <cell r="B3576" t="str">
            <v>WOODACRE 1102CB</v>
          </cell>
          <cell r="C3576">
            <v>43021102</v>
          </cell>
          <cell r="D3576" t="str">
            <v>WOODACRE 1102</v>
          </cell>
          <cell r="E3576" t="str">
            <v>CB</v>
          </cell>
          <cell r="F3576" t="b">
            <v>0</v>
          </cell>
          <cell r="G3576">
            <v>20142.545602669601</v>
          </cell>
          <cell r="H3576">
            <v>20085.8093446846</v>
          </cell>
        </row>
        <row r="3577">
          <cell r="B3577" t="str">
            <v>WOODSIDE 11011922</v>
          </cell>
          <cell r="C3577">
            <v>24251101</v>
          </cell>
          <cell r="D3577" t="str">
            <v>WOODSIDE 1101</v>
          </cell>
          <cell r="E3577">
            <v>1922</v>
          </cell>
          <cell r="F3577" t="b">
            <v>0</v>
          </cell>
          <cell r="G3577">
            <v>7694.4261000422102</v>
          </cell>
          <cell r="H3577">
            <v>7391.7604317507903</v>
          </cell>
        </row>
        <row r="3578">
          <cell r="B3578" t="str">
            <v>WOODSIDE 11012299</v>
          </cell>
          <cell r="C3578">
            <v>24251101</v>
          </cell>
          <cell r="D3578" t="str">
            <v>WOODSIDE 1101</v>
          </cell>
          <cell r="E3578">
            <v>2299</v>
          </cell>
          <cell r="F3578" t="b">
            <v>0</v>
          </cell>
          <cell r="G3578">
            <v>2927.8178504911798</v>
          </cell>
          <cell r="H3578">
            <v>2927.8178504911798</v>
          </cell>
        </row>
        <row r="3579">
          <cell r="B3579" t="str">
            <v>WOODSIDE 110147872</v>
          </cell>
          <cell r="C3579">
            <v>24251101</v>
          </cell>
          <cell r="D3579" t="str">
            <v>WOODSIDE 1101</v>
          </cell>
          <cell r="E3579">
            <v>47872</v>
          </cell>
          <cell r="F3579" t="b">
            <v>0</v>
          </cell>
          <cell r="G3579">
            <v>6709.5897236866804</v>
          </cell>
          <cell r="H3579">
            <v>6709.5897236866804</v>
          </cell>
        </row>
        <row r="3580">
          <cell r="B3580" t="str">
            <v>WOODSIDE 11018522</v>
          </cell>
          <cell r="C3580">
            <v>24251101</v>
          </cell>
          <cell r="D3580" t="str">
            <v>WOODSIDE 1101</v>
          </cell>
          <cell r="E3580">
            <v>8522</v>
          </cell>
          <cell r="F3580" t="b">
            <v>0</v>
          </cell>
          <cell r="G3580">
            <v>15153.837702239</v>
          </cell>
          <cell r="H3580">
            <v>3071.20079215845</v>
          </cell>
        </row>
        <row r="3581">
          <cell r="B3581" t="str">
            <v>WOODSIDE 11018601</v>
          </cell>
          <cell r="C3581">
            <v>24251101</v>
          </cell>
          <cell r="D3581" t="str">
            <v>WOODSIDE 1101</v>
          </cell>
          <cell r="E3581">
            <v>8601</v>
          </cell>
          <cell r="F3581" t="b">
            <v>1</v>
          </cell>
          <cell r="G3581">
            <v>961.63100032609395</v>
          </cell>
          <cell r="H3581">
            <v>961.63100032609395</v>
          </cell>
        </row>
        <row r="3582">
          <cell r="B3582" t="str">
            <v>WOODSIDE 11018884</v>
          </cell>
          <cell r="C3582">
            <v>24251101</v>
          </cell>
          <cell r="D3582" t="str">
            <v>WOODSIDE 1101</v>
          </cell>
          <cell r="E3582">
            <v>8884</v>
          </cell>
          <cell r="F3582" t="b">
            <v>0</v>
          </cell>
          <cell r="G3582">
            <v>12033.5668557561</v>
          </cell>
          <cell r="H3582">
            <v>12033.5668557561</v>
          </cell>
        </row>
        <row r="3583">
          <cell r="B3583" t="str">
            <v>WOODSIDE 11018912</v>
          </cell>
          <cell r="C3583">
            <v>24251101</v>
          </cell>
          <cell r="D3583" t="str">
            <v>WOODSIDE 1101</v>
          </cell>
          <cell r="E3583">
            <v>8912</v>
          </cell>
          <cell r="F3583" t="b">
            <v>0</v>
          </cell>
          <cell r="G3583">
            <v>6310.9140649278097</v>
          </cell>
          <cell r="H3583">
            <v>6268.7877059695502</v>
          </cell>
        </row>
        <row r="3584">
          <cell r="B3584" t="str">
            <v>WOODSIDE 11018972</v>
          </cell>
          <cell r="C3584">
            <v>24251101</v>
          </cell>
          <cell r="D3584" t="str">
            <v>WOODSIDE 1101</v>
          </cell>
          <cell r="E3584">
            <v>8972</v>
          </cell>
          <cell r="F3584" t="b">
            <v>0</v>
          </cell>
          <cell r="G3584">
            <v>10000.1576712857</v>
          </cell>
          <cell r="H3584">
            <v>10000.1576712857</v>
          </cell>
        </row>
        <row r="3585">
          <cell r="B3585" t="str">
            <v>WOODSIDE 11018974</v>
          </cell>
          <cell r="C3585">
            <v>24251101</v>
          </cell>
          <cell r="D3585" t="str">
            <v>WOODSIDE 1101</v>
          </cell>
          <cell r="E3585">
            <v>8974</v>
          </cell>
          <cell r="F3585" t="b">
            <v>0</v>
          </cell>
          <cell r="G3585">
            <v>21278.669062495501</v>
          </cell>
          <cell r="H3585">
            <v>21278.669062495501</v>
          </cell>
        </row>
        <row r="3586">
          <cell r="B3586" t="str">
            <v>WOODSIDE 1101CB</v>
          </cell>
          <cell r="C3586">
            <v>24251101</v>
          </cell>
          <cell r="D3586" t="str">
            <v>WOODSIDE 1101</v>
          </cell>
          <cell r="E3586" t="str">
            <v>CB</v>
          </cell>
          <cell r="F3586" t="b">
            <v>1</v>
          </cell>
          <cell r="G3586">
            <v>6762.3674285632296</v>
          </cell>
          <cell r="H3586">
            <v>0</v>
          </cell>
        </row>
        <row r="3587">
          <cell r="B3587" t="str">
            <v>WOODSIDE 1102472928</v>
          </cell>
          <cell r="C3587">
            <v>24251102</v>
          </cell>
          <cell r="D3587" t="str">
            <v>WOODSIDE 1102</v>
          </cell>
          <cell r="E3587">
            <v>472928</v>
          </cell>
          <cell r="F3587" t="b">
            <v>1</v>
          </cell>
          <cell r="G3587">
            <v>1622.1027192398899</v>
          </cell>
          <cell r="H3587">
            <v>124.825327623194</v>
          </cell>
        </row>
        <row r="3588">
          <cell r="B3588" t="str">
            <v>WOODSIDE 11028862</v>
          </cell>
          <cell r="C3588">
            <v>24251102</v>
          </cell>
          <cell r="D3588" t="str">
            <v>WOODSIDE 1102</v>
          </cell>
          <cell r="E3588">
            <v>8862</v>
          </cell>
          <cell r="F3588" t="b">
            <v>1</v>
          </cell>
          <cell r="G3588">
            <v>4562.4649370357001</v>
          </cell>
          <cell r="H3588">
            <v>0</v>
          </cell>
        </row>
        <row r="3589">
          <cell r="B3589" t="str">
            <v>WOODSIDE 110411555</v>
          </cell>
          <cell r="C3589">
            <v>24251104</v>
          </cell>
          <cell r="D3589" t="str">
            <v>WOODSIDE 1104</v>
          </cell>
          <cell r="E3589">
            <v>11555</v>
          </cell>
          <cell r="F3589" t="b">
            <v>0</v>
          </cell>
          <cell r="G3589">
            <v>1379.98374278043</v>
          </cell>
          <cell r="H3589">
            <v>1379.98374278043</v>
          </cell>
        </row>
        <row r="3590">
          <cell r="B3590" t="str">
            <v>WOODSIDE 11043583</v>
          </cell>
          <cell r="C3590">
            <v>24251104</v>
          </cell>
          <cell r="D3590" t="str">
            <v>WOODSIDE 1104</v>
          </cell>
          <cell r="E3590">
            <v>3583</v>
          </cell>
          <cell r="F3590" t="b">
            <v>0</v>
          </cell>
          <cell r="G3590">
            <v>4565.0094370075903</v>
          </cell>
          <cell r="H3590">
            <v>4565.0094370075903</v>
          </cell>
        </row>
        <row r="3591">
          <cell r="B3591" t="str">
            <v>WOODSIDE 1104420146</v>
          </cell>
          <cell r="C3591">
            <v>24251104</v>
          </cell>
          <cell r="D3591" t="str">
            <v>WOODSIDE 1104</v>
          </cell>
          <cell r="E3591">
            <v>420146</v>
          </cell>
          <cell r="F3591" t="b">
            <v>0</v>
          </cell>
          <cell r="G3591">
            <v>5058.5238700084501</v>
          </cell>
          <cell r="H3591">
            <v>4389.3602384731503</v>
          </cell>
        </row>
        <row r="3592">
          <cell r="B3592" t="str">
            <v>WOODSIDE 1104520832</v>
          </cell>
          <cell r="C3592">
            <v>24251104</v>
          </cell>
          <cell r="D3592" t="str">
            <v>WOODSIDE 1104</v>
          </cell>
          <cell r="E3592">
            <v>520832</v>
          </cell>
          <cell r="F3592" t="b">
            <v>0</v>
          </cell>
          <cell r="G3592">
            <v>12960.7664436088</v>
          </cell>
          <cell r="H3592">
            <v>9719.2853256561993</v>
          </cell>
        </row>
        <row r="3593">
          <cell r="B3593" t="str">
            <v>WOODSIDE 1104555372</v>
          </cell>
          <cell r="C3593">
            <v>24251104</v>
          </cell>
          <cell r="D3593" t="str">
            <v>WOODSIDE 1104</v>
          </cell>
          <cell r="E3593">
            <v>555372</v>
          </cell>
          <cell r="F3593" t="b">
            <v>0</v>
          </cell>
          <cell r="G3593">
            <v>6684.5288346530697</v>
          </cell>
          <cell r="H3593">
            <v>6684.5288346530697</v>
          </cell>
        </row>
        <row r="3594">
          <cell r="B3594" t="str">
            <v>WOODSIDE 11049030</v>
          </cell>
          <cell r="C3594">
            <v>24251104</v>
          </cell>
          <cell r="D3594" t="str">
            <v>WOODSIDE 1104</v>
          </cell>
          <cell r="E3594">
            <v>9030</v>
          </cell>
          <cell r="F3594" t="b">
            <v>0</v>
          </cell>
          <cell r="G3594">
            <v>4149.4332776090996</v>
          </cell>
          <cell r="H3594">
            <v>3272.4558207351201</v>
          </cell>
        </row>
        <row r="3595">
          <cell r="B3595" t="str">
            <v>WOODSIDE 11049032</v>
          </cell>
          <cell r="C3595">
            <v>24251104</v>
          </cell>
          <cell r="D3595" t="str">
            <v>WOODSIDE 1104</v>
          </cell>
          <cell r="E3595">
            <v>9032</v>
          </cell>
          <cell r="F3595" t="b">
            <v>0</v>
          </cell>
          <cell r="G3595">
            <v>7741.5059057512699</v>
          </cell>
          <cell r="H3595">
            <v>3452.77476976564</v>
          </cell>
        </row>
        <row r="3596">
          <cell r="B3596" t="str">
            <v>WOODSIDE 11049116</v>
          </cell>
          <cell r="C3596">
            <v>24251104</v>
          </cell>
          <cell r="D3596" t="str">
            <v>WOODSIDE 1104</v>
          </cell>
          <cell r="E3596">
            <v>9116</v>
          </cell>
          <cell r="F3596" t="b">
            <v>0</v>
          </cell>
          <cell r="G3596">
            <v>6878.1555856544201</v>
          </cell>
          <cell r="H3596">
            <v>1335.97687481603</v>
          </cell>
        </row>
        <row r="3597">
          <cell r="B3597" t="str">
            <v>WOODSIDE 1104CB</v>
          </cell>
          <cell r="C3597">
            <v>24251104</v>
          </cell>
          <cell r="D3597" t="str">
            <v>WOODSIDE 1104</v>
          </cell>
          <cell r="E3597" t="str">
            <v>CB</v>
          </cell>
          <cell r="F3597" t="b">
            <v>1</v>
          </cell>
          <cell r="G3597">
            <v>11988.727523842201</v>
          </cell>
          <cell r="H3597">
            <v>167.71953613119999</v>
          </cell>
        </row>
        <row r="3598">
          <cell r="B3598" t="str">
            <v>WOODWARD 210878448</v>
          </cell>
          <cell r="C3598">
            <v>255292108</v>
          </cell>
          <cell r="D3598" t="str">
            <v>WOODWARD 2108</v>
          </cell>
          <cell r="E3598">
            <v>78448</v>
          </cell>
          <cell r="F3598" t="b">
            <v>0</v>
          </cell>
          <cell r="G3598">
            <v>47671.199682398401</v>
          </cell>
          <cell r="H3598">
            <v>31387.763874483298</v>
          </cell>
        </row>
        <row r="3599">
          <cell r="B3599" t="str">
            <v>WYANDOTTE 110213044</v>
          </cell>
          <cell r="C3599">
            <v>102911102</v>
          </cell>
          <cell r="D3599" t="str">
            <v>WYANDOTTE 1102</v>
          </cell>
          <cell r="E3599">
            <v>13044</v>
          </cell>
          <cell r="F3599" t="b">
            <v>0</v>
          </cell>
          <cell r="G3599">
            <v>9652.7071711886001</v>
          </cell>
          <cell r="H3599">
            <v>7674.8454438021399</v>
          </cell>
        </row>
        <row r="3600">
          <cell r="B3600" t="str">
            <v>WYANDOTTE 110313018</v>
          </cell>
          <cell r="C3600">
            <v>102911103</v>
          </cell>
          <cell r="D3600" t="str">
            <v>WYANDOTTE 1103</v>
          </cell>
          <cell r="E3600">
            <v>13018</v>
          </cell>
          <cell r="F3600" t="b">
            <v>0</v>
          </cell>
          <cell r="G3600">
            <v>2657.27172424731</v>
          </cell>
          <cell r="H3600">
            <v>1090.3862099104699</v>
          </cell>
        </row>
        <row r="3601">
          <cell r="B3601" t="str">
            <v>WYANDOTTE 11031504</v>
          </cell>
          <cell r="C3601">
            <v>102911103</v>
          </cell>
          <cell r="D3601" t="str">
            <v>WYANDOTTE 1103</v>
          </cell>
          <cell r="E3601">
            <v>1504</v>
          </cell>
          <cell r="F3601" t="b">
            <v>0</v>
          </cell>
          <cell r="G3601">
            <v>23629.240938748</v>
          </cell>
          <cell r="H3601">
            <v>17735.400721552101</v>
          </cell>
        </row>
        <row r="3602">
          <cell r="B3602" t="str">
            <v>WYANDOTTE 11031508</v>
          </cell>
          <cell r="C3602">
            <v>102911103</v>
          </cell>
          <cell r="D3602" t="str">
            <v>WYANDOTTE 1103</v>
          </cell>
          <cell r="E3602">
            <v>1508</v>
          </cell>
          <cell r="F3602" t="b">
            <v>0</v>
          </cell>
          <cell r="G3602">
            <v>43792.573260232697</v>
          </cell>
          <cell r="H3602">
            <v>43792.573260232697</v>
          </cell>
        </row>
        <row r="3603">
          <cell r="B3603" t="str">
            <v>WYANDOTTE 11031974</v>
          </cell>
          <cell r="C3603">
            <v>102911103</v>
          </cell>
          <cell r="D3603" t="str">
            <v>WYANDOTTE 1103</v>
          </cell>
          <cell r="E3603">
            <v>1974</v>
          </cell>
          <cell r="F3603" t="b">
            <v>0</v>
          </cell>
          <cell r="G3603">
            <v>36068.635275047702</v>
          </cell>
          <cell r="H3603">
            <v>36068.635275047702</v>
          </cell>
        </row>
        <row r="3604">
          <cell r="B3604" t="str">
            <v>WYANDOTTE 11031976</v>
          </cell>
          <cell r="C3604">
            <v>102911103</v>
          </cell>
          <cell r="D3604" t="str">
            <v>WYANDOTTE 1103</v>
          </cell>
          <cell r="E3604">
            <v>1976</v>
          </cell>
          <cell r="F3604" t="b">
            <v>0</v>
          </cell>
          <cell r="G3604">
            <v>38264.427700231397</v>
          </cell>
          <cell r="H3604">
            <v>38264.427700231397</v>
          </cell>
        </row>
        <row r="3605">
          <cell r="B3605" t="str">
            <v>WYANDOTTE 110366146</v>
          </cell>
          <cell r="C3605">
            <v>102911103</v>
          </cell>
          <cell r="D3605" t="str">
            <v>WYANDOTTE 1103</v>
          </cell>
          <cell r="E3605">
            <v>66146</v>
          </cell>
          <cell r="F3605" t="b">
            <v>1</v>
          </cell>
          <cell r="G3605">
            <v>252.308263398772</v>
          </cell>
          <cell r="H3605">
            <v>252.308263398772</v>
          </cell>
        </row>
        <row r="3606">
          <cell r="B3606" t="str">
            <v>WYANDOTTE 1103CB</v>
          </cell>
          <cell r="C3606">
            <v>102911103</v>
          </cell>
          <cell r="D3606" t="str">
            <v>WYANDOTTE 1103</v>
          </cell>
          <cell r="E3606" t="str">
            <v>CB</v>
          </cell>
          <cell r="F3606" t="b">
            <v>1</v>
          </cell>
          <cell r="G3606">
            <v>11751.513616156701</v>
          </cell>
          <cell r="H3606">
            <v>394.00471869871302</v>
          </cell>
        </row>
        <row r="3607">
          <cell r="B3607" t="str">
            <v>WYANDOTTE 1105329930</v>
          </cell>
          <cell r="C3607">
            <v>102911105</v>
          </cell>
          <cell r="D3607" t="str">
            <v>WYANDOTTE 1105</v>
          </cell>
          <cell r="E3607">
            <v>329930</v>
          </cell>
          <cell r="F3607" t="b">
            <v>0</v>
          </cell>
          <cell r="G3607">
            <v>19740.574844357699</v>
          </cell>
          <cell r="H3607">
            <v>10526.181183664199</v>
          </cell>
        </row>
        <row r="3608">
          <cell r="B3608" t="str">
            <v>WYANDOTTE 1105CB</v>
          </cell>
          <cell r="C3608">
            <v>102911105</v>
          </cell>
          <cell r="D3608" t="str">
            <v>WYANDOTTE 1105</v>
          </cell>
          <cell r="E3608" t="str">
            <v>CB</v>
          </cell>
          <cell r="F3608" t="b">
            <v>0</v>
          </cell>
          <cell r="G3608">
            <v>21689.116288926201</v>
          </cell>
          <cell r="H3608">
            <v>18499.219614551399</v>
          </cell>
        </row>
        <row r="3609">
          <cell r="B3609" t="str">
            <v>WYANDOTTE 110641650</v>
          </cell>
          <cell r="C3609">
            <v>102911106</v>
          </cell>
          <cell r="D3609" t="str">
            <v>WYANDOTTE 1106</v>
          </cell>
          <cell r="E3609">
            <v>41650</v>
          </cell>
          <cell r="F3609" t="b">
            <v>0</v>
          </cell>
          <cell r="G3609">
            <v>26091.684591327401</v>
          </cell>
          <cell r="H3609">
            <v>1862.3815614326199</v>
          </cell>
        </row>
        <row r="3610">
          <cell r="B3610" t="str">
            <v>WYANDOTTE 11071026</v>
          </cell>
          <cell r="C3610">
            <v>102911107</v>
          </cell>
          <cell r="D3610" t="str">
            <v>WYANDOTTE 1107</v>
          </cell>
          <cell r="E3610">
            <v>1026</v>
          </cell>
          <cell r="F3610" t="b">
            <v>0</v>
          </cell>
          <cell r="G3610">
            <v>44906.734695010797</v>
          </cell>
          <cell r="H3610">
            <v>36171.542148219502</v>
          </cell>
        </row>
        <row r="3611">
          <cell r="B3611" t="str">
            <v>WYANDOTTE 11071510</v>
          </cell>
          <cell r="C3611">
            <v>102911107</v>
          </cell>
          <cell r="D3611" t="str">
            <v>WYANDOTTE 1107</v>
          </cell>
          <cell r="E3611">
            <v>1510</v>
          </cell>
          <cell r="F3611" t="b">
            <v>0</v>
          </cell>
          <cell r="G3611">
            <v>41028.155678065101</v>
          </cell>
          <cell r="H3611">
            <v>41028.155678065101</v>
          </cell>
        </row>
        <row r="3612">
          <cell r="B3612" t="str">
            <v>WYANDOTTE 110737472</v>
          </cell>
          <cell r="C3612">
            <v>102911107</v>
          </cell>
          <cell r="D3612" t="str">
            <v>WYANDOTTE 1107</v>
          </cell>
          <cell r="E3612">
            <v>37472</v>
          </cell>
          <cell r="F3612" t="b">
            <v>0</v>
          </cell>
          <cell r="G3612">
            <v>23988.055201514799</v>
          </cell>
          <cell r="H3612">
            <v>14935.901522591699</v>
          </cell>
        </row>
        <row r="3613">
          <cell r="B3613" t="str">
            <v>WYANDOTTE 110738438</v>
          </cell>
          <cell r="C3613">
            <v>102911107</v>
          </cell>
          <cell r="D3613" t="str">
            <v>WYANDOTTE 1107</v>
          </cell>
          <cell r="E3613">
            <v>38438</v>
          </cell>
          <cell r="F3613" t="b">
            <v>0</v>
          </cell>
          <cell r="G3613">
            <v>27128.308967212299</v>
          </cell>
          <cell r="H3613">
            <v>27128.308967212299</v>
          </cell>
        </row>
        <row r="3614">
          <cell r="B3614" t="str">
            <v>WYANDOTTE 110777578</v>
          </cell>
          <cell r="C3614">
            <v>102911107</v>
          </cell>
          <cell r="D3614" t="str">
            <v>WYANDOTTE 1107</v>
          </cell>
          <cell r="E3614">
            <v>77578</v>
          </cell>
          <cell r="F3614" t="b">
            <v>0</v>
          </cell>
          <cell r="G3614">
            <v>51848.898671989802</v>
          </cell>
          <cell r="H3614">
            <v>34427.901386263999</v>
          </cell>
        </row>
        <row r="3615">
          <cell r="B3615" t="str">
            <v>WYANDOTTE 1107829470</v>
          </cell>
          <cell r="C3615">
            <v>102911107</v>
          </cell>
          <cell r="D3615" t="str">
            <v>WYANDOTTE 1107</v>
          </cell>
          <cell r="E3615">
            <v>829470</v>
          </cell>
          <cell r="F3615" t="b">
            <v>0</v>
          </cell>
          <cell r="G3615">
            <v>16595.020500388498</v>
          </cell>
          <cell r="H3615">
            <v>16595.020500388498</v>
          </cell>
        </row>
        <row r="3616">
          <cell r="B3616" t="str">
            <v>WYANDOTTE 110796390</v>
          </cell>
          <cell r="C3616">
            <v>102911107</v>
          </cell>
          <cell r="D3616" t="str">
            <v>WYANDOTTE 1107</v>
          </cell>
          <cell r="E3616">
            <v>96390</v>
          </cell>
          <cell r="F3616" t="b">
            <v>0</v>
          </cell>
          <cell r="G3616">
            <v>16282.488532905199</v>
          </cell>
          <cell r="H3616">
            <v>13753.525019300099</v>
          </cell>
        </row>
        <row r="3617">
          <cell r="B3617" t="str">
            <v>WYANDOTTE 1107CB</v>
          </cell>
          <cell r="C3617">
            <v>102911107</v>
          </cell>
          <cell r="D3617" t="str">
            <v>WYANDOTTE 1107</v>
          </cell>
          <cell r="E3617" t="str">
            <v>CB</v>
          </cell>
          <cell r="F3617" t="b">
            <v>0</v>
          </cell>
          <cell r="G3617">
            <v>24321.9126950022</v>
          </cell>
          <cell r="H3617">
            <v>2030.37613435292</v>
          </cell>
        </row>
        <row r="3618">
          <cell r="B3618" t="str">
            <v>WYANDOTTE 11091040</v>
          </cell>
          <cell r="C3618">
            <v>102911109</v>
          </cell>
          <cell r="D3618" t="str">
            <v>WYANDOTTE 1109</v>
          </cell>
          <cell r="E3618">
            <v>1040</v>
          </cell>
          <cell r="F3618" t="b">
            <v>0</v>
          </cell>
          <cell r="G3618">
            <v>9753.1063230476593</v>
          </cell>
          <cell r="H3618">
            <v>1682.9824131580899</v>
          </cell>
        </row>
        <row r="3619">
          <cell r="B3619" t="str">
            <v>WYANDOTTE 110913052</v>
          </cell>
          <cell r="C3619">
            <v>102911109</v>
          </cell>
          <cell r="D3619" t="str">
            <v>WYANDOTTE 1109</v>
          </cell>
          <cell r="E3619">
            <v>13052</v>
          </cell>
          <cell r="F3619" t="b">
            <v>0</v>
          </cell>
          <cell r="G3619">
            <v>31493.718534824999</v>
          </cell>
          <cell r="H3619">
            <v>31480.182840055801</v>
          </cell>
        </row>
        <row r="3620">
          <cell r="B3620" t="str">
            <v>WYANDOTTE 11091520</v>
          </cell>
          <cell r="C3620">
            <v>102911109</v>
          </cell>
          <cell r="D3620" t="str">
            <v>WYANDOTTE 1109</v>
          </cell>
          <cell r="E3620">
            <v>1520</v>
          </cell>
          <cell r="F3620" t="b">
            <v>0</v>
          </cell>
          <cell r="G3620">
            <v>31725.400852887498</v>
          </cell>
          <cell r="H3620">
            <v>6700.2969171925897</v>
          </cell>
        </row>
        <row r="3621">
          <cell r="B3621" t="str">
            <v>WYANDOTTE 110932586</v>
          </cell>
          <cell r="C3621">
            <v>102911109</v>
          </cell>
          <cell r="D3621" t="str">
            <v>WYANDOTTE 1109</v>
          </cell>
          <cell r="E3621">
            <v>32586</v>
          </cell>
          <cell r="F3621" t="b">
            <v>0</v>
          </cell>
          <cell r="G3621">
            <v>2375.6773179584902</v>
          </cell>
          <cell r="H3621">
            <v>2158.8587060681898</v>
          </cell>
        </row>
        <row r="3622">
          <cell r="B3622" t="str">
            <v>WYANDOTTE 110942650</v>
          </cell>
          <cell r="C3622">
            <v>102911109</v>
          </cell>
          <cell r="D3622" t="str">
            <v>WYANDOTTE 1109</v>
          </cell>
          <cell r="E3622">
            <v>42650</v>
          </cell>
          <cell r="F3622" t="b">
            <v>0</v>
          </cell>
          <cell r="G3622">
            <v>4322.5082899601703</v>
          </cell>
          <cell r="H3622">
            <v>1459.62135208173</v>
          </cell>
        </row>
        <row r="3623">
          <cell r="B3623" t="str">
            <v>WYANDOTTE 11095607</v>
          </cell>
          <cell r="C3623">
            <v>102911109</v>
          </cell>
          <cell r="D3623" t="str">
            <v>WYANDOTTE 1109</v>
          </cell>
          <cell r="E3623">
            <v>5607</v>
          </cell>
          <cell r="F3623" t="b">
            <v>0</v>
          </cell>
          <cell r="G3623">
            <v>10708.8000864882</v>
          </cell>
          <cell r="H3623">
            <v>7265.94458452043</v>
          </cell>
        </row>
        <row r="3624">
          <cell r="B3624" t="str">
            <v>WYANDOTTE 11095973</v>
          </cell>
          <cell r="C3624">
            <v>102911109</v>
          </cell>
          <cell r="D3624" t="str">
            <v>WYANDOTTE 1109</v>
          </cell>
          <cell r="E3624">
            <v>5973</v>
          </cell>
          <cell r="F3624" t="b">
            <v>1</v>
          </cell>
          <cell r="G3624">
            <v>3972.7876068419</v>
          </cell>
          <cell r="H3624">
            <v>138.23537260265499</v>
          </cell>
        </row>
        <row r="3625">
          <cell r="B3625" t="str">
            <v>WYANDOTTE 1109702710</v>
          </cell>
          <cell r="C3625">
            <v>102911109</v>
          </cell>
          <cell r="D3625" t="str">
            <v>WYANDOTTE 1109</v>
          </cell>
          <cell r="E3625">
            <v>702710</v>
          </cell>
          <cell r="F3625" t="b">
            <v>0</v>
          </cell>
          <cell r="G3625">
            <v>7335.76710678172</v>
          </cell>
          <cell r="H3625">
            <v>4286.55563298584</v>
          </cell>
        </row>
        <row r="3626">
          <cell r="B3626" t="str">
            <v>WYANDOTTE 110979932</v>
          </cell>
          <cell r="C3626">
            <v>102911109</v>
          </cell>
          <cell r="D3626" t="str">
            <v>WYANDOTTE 1109</v>
          </cell>
          <cell r="E3626">
            <v>79932</v>
          </cell>
          <cell r="F3626" t="b">
            <v>0</v>
          </cell>
          <cell r="G3626">
            <v>52854.937449618599</v>
          </cell>
          <cell r="H3626">
            <v>35504.850541098604</v>
          </cell>
        </row>
        <row r="3627">
          <cell r="B3627" t="str">
            <v>WYANDOTTE 1110144140</v>
          </cell>
          <cell r="C3627">
            <v>102911110</v>
          </cell>
          <cell r="D3627" t="str">
            <v>WYANDOTTE 1110</v>
          </cell>
          <cell r="E3627">
            <v>144140</v>
          </cell>
          <cell r="F3627" t="b">
            <v>1</v>
          </cell>
          <cell r="G3627">
            <v>2469.4128944344402</v>
          </cell>
          <cell r="H3627">
            <v>417.01107389353399</v>
          </cell>
        </row>
        <row r="3628">
          <cell r="B3628" t="str">
            <v>WYANDOTTE 11101954</v>
          </cell>
          <cell r="C3628">
            <v>102911110</v>
          </cell>
          <cell r="D3628" t="str">
            <v>WYANDOTTE 1110</v>
          </cell>
          <cell r="E3628">
            <v>1954</v>
          </cell>
          <cell r="F3628" t="b">
            <v>0</v>
          </cell>
          <cell r="G3628">
            <v>17187.784010775202</v>
          </cell>
          <cell r="H3628">
            <v>4223.5590517310702</v>
          </cell>
        </row>
        <row r="3629">
          <cell r="B3629" t="str">
            <v>WYANDOTTE 1110980944</v>
          </cell>
          <cell r="C3629">
            <v>102911110</v>
          </cell>
          <cell r="D3629" t="str">
            <v>WYANDOTTE 1110</v>
          </cell>
          <cell r="E3629">
            <v>980944</v>
          </cell>
          <cell r="F3629" t="b">
            <v>0</v>
          </cell>
          <cell r="G3629">
            <v>26900.307244583699</v>
          </cell>
          <cell r="H3629">
            <v>16783.245325943299</v>
          </cell>
        </row>
        <row r="3630">
          <cell r="B3630" t="str">
            <v>ZACA 1101CB</v>
          </cell>
          <cell r="C3630">
            <v>182681101</v>
          </cell>
          <cell r="D3630" t="str">
            <v>ZACA 1101</v>
          </cell>
          <cell r="E3630" t="str">
            <v>CB</v>
          </cell>
          <cell r="F3630" t="b">
            <v>0</v>
          </cell>
          <cell r="G3630">
            <v>17435.944366401502</v>
          </cell>
          <cell r="H3630">
            <v>12032.479128319999</v>
          </cell>
        </row>
        <row r="3631">
          <cell r="B3631" t="str">
            <v>ZACA 1101Y70</v>
          </cell>
          <cell r="C3631">
            <v>182681101</v>
          </cell>
          <cell r="D3631" t="str">
            <v>ZACA 1101</v>
          </cell>
          <cell r="E3631" t="str">
            <v>Y70</v>
          </cell>
          <cell r="F3631" t="b">
            <v>0</v>
          </cell>
          <cell r="G3631">
            <v>13947.134718945301</v>
          </cell>
          <cell r="H3631">
            <v>10839.1211236504</v>
          </cell>
        </row>
        <row r="3632">
          <cell r="B3632" t="str">
            <v>ZACA 1101Y72</v>
          </cell>
          <cell r="C3632">
            <v>182681101</v>
          </cell>
          <cell r="D3632" t="str">
            <v>ZACA 1101</v>
          </cell>
          <cell r="E3632" t="str">
            <v>Y72</v>
          </cell>
          <cell r="F3632" t="b">
            <v>0</v>
          </cell>
          <cell r="G3632">
            <v>10347.4182168036</v>
          </cell>
          <cell r="H3632">
            <v>10265.635387558001</v>
          </cell>
        </row>
        <row r="3633">
          <cell r="B3633" t="str">
            <v>ZACA 1102CB</v>
          </cell>
          <cell r="C3633">
            <v>182681102</v>
          </cell>
          <cell r="D3633" t="str">
            <v>ZACA 1102</v>
          </cell>
          <cell r="E3633" t="str">
            <v>CB</v>
          </cell>
          <cell r="F3633" t="b">
            <v>0</v>
          </cell>
          <cell r="G3633">
            <v>33441.457712349104</v>
          </cell>
          <cell r="H3633">
            <v>25226.3337588303</v>
          </cell>
        </row>
        <row r="3634">
          <cell r="B3634" t="str">
            <v>ZACA 1102Y02</v>
          </cell>
          <cell r="C3634">
            <v>182681102</v>
          </cell>
          <cell r="D3634" t="str">
            <v>ZACA 1102</v>
          </cell>
          <cell r="E3634" t="str">
            <v>Y02</v>
          </cell>
          <cell r="F3634" t="b">
            <v>0</v>
          </cell>
          <cell r="G3634">
            <v>21138.349851574501</v>
          </cell>
          <cell r="H3634">
            <v>16812.491593667299</v>
          </cell>
        </row>
        <row r="3635">
          <cell r="B3635" t="str">
            <v>ZACA 1102Y48</v>
          </cell>
          <cell r="C3635">
            <v>182681102</v>
          </cell>
          <cell r="D3635" t="str">
            <v>ZACA 1102</v>
          </cell>
          <cell r="E3635" t="str">
            <v>Y48</v>
          </cell>
          <cell r="F3635" t="b">
            <v>0</v>
          </cell>
          <cell r="G3635">
            <v>19054.689596083601</v>
          </cell>
          <cell r="H3635">
            <v>7064.31920282387</v>
          </cell>
        </row>
        <row r="3636">
          <cell r="B3636" t="str">
            <v>ZACA 1102Y54</v>
          </cell>
          <cell r="C3636">
            <v>182681102</v>
          </cell>
          <cell r="D3636" t="str">
            <v>ZACA 1102</v>
          </cell>
          <cell r="E3636" t="str">
            <v>Y54</v>
          </cell>
          <cell r="F3636" t="b">
            <v>0</v>
          </cell>
          <cell r="G3636">
            <v>55238.5351262447</v>
          </cell>
          <cell r="H3636">
            <v>54847.9366068319</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drs/pr/DisplayPR.asp?idEDR=1013801" TargetMode="External"/><Relationship Id="rId299" Type="http://schemas.openxmlformats.org/officeDocument/2006/relationships/hyperlink" Target="http://www/edrs/pr/DisplayPR.asp?idEDR=1031304" TargetMode="External"/><Relationship Id="rId21" Type="http://schemas.openxmlformats.org/officeDocument/2006/relationships/hyperlink" Target="http://www/edrs/pr/DisplayPR.asp?idEDR=1112318" TargetMode="External"/><Relationship Id="rId63" Type="http://schemas.openxmlformats.org/officeDocument/2006/relationships/hyperlink" Target="http://www/edrs/pr/DisplayPR.asp?idEDR=1126922" TargetMode="External"/><Relationship Id="rId159" Type="http://schemas.openxmlformats.org/officeDocument/2006/relationships/hyperlink" Target="http://www/edrs/pr/DisplayPR.asp?idEDR=1228427" TargetMode="External"/><Relationship Id="rId324" Type="http://schemas.openxmlformats.org/officeDocument/2006/relationships/hyperlink" Target="http://www/edrs/pr/DisplayPR.asp?idEDR=1222184" TargetMode="External"/><Relationship Id="rId366" Type="http://schemas.openxmlformats.org/officeDocument/2006/relationships/hyperlink" Target="http://www/edrs/pr/DisplayPR.asp?idEDR=1194327" TargetMode="External"/><Relationship Id="rId531" Type="http://schemas.openxmlformats.org/officeDocument/2006/relationships/hyperlink" Target="http://www.utility.pge.com/edrs/pr/DisplayPR.asp?idEDR=1241060" TargetMode="External"/><Relationship Id="rId573" Type="http://schemas.openxmlformats.org/officeDocument/2006/relationships/hyperlink" Target="http://www/edrs/pr/DisplayPR.asp?idEDR=937217" TargetMode="External"/><Relationship Id="rId170" Type="http://schemas.openxmlformats.org/officeDocument/2006/relationships/hyperlink" Target="http://www.utility.pge.com/edrs/default.asp?id=1230184" TargetMode="External"/><Relationship Id="rId226" Type="http://schemas.openxmlformats.org/officeDocument/2006/relationships/hyperlink" Target="http://www/edrs/pr/DisplayPR.asp?idEDR=1194328" TargetMode="External"/><Relationship Id="rId433" Type="http://schemas.openxmlformats.org/officeDocument/2006/relationships/hyperlink" Target="http://www/edrs/pr/DisplayPR.asp?idEDR=1231732" TargetMode="External"/><Relationship Id="rId268" Type="http://schemas.openxmlformats.org/officeDocument/2006/relationships/hyperlink" Target="http://www/edrs/pr/DisplayPR.asp?idEDR=1228578" TargetMode="External"/><Relationship Id="rId475" Type="http://schemas.openxmlformats.org/officeDocument/2006/relationships/hyperlink" Target="http://www/edrs/pr/DisplayPR.asp?idEDR=1234655" TargetMode="External"/><Relationship Id="rId32" Type="http://schemas.openxmlformats.org/officeDocument/2006/relationships/hyperlink" Target="http://www/edrs/pr/DisplayPR.asp?idEDR=1187485" TargetMode="External"/><Relationship Id="rId74" Type="http://schemas.openxmlformats.org/officeDocument/2006/relationships/hyperlink" Target="http://www/edrs/pr/DisplayPRRef.asp?idEDR=1017777&amp;refDoc=2019-35887" TargetMode="External"/><Relationship Id="rId128" Type="http://schemas.openxmlformats.org/officeDocument/2006/relationships/hyperlink" Target="http://www/edrs/pr/DisplayPR.asp?idEDR=1206874" TargetMode="External"/><Relationship Id="rId335" Type="http://schemas.openxmlformats.org/officeDocument/2006/relationships/hyperlink" Target="http://www.utility.pge.com/edrs/pr/DisplayPR.asp?idEDR=1232798" TargetMode="External"/><Relationship Id="rId377" Type="http://schemas.openxmlformats.org/officeDocument/2006/relationships/hyperlink" Target="http://www.utility.pge.com/edrs/pr/DisplayPR.asp?idEDR=1233432" TargetMode="External"/><Relationship Id="rId500" Type="http://schemas.openxmlformats.org/officeDocument/2006/relationships/hyperlink" Target="http://www/edrs/pr/DisplayPR.asp?idEDR=1218925" TargetMode="External"/><Relationship Id="rId542" Type="http://schemas.openxmlformats.org/officeDocument/2006/relationships/hyperlink" Target="http://www.utility.pge.com/edrs/pr/DisplayPR.asp?idEDR=1234072" TargetMode="External"/><Relationship Id="rId584" Type="http://schemas.openxmlformats.org/officeDocument/2006/relationships/printerSettings" Target="../printerSettings/printerSettings2.bin"/><Relationship Id="rId5" Type="http://schemas.openxmlformats.org/officeDocument/2006/relationships/hyperlink" Target="http://www/edrs/pr/DisplayPR.asp?idEDR=1131372" TargetMode="External"/><Relationship Id="rId181" Type="http://schemas.openxmlformats.org/officeDocument/2006/relationships/hyperlink" Target="http://www.utility.pge.com/edrs/pr/DisplayPR.asp?idEDR=1230458" TargetMode="External"/><Relationship Id="rId237" Type="http://schemas.openxmlformats.org/officeDocument/2006/relationships/hyperlink" Target="http://www/edrs/pr/DisplayPR.asp?idEDR=1223382" TargetMode="External"/><Relationship Id="rId402" Type="http://schemas.openxmlformats.org/officeDocument/2006/relationships/hyperlink" Target="http://www.utility.pge.com/edrs/pr/DisplayPR.asp?idEDR=1233725" TargetMode="External"/><Relationship Id="rId279" Type="http://schemas.openxmlformats.org/officeDocument/2006/relationships/hyperlink" Target="http://www/edrs/pr/DisplayPR.asp?idEDR=1228419" TargetMode="External"/><Relationship Id="rId444" Type="http://schemas.openxmlformats.org/officeDocument/2006/relationships/hyperlink" Target="http://www/edrs/pr/DisplayPR.asp?idEDR=1237423" TargetMode="External"/><Relationship Id="rId486" Type="http://schemas.openxmlformats.org/officeDocument/2006/relationships/hyperlink" Target="http://www.utility.pge.com/edrs/pr/DisplayPR.asp?idEDR=1233639" TargetMode="External"/><Relationship Id="rId43" Type="http://schemas.openxmlformats.org/officeDocument/2006/relationships/hyperlink" Target="http://www/edrs/pr/DisplayPR.asp?idEDR=1094144" TargetMode="External"/><Relationship Id="rId139" Type="http://schemas.openxmlformats.org/officeDocument/2006/relationships/hyperlink" Target="http://www/edrs/pr/DisplayPR.asp?idEDR=1222616" TargetMode="External"/><Relationship Id="rId290" Type="http://schemas.openxmlformats.org/officeDocument/2006/relationships/hyperlink" Target="http://www/edrs/pr/DisplayPR.asp?idEDR=1228954" TargetMode="External"/><Relationship Id="rId304" Type="http://schemas.openxmlformats.org/officeDocument/2006/relationships/hyperlink" Target="http://www.utility.pge.com/edrs/pr/DisplayPR.asp?idEDR=1232554" TargetMode="External"/><Relationship Id="rId346" Type="http://schemas.openxmlformats.org/officeDocument/2006/relationships/hyperlink" Target="http://www.utility.pge.com/edrs/pr/DisplayPR.asp?idEDR=1233276" TargetMode="External"/><Relationship Id="rId388" Type="http://schemas.openxmlformats.org/officeDocument/2006/relationships/hyperlink" Target="http://www.utility.pge.com/edrs/pr/DisplayPR.asp?idEDR=1233432" TargetMode="External"/><Relationship Id="rId511" Type="http://schemas.openxmlformats.org/officeDocument/2006/relationships/hyperlink" Target="http://www/edrs/pr/DisplayPR.asp?idEDR=1218748" TargetMode="External"/><Relationship Id="rId553" Type="http://schemas.openxmlformats.org/officeDocument/2006/relationships/hyperlink" Target="http://www/edrs/pr/DisplayPR.asp?idEDR=1235021" TargetMode="External"/><Relationship Id="rId85" Type="http://schemas.openxmlformats.org/officeDocument/2006/relationships/hyperlink" Target="http://www/edrs/pr/DisplayPR.asp?idEDR=1184874" TargetMode="External"/><Relationship Id="rId150" Type="http://schemas.openxmlformats.org/officeDocument/2006/relationships/hyperlink" Target="http://www/edrs/pr/DisplayPR.asp?idEDR=1121855" TargetMode="External"/><Relationship Id="rId192" Type="http://schemas.openxmlformats.org/officeDocument/2006/relationships/hyperlink" Target="http://www/edrs/pr/DisplayPR.asp?idEDR=1230428" TargetMode="External"/><Relationship Id="rId206" Type="http://schemas.openxmlformats.org/officeDocument/2006/relationships/hyperlink" Target="http://www/edrs/pr/DisplayPR.asp?idEDR=1219400" TargetMode="External"/><Relationship Id="rId413" Type="http://schemas.openxmlformats.org/officeDocument/2006/relationships/hyperlink" Target="http://www/edrs/pr/DisplayPR.asp?idEDR=1193821" TargetMode="External"/><Relationship Id="rId248" Type="http://schemas.openxmlformats.org/officeDocument/2006/relationships/hyperlink" Target="http://www/edrs/pr/DisplayPR.asp?idEDR=1222268" TargetMode="External"/><Relationship Id="rId455" Type="http://schemas.openxmlformats.org/officeDocument/2006/relationships/hyperlink" Target="http://www/edrs/pr/DisplayPR.asp?idEDR=1235051" TargetMode="External"/><Relationship Id="rId497" Type="http://schemas.openxmlformats.org/officeDocument/2006/relationships/hyperlink" Target="http://www/edrs/pr/DisplayPR.asp?idEDR=1218748" TargetMode="External"/><Relationship Id="rId12" Type="http://schemas.openxmlformats.org/officeDocument/2006/relationships/hyperlink" Target="http://www/edrs/pr/DisplayPR.asp?idEDR=1031304" TargetMode="External"/><Relationship Id="rId108" Type="http://schemas.openxmlformats.org/officeDocument/2006/relationships/hyperlink" Target="http://www/edrs/pr/DisplayPR.asp?idEDR=1144495" TargetMode="External"/><Relationship Id="rId315" Type="http://schemas.openxmlformats.org/officeDocument/2006/relationships/hyperlink" Target="http://www.utility.pge.com/edrs/pr/DisplayPR.asp?idEDR=1233139" TargetMode="External"/><Relationship Id="rId357" Type="http://schemas.openxmlformats.org/officeDocument/2006/relationships/hyperlink" Target="http://www.utility.pge.com/edrs/pr/DisplayPR.asp?idEDR=1233428" TargetMode="External"/><Relationship Id="rId522" Type="http://schemas.openxmlformats.org/officeDocument/2006/relationships/hyperlink" Target="http://www/edrs/pr/DisplayPR.asp?idEDR=1234842" TargetMode="External"/><Relationship Id="rId54" Type="http://schemas.openxmlformats.org/officeDocument/2006/relationships/hyperlink" Target="http://www/edrs/pr/DisplayPR.asp?idEDR=1094069" TargetMode="External"/><Relationship Id="rId96" Type="http://schemas.openxmlformats.org/officeDocument/2006/relationships/hyperlink" Target="http://www.utility.pge.com/edrs/pr/DisplayPR.asp?idEDR=1159014" TargetMode="External"/><Relationship Id="rId161" Type="http://schemas.openxmlformats.org/officeDocument/2006/relationships/hyperlink" Target="http://www/edrs/pr/DisplayPR.asp?idEDR=1228956" TargetMode="External"/><Relationship Id="rId217" Type="http://schemas.openxmlformats.org/officeDocument/2006/relationships/hyperlink" Target="http://www/edrs/pr/DisplayPR.asp?idEDR=1194274" TargetMode="External"/><Relationship Id="rId399" Type="http://schemas.openxmlformats.org/officeDocument/2006/relationships/hyperlink" Target="http://www.utility.pge.com/edrs/pr/DisplayPR.asp?idEDR=1233725" TargetMode="External"/><Relationship Id="rId564" Type="http://schemas.openxmlformats.org/officeDocument/2006/relationships/hyperlink" Target="http://www/edrs/pr/DisplayPR.asp?idEDR=1189093" TargetMode="External"/><Relationship Id="rId259" Type="http://schemas.openxmlformats.org/officeDocument/2006/relationships/hyperlink" Target="http://www/edrs/pr/DisplayPR.asp?idEDR=1047622" TargetMode="External"/><Relationship Id="rId424" Type="http://schemas.openxmlformats.org/officeDocument/2006/relationships/hyperlink" Target="http://www/edrs/pr/DisplayPR.asp?idEDR=1234842" TargetMode="External"/><Relationship Id="rId466" Type="http://schemas.openxmlformats.org/officeDocument/2006/relationships/hyperlink" Target="http://www/edrs/pr/DisplayPR.asp?idEDR=1229283" TargetMode="External"/><Relationship Id="rId23" Type="http://schemas.openxmlformats.org/officeDocument/2006/relationships/hyperlink" Target="http://www/edrs/pr/DisplayPRRef.asp?idEDR=1041711&amp;refDoc=2019-35903" TargetMode="External"/><Relationship Id="rId119" Type="http://schemas.openxmlformats.org/officeDocument/2006/relationships/hyperlink" Target="http://www/edrs/pr/DisplayPR.asp?idEDR=1060520" TargetMode="External"/><Relationship Id="rId270" Type="http://schemas.openxmlformats.org/officeDocument/2006/relationships/hyperlink" Target="http://www.utility.pge.com/edrs/pr/DisplayPR.asp?idEDR=1229995" TargetMode="External"/><Relationship Id="rId326" Type="http://schemas.openxmlformats.org/officeDocument/2006/relationships/hyperlink" Target="http://www/edrs/pr/DisplayPR.asp?idEDR=1222184" TargetMode="External"/><Relationship Id="rId533" Type="http://schemas.openxmlformats.org/officeDocument/2006/relationships/hyperlink" Target="http://www/edrs/pr/DisplayPR.asp?idEDR=1229833" TargetMode="External"/><Relationship Id="rId65" Type="http://schemas.openxmlformats.org/officeDocument/2006/relationships/hyperlink" Target="http://www.utility.pge.com/edrs/pr/DisplayPRRef.asp?idEDR=1043422&amp;refDoc=2019-32244" TargetMode="External"/><Relationship Id="rId130" Type="http://schemas.openxmlformats.org/officeDocument/2006/relationships/hyperlink" Target="http://www/edrs/pr/DisplayPR.asp?idEDR=1222407" TargetMode="External"/><Relationship Id="rId368" Type="http://schemas.openxmlformats.org/officeDocument/2006/relationships/hyperlink" Target="http://www.utility.pge.com/edrs/pr/DisplayPR.asp?idEDR=1233431" TargetMode="External"/><Relationship Id="rId575" Type="http://schemas.openxmlformats.org/officeDocument/2006/relationships/hyperlink" Target="http://www/edrs/pr/DisplayPR.asp?idEDR=1194328" TargetMode="External"/><Relationship Id="rId172" Type="http://schemas.openxmlformats.org/officeDocument/2006/relationships/hyperlink" Target="http://www.utility.pge.com/edrs/default.asp?id=1230146" TargetMode="External"/><Relationship Id="rId228" Type="http://schemas.openxmlformats.org/officeDocument/2006/relationships/hyperlink" Target="http://www/edrs/pr/DisplayPR.asp?idEDR=1194328" TargetMode="External"/><Relationship Id="rId435" Type="http://schemas.openxmlformats.org/officeDocument/2006/relationships/hyperlink" Target="http://www/edrs/pr/DisplayPR.asp?idEDR=1231732" TargetMode="External"/><Relationship Id="rId477" Type="http://schemas.openxmlformats.org/officeDocument/2006/relationships/hyperlink" Target="http://www/edrs/pr/DisplayPR.asp?idEDR=1234655" TargetMode="External"/><Relationship Id="rId281" Type="http://schemas.openxmlformats.org/officeDocument/2006/relationships/hyperlink" Target="http://www.utility.pge.com/edrs/pr/DisplayPR.asp?idEDR=1230547" TargetMode="External"/><Relationship Id="rId337" Type="http://schemas.openxmlformats.org/officeDocument/2006/relationships/hyperlink" Target="http://www.utility.pge.com/edrs/pr/DisplayPR.asp?idEDR=1232798" TargetMode="External"/><Relationship Id="rId502" Type="http://schemas.openxmlformats.org/officeDocument/2006/relationships/hyperlink" Target="http://www/edrs/pr/DisplayPR.asp?idEDR=1218700" TargetMode="External"/><Relationship Id="rId34" Type="http://schemas.openxmlformats.org/officeDocument/2006/relationships/hyperlink" Target="http://www/edrs/pr/DisplayPR.asp?idEDR=1043422" TargetMode="External"/><Relationship Id="rId76" Type="http://schemas.openxmlformats.org/officeDocument/2006/relationships/hyperlink" Target="http://www/edrs/pr/DisplayPR.asp?idEDR=1141486" TargetMode="External"/><Relationship Id="rId141" Type="http://schemas.openxmlformats.org/officeDocument/2006/relationships/hyperlink" Target="http://www/edrs/pr/DisplayPR.asp?idEDR=1093543" TargetMode="External"/><Relationship Id="rId379" Type="http://schemas.openxmlformats.org/officeDocument/2006/relationships/hyperlink" Target="http://www.utility.pge.com/edrs/pr/DisplayPR.asp?idEDR=1233432" TargetMode="External"/><Relationship Id="rId544" Type="http://schemas.openxmlformats.org/officeDocument/2006/relationships/hyperlink" Target="http://www.utility.pge.com/edrs/pr/DisplayPR.asp?idEDR=1230683" TargetMode="External"/><Relationship Id="rId7" Type="http://schemas.openxmlformats.org/officeDocument/2006/relationships/hyperlink" Target="http://www/edrs/pr/DisplayPR.asp?idEDR=1192419" TargetMode="External"/><Relationship Id="rId183" Type="http://schemas.openxmlformats.org/officeDocument/2006/relationships/hyperlink" Target="http://www.utility.pge.com/edrs/pr/DisplayPR.asp?idEDR=1230194" TargetMode="External"/><Relationship Id="rId239" Type="http://schemas.openxmlformats.org/officeDocument/2006/relationships/hyperlink" Target="http://www/edrs/pr/DisplayPR.asp?idEDR=1223382" TargetMode="External"/><Relationship Id="rId390" Type="http://schemas.openxmlformats.org/officeDocument/2006/relationships/hyperlink" Target="http://www.utility.pge.com/edrs/pr/DisplayPR.asp?idEDR=1233433" TargetMode="External"/><Relationship Id="rId404" Type="http://schemas.openxmlformats.org/officeDocument/2006/relationships/hyperlink" Target="http://www.utility.pge.com/edrs/pr/DisplayPR.asp?idEDR=1233725" TargetMode="External"/><Relationship Id="rId446" Type="http://schemas.openxmlformats.org/officeDocument/2006/relationships/hyperlink" Target="http://www/edrs/pr/DisplayPR.asp?idEDR=1237148" TargetMode="External"/><Relationship Id="rId250" Type="http://schemas.openxmlformats.org/officeDocument/2006/relationships/hyperlink" Target="http://www/edrs/pr/DisplayPR.asp?idEDR=1222407" TargetMode="External"/><Relationship Id="rId292" Type="http://schemas.openxmlformats.org/officeDocument/2006/relationships/hyperlink" Target="http://www.utility.pge.com/edrs/pr/DisplayPR.asp?idEDR=1232554" TargetMode="External"/><Relationship Id="rId306" Type="http://schemas.openxmlformats.org/officeDocument/2006/relationships/hyperlink" Target="http://www.utility.pge.com/edrs/pr/DisplayPR.asp?idEDR=1232657" TargetMode="External"/><Relationship Id="rId488" Type="http://schemas.openxmlformats.org/officeDocument/2006/relationships/hyperlink" Target="http://www/edrs/pr/DisplayPR.asp?idEDR=1233782" TargetMode="External"/><Relationship Id="rId45" Type="http://schemas.openxmlformats.org/officeDocument/2006/relationships/hyperlink" Target="http://www/edrs/pr/DisplayPR.asp?idEDR=1184309" TargetMode="External"/><Relationship Id="rId87" Type="http://schemas.openxmlformats.org/officeDocument/2006/relationships/hyperlink" Target="http://www/edrs/pr/DisplayPR.asp?idEDR=1094061" TargetMode="External"/><Relationship Id="rId110" Type="http://schemas.openxmlformats.org/officeDocument/2006/relationships/hyperlink" Target="http://www/edrs/pr/DisplayPR.asp?idEDR=1138775" TargetMode="External"/><Relationship Id="rId348" Type="http://schemas.openxmlformats.org/officeDocument/2006/relationships/hyperlink" Target="http://www/edrs/pr/DisplayPR.asp?idEDR=1230193" TargetMode="External"/><Relationship Id="rId513" Type="http://schemas.openxmlformats.org/officeDocument/2006/relationships/hyperlink" Target="http://www/edrs/pr/DisplayPR.asp?idEDR=1218679" TargetMode="External"/><Relationship Id="rId555" Type="http://schemas.openxmlformats.org/officeDocument/2006/relationships/hyperlink" Target="http://www/edrs/pr/DisplayPR.asp?idEDR=1235021" TargetMode="External"/><Relationship Id="rId152" Type="http://schemas.openxmlformats.org/officeDocument/2006/relationships/hyperlink" Target="http://www/edrs/pr/DisplayPRRef.asp?idEDR=1010763&amp;refDoc=2019-35971" TargetMode="External"/><Relationship Id="rId194" Type="http://schemas.openxmlformats.org/officeDocument/2006/relationships/hyperlink" Target="http://www.utility.pge.com/edrs/pr/DisplayPR.asp?idEDR=1231711" TargetMode="External"/><Relationship Id="rId208" Type="http://schemas.openxmlformats.org/officeDocument/2006/relationships/hyperlink" Target="http://www/edrs/pr/DisplayPR.asp?idEDR=1192419" TargetMode="External"/><Relationship Id="rId415" Type="http://schemas.openxmlformats.org/officeDocument/2006/relationships/hyperlink" Target="http://www/edrs/pr/DisplayPR.asp?idEDR=1193821" TargetMode="External"/><Relationship Id="rId457" Type="http://schemas.openxmlformats.org/officeDocument/2006/relationships/hyperlink" Target="http://www/edrs/pr/DisplayPR.asp?idEDR=1235051" TargetMode="External"/><Relationship Id="rId261" Type="http://schemas.openxmlformats.org/officeDocument/2006/relationships/hyperlink" Target="http://www/edrs/pr/DisplayPR.asp?idEDR=1047624" TargetMode="External"/><Relationship Id="rId499" Type="http://schemas.openxmlformats.org/officeDocument/2006/relationships/hyperlink" Target="http://www/edrs/pr/DisplayPR.asp?idEDR=1218925" TargetMode="External"/><Relationship Id="rId14" Type="http://schemas.openxmlformats.org/officeDocument/2006/relationships/hyperlink" Target="http://www/edrs/pr/DisplayPR.asp?idEDR=1078797" TargetMode="External"/><Relationship Id="rId56" Type="http://schemas.openxmlformats.org/officeDocument/2006/relationships/hyperlink" Target="http://www/edrs/pr/DisplayPR.asp?idEDR=1196870" TargetMode="External"/><Relationship Id="rId317" Type="http://schemas.openxmlformats.org/officeDocument/2006/relationships/hyperlink" Target="http://www.utility.pge.com/edrs/pr/DisplayPR.asp?idEDR=1233139" TargetMode="External"/><Relationship Id="rId359" Type="http://schemas.openxmlformats.org/officeDocument/2006/relationships/hyperlink" Target="http://www.utility.pge.com/edrs/pr/DisplayPR.asp?idEDR=1233430" TargetMode="External"/><Relationship Id="rId524" Type="http://schemas.openxmlformats.org/officeDocument/2006/relationships/hyperlink" Target="http://www.utility.pge.com/edrs/default.asp?id=1240877" TargetMode="External"/><Relationship Id="rId566" Type="http://schemas.openxmlformats.org/officeDocument/2006/relationships/hyperlink" Target="http://www.utility.pge.com/edrs/pr/DisplayPRRef.asp?idEDR=1043422&amp;refDoc=2019-32244" TargetMode="External"/><Relationship Id="rId98" Type="http://schemas.openxmlformats.org/officeDocument/2006/relationships/hyperlink" Target="http://www.utility.pge.com/edrs/pr/DisplayPR.asp?idEDR=1043446" TargetMode="External"/><Relationship Id="rId121" Type="http://schemas.openxmlformats.org/officeDocument/2006/relationships/hyperlink" Target="http://www/edrs/pr/DisplayPR.asp?idEDR=1217520" TargetMode="External"/><Relationship Id="rId163" Type="http://schemas.openxmlformats.org/officeDocument/2006/relationships/hyperlink" Target="http://www/edrs/pr/DisplayPR.asp?idEDR=1228955" TargetMode="External"/><Relationship Id="rId219" Type="http://schemas.openxmlformats.org/officeDocument/2006/relationships/hyperlink" Target="http://www/edrs/pr/DisplayPR.asp?idEDR=1194274" TargetMode="External"/><Relationship Id="rId370" Type="http://schemas.openxmlformats.org/officeDocument/2006/relationships/hyperlink" Target="http://www.utility.pge.com/edrs/pr/DisplayPR.asp?idEDR=1233431" TargetMode="External"/><Relationship Id="rId426" Type="http://schemas.openxmlformats.org/officeDocument/2006/relationships/hyperlink" Target="http://www/edrs/pr/DisplayPR.asp?idEDR=1234919" TargetMode="External"/><Relationship Id="rId230" Type="http://schemas.openxmlformats.org/officeDocument/2006/relationships/hyperlink" Target="http://www/edrs/pr/DisplayPR.asp?idEDR=1194328" TargetMode="External"/><Relationship Id="rId468" Type="http://schemas.openxmlformats.org/officeDocument/2006/relationships/hyperlink" Target="http://www/edrs/pr/DisplayPR.asp?idEDR=1233740" TargetMode="External"/><Relationship Id="rId25" Type="http://schemas.openxmlformats.org/officeDocument/2006/relationships/hyperlink" Target="http://www/edrs/pr/DisplayPR.asp?idEDR=1188367" TargetMode="External"/><Relationship Id="rId67" Type="http://schemas.openxmlformats.org/officeDocument/2006/relationships/hyperlink" Target="http://www/edrs/pr/DisplayPR.asp?idEDR=1164021" TargetMode="External"/><Relationship Id="rId272" Type="http://schemas.openxmlformats.org/officeDocument/2006/relationships/hyperlink" Target="http://www.utility.pge.com/edrs/pr/DisplayPR.asp?idEDR=1229995" TargetMode="External"/><Relationship Id="rId328" Type="http://schemas.openxmlformats.org/officeDocument/2006/relationships/hyperlink" Target="http://www.utility.pge.com/edrs/pr/DisplayPR.asp?idEDR=1232793" TargetMode="External"/><Relationship Id="rId535" Type="http://schemas.openxmlformats.org/officeDocument/2006/relationships/hyperlink" Target="http://www.utility.pge.com/edrs/pr/DisplayPR.asp?idEDR=1239589" TargetMode="External"/><Relationship Id="rId577" Type="http://schemas.openxmlformats.org/officeDocument/2006/relationships/hyperlink" Target="http://www/edrs/pr/DisplayPR.asp?idEDR=1194328" TargetMode="External"/><Relationship Id="rId132" Type="http://schemas.openxmlformats.org/officeDocument/2006/relationships/hyperlink" Target="http://www/edrs/pr/DisplayPR.asp?idEDR=1221762" TargetMode="External"/><Relationship Id="rId174" Type="http://schemas.openxmlformats.org/officeDocument/2006/relationships/hyperlink" Target="http://www/edrs/pr/DisplayPR.asp?idEDR=1230193" TargetMode="External"/><Relationship Id="rId381" Type="http://schemas.openxmlformats.org/officeDocument/2006/relationships/hyperlink" Target="http://www.utility.pge.com/edrs/pr/DisplayPR.asp?idEDR=1233432" TargetMode="External"/><Relationship Id="rId241" Type="http://schemas.openxmlformats.org/officeDocument/2006/relationships/hyperlink" Target="http://www/edrs/pr/DisplayPR.asp?idEDR=1221762" TargetMode="External"/><Relationship Id="rId437" Type="http://schemas.openxmlformats.org/officeDocument/2006/relationships/hyperlink" Target="http://www/edrs/pr/DisplayPR.asp?idEDR=1231738" TargetMode="External"/><Relationship Id="rId479" Type="http://schemas.openxmlformats.org/officeDocument/2006/relationships/hyperlink" Target="http://www/edrs/pr/DisplayPR.asp?idEDR=1234655" TargetMode="External"/><Relationship Id="rId36" Type="http://schemas.openxmlformats.org/officeDocument/2006/relationships/hyperlink" Target="http://www/edrs/pr/DisplayPR.asp?idEDR=1008603" TargetMode="External"/><Relationship Id="rId283" Type="http://schemas.openxmlformats.org/officeDocument/2006/relationships/hyperlink" Target="http://www.utility.pge.com/edrs/pr/DisplayPR.asp?idEDR=1230547" TargetMode="External"/><Relationship Id="rId339" Type="http://schemas.openxmlformats.org/officeDocument/2006/relationships/hyperlink" Target="http://www.utility.pge.com/edrs/pr/DisplayPR.asp?idEDR=1233130" TargetMode="External"/><Relationship Id="rId490" Type="http://schemas.openxmlformats.org/officeDocument/2006/relationships/hyperlink" Target="http://www/edrs/pr/DisplayPR.asp?idEDR=1233806" TargetMode="External"/><Relationship Id="rId504" Type="http://schemas.openxmlformats.org/officeDocument/2006/relationships/hyperlink" Target="http://www/edrs/pr/DisplayPR.asp?idEDR=1218700" TargetMode="External"/><Relationship Id="rId546" Type="http://schemas.openxmlformats.org/officeDocument/2006/relationships/hyperlink" Target="http://www.utility.pge.com/edrs/pr/DisplayPR.asp?idEDR=1240648" TargetMode="External"/><Relationship Id="rId78" Type="http://schemas.openxmlformats.org/officeDocument/2006/relationships/hyperlink" Target="http://www/edrs/pr/DisplayPR.asp?idEDR=1030037" TargetMode="External"/><Relationship Id="rId101" Type="http://schemas.openxmlformats.org/officeDocument/2006/relationships/hyperlink" Target="http://www/edrs/pr/DisplayPR.asp?idEDR=1134525" TargetMode="External"/><Relationship Id="rId143" Type="http://schemas.openxmlformats.org/officeDocument/2006/relationships/hyperlink" Target="http://www/edrs/pr/DisplayPR.asp?idEDR=1224442" TargetMode="External"/><Relationship Id="rId185" Type="http://schemas.openxmlformats.org/officeDocument/2006/relationships/hyperlink" Target="http://www.utility.pge.com/edrs/pr/DisplayPR.asp?idEDR=1230671" TargetMode="External"/><Relationship Id="rId350" Type="http://schemas.openxmlformats.org/officeDocument/2006/relationships/hyperlink" Target="http://www.utility.pge.com/edrs/pr/DisplayPR.asp?idEDR=1233317" TargetMode="External"/><Relationship Id="rId406" Type="http://schemas.openxmlformats.org/officeDocument/2006/relationships/hyperlink" Target="http://www/edrs/pr/DisplayPR.asp?idEDR=1193821" TargetMode="External"/><Relationship Id="rId9" Type="http://schemas.openxmlformats.org/officeDocument/2006/relationships/hyperlink" Target="http://www/edrs/pr/DisplayPR.asp?idEDR=1194274" TargetMode="External"/><Relationship Id="rId210" Type="http://schemas.openxmlformats.org/officeDocument/2006/relationships/hyperlink" Target="http://www/edrs/pr/DisplayPR.asp?idEDR=1192419" TargetMode="External"/><Relationship Id="rId392" Type="http://schemas.openxmlformats.org/officeDocument/2006/relationships/hyperlink" Target="http://www.utility.pge.com/edrs/pr/DisplayPR.asp?idEDR=1233433" TargetMode="External"/><Relationship Id="rId448" Type="http://schemas.openxmlformats.org/officeDocument/2006/relationships/hyperlink" Target="http://www/edrs/pr/DisplayPR.asp?idEDR=1236685" TargetMode="External"/><Relationship Id="rId252" Type="http://schemas.openxmlformats.org/officeDocument/2006/relationships/hyperlink" Target="http://www/edrs/pr/DisplayPR.asp?idEDR=1228425" TargetMode="External"/><Relationship Id="rId294" Type="http://schemas.openxmlformats.org/officeDocument/2006/relationships/hyperlink" Target="http://www/edrs/pr/DisplayPR.asp?idEDR=1028045" TargetMode="External"/><Relationship Id="rId308" Type="http://schemas.openxmlformats.org/officeDocument/2006/relationships/hyperlink" Target="http://www.utility.pge.com/edrs/pr/DisplayPR.asp?idEDR=1232712" TargetMode="External"/><Relationship Id="rId515" Type="http://schemas.openxmlformats.org/officeDocument/2006/relationships/hyperlink" Target="http://www/edrs/pr/DisplayPR.asp?idEDR=1218212" TargetMode="External"/><Relationship Id="rId47" Type="http://schemas.openxmlformats.org/officeDocument/2006/relationships/hyperlink" Target="http://www/edrs/pr/DisplayPR.asp?idEDR=1140525" TargetMode="External"/><Relationship Id="rId89" Type="http://schemas.openxmlformats.org/officeDocument/2006/relationships/hyperlink" Target="http://www/edrs/pr/DisplayPR.asp?idEDR=1175358" TargetMode="External"/><Relationship Id="rId112" Type="http://schemas.openxmlformats.org/officeDocument/2006/relationships/hyperlink" Target="http://www/edrs/pr/DisplayPR.asp?idEDR=1140553" TargetMode="External"/><Relationship Id="rId154" Type="http://schemas.openxmlformats.org/officeDocument/2006/relationships/hyperlink" Target="http://www/edrs/pr/DisplayPR.asp?idEDR=1183592" TargetMode="External"/><Relationship Id="rId361" Type="http://schemas.openxmlformats.org/officeDocument/2006/relationships/hyperlink" Target="http://www/edrs/pr/DisplayPR.asp?idEDR=1194327" TargetMode="External"/><Relationship Id="rId557" Type="http://schemas.openxmlformats.org/officeDocument/2006/relationships/hyperlink" Target="http://www/edrs/pr/DisplayPR.asp?idEDR=1238899" TargetMode="External"/><Relationship Id="rId196" Type="http://schemas.openxmlformats.org/officeDocument/2006/relationships/hyperlink" Target="http://www.utility.pge.com/edrs/pr/DisplayPR.asp?idEDR=1231709" TargetMode="External"/><Relationship Id="rId200" Type="http://schemas.openxmlformats.org/officeDocument/2006/relationships/hyperlink" Target="http://www.utility.pge.com/edrs/pr/DisplayPR.asp?idEDR=1231713" TargetMode="External"/><Relationship Id="rId382" Type="http://schemas.openxmlformats.org/officeDocument/2006/relationships/hyperlink" Target="http://www.utility.pge.com/edrs/pr/DisplayPR.asp?idEDR=1233432" TargetMode="External"/><Relationship Id="rId417" Type="http://schemas.openxmlformats.org/officeDocument/2006/relationships/hyperlink" Target="http://www/edrs/pr/DisplayPR.asp?idEDR=1193821" TargetMode="External"/><Relationship Id="rId438" Type="http://schemas.openxmlformats.org/officeDocument/2006/relationships/hyperlink" Target="http://www/edrs/pr/DisplayPR.asp?idEDR=1231738" TargetMode="External"/><Relationship Id="rId459" Type="http://schemas.openxmlformats.org/officeDocument/2006/relationships/hyperlink" Target="http://www/edrs/pr/DisplayPR.asp?idEDR=1235051" TargetMode="External"/><Relationship Id="rId16" Type="http://schemas.openxmlformats.org/officeDocument/2006/relationships/hyperlink" Target="http://www/edrs/pr/DisplayPR.asp?idEDR=1094069" TargetMode="External"/><Relationship Id="rId221" Type="http://schemas.openxmlformats.org/officeDocument/2006/relationships/hyperlink" Target="http://www/edrs/pr/DisplayPR.asp?idEDR=1194274" TargetMode="External"/><Relationship Id="rId242" Type="http://schemas.openxmlformats.org/officeDocument/2006/relationships/hyperlink" Target="http://www/edrs/pr/DisplayPR.asp?idEDR=1221762" TargetMode="External"/><Relationship Id="rId263" Type="http://schemas.openxmlformats.org/officeDocument/2006/relationships/hyperlink" Target="http://www/edrs/pr/DisplayPR.asp?idEDR=1047624" TargetMode="External"/><Relationship Id="rId284" Type="http://schemas.openxmlformats.org/officeDocument/2006/relationships/hyperlink" Target="http://www.utility.pge.com/edrs/pr/DisplayPR.asp?idEDR=1230547" TargetMode="External"/><Relationship Id="rId319" Type="http://schemas.openxmlformats.org/officeDocument/2006/relationships/hyperlink" Target="http://www/edrs/pr/DisplayPR.asp?idEDR=1228956" TargetMode="External"/><Relationship Id="rId470" Type="http://schemas.openxmlformats.org/officeDocument/2006/relationships/hyperlink" Target="http://www/edrs/pr/DisplayPR.asp?idEDR=1233740" TargetMode="External"/><Relationship Id="rId491" Type="http://schemas.openxmlformats.org/officeDocument/2006/relationships/hyperlink" Target="http://www/edrs/pr/DisplayPR.asp?idEDR=1042474" TargetMode="External"/><Relationship Id="rId505" Type="http://schemas.openxmlformats.org/officeDocument/2006/relationships/hyperlink" Target="http://www/edrs/pr/DisplayPR.asp?idEDR=1218700" TargetMode="External"/><Relationship Id="rId526" Type="http://schemas.openxmlformats.org/officeDocument/2006/relationships/hyperlink" Target="http://www.utility.pge.com/edrs/pr/DisplayPR.asp?idEDR=1241067" TargetMode="External"/><Relationship Id="rId37" Type="http://schemas.openxmlformats.org/officeDocument/2006/relationships/hyperlink" Target="http://www/edrs/pr/DisplayPR.asp?idEDR=1121120" TargetMode="External"/><Relationship Id="rId58" Type="http://schemas.openxmlformats.org/officeDocument/2006/relationships/hyperlink" Target="http://www/edrs/pr/DisplayPR.asp?idEDR=1094075" TargetMode="External"/><Relationship Id="rId79" Type="http://schemas.openxmlformats.org/officeDocument/2006/relationships/hyperlink" Target="http://www/edrs/pr/DisplayPR.asp?idEDR=1094065" TargetMode="External"/><Relationship Id="rId102" Type="http://schemas.openxmlformats.org/officeDocument/2006/relationships/hyperlink" Target="http://www/edrs/pr/DisplayPR.asp?idEDR=1201761" TargetMode="External"/><Relationship Id="rId123" Type="http://schemas.openxmlformats.org/officeDocument/2006/relationships/hyperlink" Target="http://www/edrs/pr/DisplayPR.asp?idEDR=1028045" TargetMode="External"/><Relationship Id="rId144" Type="http://schemas.openxmlformats.org/officeDocument/2006/relationships/hyperlink" Target="http://www/edrs/pr/DisplayPR.asp?idEDR=1225191" TargetMode="External"/><Relationship Id="rId330" Type="http://schemas.openxmlformats.org/officeDocument/2006/relationships/hyperlink" Target="http://www.utility.pge.com/edrs/pr/DisplayPR.asp?idEDR=1232793" TargetMode="External"/><Relationship Id="rId547" Type="http://schemas.openxmlformats.org/officeDocument/2006/relationships/hyperlink" Target="http://www.utility.pge.com/edrs/pr/DisplayPR.asp?idEDR=1239703" TargetMode="External"/><Relationship Id="rId568" Type="http://schemas.openxmlformats.org/officeDocument/2006/relationships/hyperlink" Target="http://www/edrs/pr/DisplayPR.asp?idEDR=1196385" TargetMode="External"/><Relationship Id="rId90" Type="http://schemas.openxmlformats.org/officeDocument/2006/relationships/hyperlink" Target="http://www/edrs/pr/DisplayPRRef.asp?idEDR=1019313&amp;refDoc=2019-35889" TargetMode="External"/><Relationship Id="rId165" Type="http://schemas.openxmlformats.org/officeDocument/2006/relationships/hyperlink" Target="http://www.utility.pge.com/edrs/default.asp?id=1228578" TargetMode="External"/><Relationship Id="rId186" Type="http://schemas.openxmlformats.org/officeDocument/2006/relationships/hyperlink" Target="http://www.utility.pge.com/edrs/pr/DisplayPR.asp?idEDR=1230674" TargetMode="External"/><Relationship Id="rId351" Type="http://schemas.openxmlformats.org/officeDocument/2006/relationships/hyperlink" Target="http://www.utility.pge.com/edrs/pr/DisplayPR.asp?idEDR=1233380" TargetMode="External"/><Relationship Id="rId372" Type="http://schemas.openxmlformats.org/officeDocument/2006/relationships/hyperlink" Target="http://www.utility.pge.com/edrs/pr/DisplayPR.asp?idEDR=1233431" TargetMode="External"/><Relationship Id="rId393" Type="http://schemas.openxmlformats.org/officeDocument/2006/relationships/hyperlink" Target="http://www.utility.pge.com/edrs/pr/DisplayPR.asp?idEDR=1233433" TargetMode="External"/><Relationship Id="rId407" Type="http://schemas.openxmlformats.org/officeDocument/2006/relationships/hyperlink" Target="http://www/edrs/pr/DisplayPR.asp?idEDR=1193821" TargetMode="External"/><Relationship Id="rId428" Type="http://schemas.openxmlformats.org/officeDocument/2006/relationships/hyperlink" Target="http://www/edrs/pr/DisplayPR.asp?idEDR=1231734" TargetMode="External"/><Relationship Id="rId449" Type="http://schemas.openxmlformats.org/officeDocument/2006/relationships/hyperlink" Target="http://www/edrs/pr/DisplayPR.asp?idEDR=1235285" TargetMode="External"/><Relationship Id="rId211" Type="http://schemas.openxmlformats.org/officeDocument/2006/relationships/hyperlink" Target="http://www/edrs/pr/DisplayPR.asp?idEDR=1192419" TargetMode="External"/><Relationship Id="rId232" Type="http://schemas.openxmlformats.org/officeDocument/2006/relationships/hyperlink" Target="http://www/edrs/pr/DisplayPR.asp?idEDR=1194328" TargetMode="External"/><Relationship Id="rId253" Type="http://schemas.openxmlformats.org/officeDocument/2006/relationships/hyperlink" Target="http://www/edrs/pr/DisplayPR.asp?idEDR=1228425" TargetMode="External"/><Relationship Id="rId274" Type="http://schemas.openxmlformats.org/officeDocument/2006/relationships/hyperlink" Target="http://www/edrs/pr/DisplayPR.asp?idEDR=1228419" TargetMode="External"/><Relationship Id="rId295" Type="http://schemas.openxmlformats.org/officeDocument/2006/relationships/hyperlink" Target="http://www/edrs/pr/DisplayPR.asp?idEDR=1031304" TargetMode="External"/><Relationship Id="rId309" Type="http://schemas.openxmlformats.org/officeDocument/2006/relationships/hyperlink" Target="http://www.utility.pge.com/edrs/pr/DisplayPR.asp?idEDR=1232712" TargetMode="External"/><Relationship Id="rId460" Type="http://schemas.openxmlformats.org/officeDocument/2006/relationships/hyperlink" Target="http://www/edrs/pr/DisplayPR.asp?idEDR=1237723" TargetMode="External"/><Relationship Id="rId481" Type="http://schemas.openxmlformats.org/officeDocument/2006/relationships/hyperlink" Target="http://www.utility.pge.com/edrs/pr/DisplayPR.asp?idEDR=1233639" TargetMode="External"/><Relationship Id="rId516" Type="http://schemas.openxmlformats.org/officeDocument/2006/relationships/hyperlink" Target="http://www/edrs/pr/DisplayPR.asp?idEDR=1218213" TargetMode="External"/><Relationship Id="rId27" Type="http://schemas.openxmlformats.org/officeDocument/2006/relationships/hyperlink" Target="http://www.utility.pge.com/edrs/pr/DisplayPRRef.asp?idEDR=1043411&amp;refDoc=2019-32239" TargetMode="External"/><Relationship Id="rId48" Type="http://schemas.openxmlformats.org/officeDocument/2006/relationships/hyperlink" Target="http://www/edrs/pr/DisplayPR.asp?idEDR=1174932" TargetMode="External"/><Relationship Id="rId69" Type="http://schemas.openxmlformats.org/officeDocument/2006/relationships/hyperlink" Target="http://www/edrs/pr/DisplayPR.asp?idEDR=1134520" TargetMode="External"/><Relationship Id="rId113" Type="http://schemas.openxmlformats.org/officeDocument/2006/relationships/hyperlink" Target="http://www/edrs/pr/DisplayPR.asp?idEDR=1188875" TargetMode="External"/><Relationship Id="rId134" Type="http://schemas.openxmlformats.org/officeDocument/2006/relationships/hyperlink" Target="http://www/edrs/pr/DisplayPR.asp?idEDR=1222268" TargetMode="External"/><Relationship Id="rId320" Type="http://schemas.openxmlformats.org/officeDocument/2006/relationships/hyperlink" Target="http://www.utility.pge.com/edrs/pr/DisplayPR.asp?idEDR=1232790" TargetMode="External"/><Relationship Id="rId537" Type="http://schemas.openxmlformats.org/officeDocument/2006/relationships/hyperlink" Target="http://www.utility.pge.com/edrs/pr/DisplayPR.asp?idEDR=1239589" TargetMode="External"/><Relationship Id="rId558" Type="http://schemas.openxmlformats.org/officeDocument/2006/relationships/hyperlink" Target="http://www/edrs/pr/DisplayPR.asp?idEDR=1238899" TargetMode="External"/><Relationship Id="rId579" Type="http://schemas.openxmlformats.org/officeDocument/2006/relationships/hyperlink" Target="http://www/edrs/pr/DisplayPR.asp?idEDR=1194327" TargetMode="External"/><Relationship Id="rId80" Type="http://schemas.openxmlformats.org/officeDocument/2006/relationships/hyperlink" Target="http://www/edrs/pr/DisplayPR.asp?idEDR=1122485" TargetMode="External"/><Relationship Id="rId155" Type="http://schemas.openxmlformats.org/officeDocument/2006/relationships/hyperlink" Target="http://www/edrs/pr/DisplayPR.asp?idEDR=1228414" TargetMode="External"/><Relationship Id="rId176" Type="http://schemas.openxmlformats.org/officeDocument/2006/relationships/hyperlink" Target="http://www.utility.pge.com/edrs/pr/DisplayPR.asp?idEDR=1230526" TargetMode="External"/><Relationship Id="rId197" Type="http://schemas.openxmlformats.org/officeDocument/2006/relationships/hyperlink" Target="http://www.utility.pge.com/edrs/pr/DisplayPR.asp?idEDR=1231714" TargetMode="External"/><Relationship Id="rId341" Type="http://schemas.openxmlformats.org/officeDocument/2006/relationships/hyperlink" Target="http://www.utility.pge.com/edrs/pr/DisplayPR.asp?idEDR=1233225" TargetMode="External"/><Relationship Id="rId362" Type="http://schemas.openxmlformats.org/officeDocument/2006/relationships/hyperlink" Target="http://www/edrs/pr/DisplayPR.asp?idEDR=1194327" TargetMode="External"/><Relationship Id="rId383" Type="http://schemas.openxmlformats.org/officeDocument/2006/relationships/hyperlink" Target="http://www.utility.pge.com/edrs/pr/DisplayPR.asp?idEDR=1233432" TargetMode="External"/><Relationship Id="rId418" Type="http://schemas.openxmlformats.org/officeDocument/2006/relationships/hyperlink" Target="http://www/edrs/pr/DisplayPR.asp?idEDR=1193821" TargetMode="External"/><Relationship Id="rId439" Type="http://schemas.openxmlformats.org/officeDocument/2006/relationships/hyperlink" Target="http://www/edrs/pr/DisplayPR.asp?idEDR=1237923" TargetMode="External"/><Relationship Id="rId201" Type="http://schemas.openxmlformats.org/officeDocument/2006/relationships/hyperlink" Target="http://www.utility.pge.com/edrs/pr/DisplayPR.asp?idEDR=1232359" TargetMode="External"/><Relationship Id="rId222" Type="http://schemas.openxmlformats.org/officeDocument/2006/relationships/hyperlink" Target="http://www/edrs/pr/DisplayPR.asp?idEDR=1194274" TargetMode="External"/><Relationship Id="rId243" Type="http://schemas.openxmlformats.org/officeDocument/2006/relationships/hyperlink" Target="http://www/edrs/pr/DisplayPR.asp?idEDR=1221762" TargetMode="External"/><Relationship Id="rId264" Type="http://schemas.openxmlformats.org/officeDocument/2006/relationships/hyperlink" Target="http://www.utility.pge.com/edrs/default.asp?id=1230151" TargetMode="External"/><Relationship Id="rId285" Type="http://schemas.openxmlformats.org/officeDocument/2006/relationships/hyperlink" Target="http://www.utility.pge.com/edrs/pr/DisplayPR.asp?idEDR=1230547" TargetMode="External"/><Relationship Id="rId450" Type="http://schemas.openxmlformats.org/officeDocument/2006/relationships/hyperlink" Target="http://www/edrs/pr/DisplayPR.asp?idEDR=1235285" TargetMode="External"/><Relationship Id="rId471" Type="http://schemas.openxmlformats.org/officeDocument/2006/relationships/hyperlink" Target="http://www/edrs/pr/DisplayPR.asp?idEDR=1234655" TargetMode="External"/><Relationship Id="rId506" Type="http://schemas.openxmlformats.org/officeDocument/2006/relationships/hyperlink" Target="http://www/edrs/pr/DisplayPR.asp?idEDR=1218700" TargetMode="External"/><Relationship Id="rId17" Type="http://schemas.openxmlformats.org/officeDocument/2006/relationships/hyperlink" Target="http://www/edrs/pr/DisplayPR.asp?idEDR=1110824" TargetMode="External"/><Relationship Id="rId38" Type="http://schemas.openxmlformats.org/officeDocument/2006/relationships/hyperlink" Target="http://www/edrs/pr/DisplayPR.asp?idEDR=1176943" TargetMode="External"/><Relationship Id="rId59" Type="http://schemas.openxmlformats.org/officeDocument/2006/relationships/hyperlink" Target="http://www/edrs/pr/DisplayPR.asp?idEDR=1111470" TargetMode="External"/><Relationship Id="rId103" Type="http://schemas.openxmlformats.org/officeDocument/2006/relationships/hyperlink" Target="http://www/edrs/pr/DisplayPR.asp?idEDR=1201754" TargetMode="External"/><Relationship Id="rId124" Type="http://schemas.openxmlformats.org/officeDocument/2006/relationships/hyperlink" Target="http://www/edrs/pr/DisplayPR.asp?idEDR=1219400" TargetMode="External"/><Relationship Id="rId310" Type="http://schemas.openxmlformats.org/officeDocument/2006/relationships/hyperlink" Target="http://www.utility.pge.com/edrs/pr/DisplayPR.asp?idEDR=1233137" TargetMode="External"/><Relationship Id="rId492" Type="http://schemas.openxmlformats.org/officeDocument/2006/relationships/hyperlink" Target="http://www/edrs/pr/DisplayPR.asp?idEDR=1228414" TargetMode="External"/><Relationship Id="rId527" Type="http://schemas.openxmlformats.org/officeDocument/2006/relationships/hyperlink" Target="http://www.utility.pge.com/edrs/pr/DisplayPR.asp?idEDR=1241067" TargetMode="External"/><Relationship Id="rId548" Type="http://schemas.openxmlformats.org/officeDocument/2006/relationships/hyperlink" Target="http://www/edrs/pr/DisplayPR.asp?idEDR=1234919" TargetMode="External"/><Relationship Id="rId569" Type="http://schemas.openxmlformats.org/officeDocument/2006/relationships/hyperlink" Target="http://www/edrs/pr/DisplayPR.asp?idEDR=1199302" TargetMode="External"/><Relationship Id="rId70" Type="http://schemas.openxmlformats.org/officeDocument/2006/relationships/hyperlink" Target="http://www/edrs/pr/DisplayPRRef.asp?idEDR=1017777&amp;refDoc=2019-35887" TargetMode="External"/><Relationship Id="rId91" Type="http://schemas.openxmlformats.org/officeDocument/2006/relationships/hyperlink" Target="http://www/edrs/pr/DisplayPR.asp?idEDR=1094061" TargetMode="External"/><Relationship Id="rId145" Type="http://schemas.openxmlformats.org/officeDocument/2006/relationships/hyperlink" Target="http://www/edrs/pr/DisplayPR.asp?idEDR=1000610" TargetMode="External"/><Relationship Id="rId166" Type="http://schemas.openxmlformats.org/officeDocument/2006/relationships/hyperlink" Target="http://www.utility.pge.com/edrs/pr/DisplayPR.asp?idEDR=1228952" TargetMode="External"/><Relationship Id="rId187" Type="http://schemas.openxmlformats.org/officeDocument/2006/relationships/hyperlink" Target="http://www.utility.pge.com/edrs/pr/DisplayPR.asp?idEDR=1230683" TargetMode="External"/><Relationship Id="rId331" Type="http://schemas.openxmlformats.org/officeDocument/2006/relationships/hyperlink" Target="http://www.utility.pge.com/edrs/pr/DisplayPR.asp?idEDR=1232793" TargetMode="External"/><Relationship Id="rId352" Type="http://schemas.openxmlformats.org/officeDocument/2006/relationships/hyperlink" Target="http://www.utility.pge.com/edrs/pr/DisplayPR.asp?idEDR=1233380" TargetMode="External"/><Relationship Id="rId373" Type="http://schemas.openxmlformats.org/officeDocument/2006/relationships/hyperlink" Target="http://www.utility.pge.com/edrs/pr/DisplayPR.asp?idEDR=1233431" TargetMode="External"/><Relationship Id="rId394" Type="http://schemas.openxmlformats.org/officeDocument/2006/relationships/hyperlink" Target="http://www.utility.pge.com/edrs/pr/DisplayPR.asp?idEDR=1233433" TargetMode="External"/><Relationship Id="rId408" Type="http://schemas.openxmlformats.org/officeDocument/2006/relationships/hyperlink" Target="http://www/edrs/pr/DisplayPR.asp?idEDR=1193821" TargetMode="External"/><Relationship Id="rId429" Type="http://schemas.openxmlformats.org/officeDocument/2006/relationships/hyperlink" Target="http://www/edrs/pr/DisplayPR.asp?idEDR=1231734" TargetMode="External"/><Relationship Id="rId580" Type="http://schemas.openxmlformats.org/officeDocument/2006/relationships/hyperlink" Target="http://www/edrs/pr/DisplayPR.asp?idEDR=1194327" TargetMode="External"/><Relationship Id="rId1" Type="http://schemas.openxmlformats.org/officeDocument/2006/relationships/hyperlink" Target="http://www/edrs/pr/DisplayPR.asp?idEDR=1131352" TargetMode="External"/><Relationship Id="rId212" Type="http://schemas.openxmlformats.org/officeDocument/2006/relationships/hyperlink" Target="http://www/edrs/pr/DisplayPR.asp?idEDR=1192419" TargetMode="External"/><Relationship Id="rId233" Type="http://schemas.openxmlformats.org/officeDocument/2006/relationships/hyperlink" Target="http://www/edrs/pr/DisplayPR.asp?idEDR=1210217" TargetMode="External"/><Relationship Id="rId254" Type="http://schemas.openxmlformats.org/officeDocument/2006/relationships/hyperlink" Target="http://www/edrs/pr/DisplayPR.asp?idEDR=1047618" TargetMode="External"/><Relationship Id="rId440" Type="http://schemas.openxmlformats.org/officeDocument/2006/relationships/hyperlink" Target="http://www/edrs/pr/DisplayPR.asp?idEDR=1238315" TargetMode="External"/><Relationship Id="rId28" Type="http://schemas.openxmlformats.org/officeDocument/2006/relationships/hyperlink" Target="http://www/edrs/pr/DisplayPR.asp?idEDR=1144534" TargetMode="External"/><Relationship Id="rId49" Type="http://schemas.openxmlformats.org/officeDocument/2006/relationships/hyperlink" Target="http://www/edrs/pr/DisplayPRRef.asp?idEDR=1033800&amp;refDoc=2019-35897" TargetMode="External"/><Relationship Id="rId114" Type="http://schemas.openxmlformats.org/officeDocument/2006/relationships/hyperlink" Target="http://www/edrs/pr/DisplayPR.asp?idEDR=1140554" TargetMode="External"/><Relationship Id="rId275" Type="http://schemas.openxmlformats.org/officeDocument/2006/relationships/hyperlink" Target="http://www/edrs/pr/DisplayPR.asp?idEDR=1228419" TargetMode="External"/><Relationship Id="rId296" Type="http://schemas.openxmlformats.org/officeDocument/2006/relationships/hyperlink" Target="http://www/edrs/pr/DisplayPR.asp?idEDR=1028045" TargetMode="External"/><Relationship Id="rId300" Type="http://schemas.openxmlformats.org/officeDocument/2006/relationships/hyperlink" Target="http://www/edrs/pr/DisplayPR.asp?idEDR=1028045" TargetMode="External"/><Relationship Id="rId461" Type="http://schemas.openxmlformats.org/officeDocument/2006/relationships/hyperlink" Target="http://www.utility.pge.com/edrs/pr/DisplayPR.asp?idEDR=1233139" TargetMode="External"/><Relationship Id="rId482" Type="http://schemas.openxmlformats.org/officeDocument/2006/relationships/hyperlink" Target="http://www.utility.pge.com/edrs/pr/DisplayPR.asp?idEDR=1233639" TargetMode="External"/><Relationship Id="rId517" Type="http://schemas.openxmlformats.org/officeDocument/2006/relationships/hyperlink" Target="http://www/edrs/pr/DisplayPR.asp?idEDR=1217956" TargetMode="External"/><Relationship Id="rId538" Type="http://schemas.openxmlformats.org/officeDocument/2006/relationships/hyperlink" Target="http://www.utility.pge.com/edrs/pr/DisplayPR.asp?idEDR=1234072" TargetMode="External"/><Relationship Id="rId559" Type="http://schemas.openxmlformats.org/officeDocument/2006/relationships/hyperlink" Target="http://www/edrs/pr/DisplayPRRef.asp?idEDR=1013028&amp;refDoc=2019-35972" TargetMode="External"/><Relationship Id="rId60" Type="http://schemas.openxmlformats.org/officeDocument/2006/relationships/hyperlink" Target="http://www.utility.pge.com/edrs/pr/DisplayPR.asp?idEDR=1184883" TargetMode="External"/><Relationship Id="rId81" Type="http://schemas.openxmlformats.org/officeDocument/2006/relationships/hyperlink" Target="http://www/edrs/pr/DisplayPR.asp?idEDR=1158910" TargetMode="External"/><Relationship Id="rId135" Type="http://schemas.openxmlformats.org/officeDocument/2006/relationships/hyperlink" Target="http://www/edrs/pr/DisplayPR.asp?idEDR=1222249" TargetMode="External"/><Relationship Id="rId156" Type="http://schemas.openxmlformats.org/officeDocument/2006/relationships/hyperlink" Target="http://www/edrs/pr/DisplayPR.asp?idEDR=1228419" TargetMode="External"/><Relationship Id="rId177" Type="http://schemas.openxmlformats.org/officeDocument/2006/relationships/hyperlink" Target="http://www.utility.pge.com/edrs/pr/DisplayPR.asp?idEDR=1230532" TargetMode="External"/><Relationship Id="rId198" Type="http://schemas.openxmlformats.org/officeDocument/2006/relationships/hyperlink" Target="http://www.utility.pge.com/edrs/pr/DisplayPR.asp?idEDR=1231715" TargetMode="External"/><Relationship Id="rId321" Type="http://schemas.openxmlformats.org/officeDocument/2006/relationships/hyperlink" Target="http://www.utility.pge.com/edrs/pr/DisplayPR.asp?idEDR=1232790" TargetMode="External"/><Relationship Id="rId342" Type="http://schemas.openxmlformats.org/officeDocument/2006/relationships/hyperlink" Target="http://www.utility.pge.com/edrs/pr/DisplayPR.asp?idEDR=1233225" TargetMode="External"/><Relationship Id="rId363" Type="http://schemas.openxmlformats.org/officeDocument/2006/relationships/hyperlink" Target="http://www/edrs/pr/DisplayPR.asp?idEDR=1194327" TargetMode="External"/><Relationship Id="rId384" Type="http://schemas.openxmlformats.org/officeDocument/2006/relationships/hyperlink" Target="http://www.utility.pge.com/edrs/pr/DisplayPR.asp?idEDR=1233432" TargetMode="External"/><Relationship Id="rId419" Type="http://schemas.openxmlformats.org/officeDocument/2006/relationships/hyperlink" Target="http://www/edrs/pr/DisplayPR.asp?idEDR=1230539" TargetMode="External"/><Relationship Id="rId570" Type="http://schemas.openxmlformats.org/officeDocument/2006/relationships/hyperlink" Target="http://www/edrs/pr/DisplayPR.asp?idEDR=968786" TargetMode="External"/><Relationship Id="rId202" Type="http://schemas.openxmlformats.org/officeDocument/2006/relationships/hyperlink" Target="http://www.utility.pge.com/edrs/pr/DisplayPR.asp?idEDR=1232360" TargetMode="External"/><Relationship Id="rId223" Type="http://schemas.openxmlformats.org/officeDocument/2006/relationships/hyperlink" Target="http://www/edrs/pr/DisplayPR.asp?idEDR=1194274" TargetMode="External"/><Relationship Id="rId244" Type="http://schemas.openxmlformats.org/officeDocument/2006/relationships/hyperlink" Target="http://www/edrs/pr/DisplayPR.asp?idEDR=1221762" TargetMode="External"/><Relationship Id="rId430" Type="http://schemas.openxmlformats.org/officeDocument/2006/relationships/hyperlink" Target="http://www/edrs/pr/DisplayPR.asp?idEDR=1229284" TargetMode="External"/><Relationship Id="rId18" Type="http://schemas.openxmlformats.org/officeDocument/2006/relationships/hyperlink" Target="http://www/edrs/pr/DisplayPR.asp?idEDR=1187441" TargetMode="External"/><Relationship Id="rId39" Type="http://schemas.openxmlformats.org/officeDocument/2006/relationships/hyperlink" Target="http://www/edrs/pr/DisplayPRRef.asp?idEDR=1008116&amp;refDoc=2019-35977" TargetMode="External"/><Relationship Id="rId265" Type="http://schemas.openxmlformats.org/officeDocument/2006/relationships/hyperlink" Target="http://www.utility.pge.com/edrs/default.asp?id=1230151" TargetMode="External"/><Relationship Id="rId286" Type="http://schemas.openxmlformats.org/officeDocument/2006/relationships/hyperlink" Target="http://www/edrs/pr/DisplayPR.asp?idEDR=1230655" TargetMode="External"/><Relationship Id="rId451" Type="http://schemas.openxmlformats.org/officeDocument/2006/relationships/hyperlink" Target="http://www/edrs/pr/DisplayPR.asp?idEDR=1235285" TargetMode="External"/><Relationship Id="rId472" Type="http://schemas.openxmlformats.org/officeDocument/2006/relationships/hyperlink" Target="http://www/edrs/pr/DisplayPR.asp?idEDR=1234655" TargetMode="External"/><Relationship Id="rId493" Type="http://schemas.openxmlformats.org/officeDocument/2006/relationships/hyperlink" Target="http://www/edrs/pr/DisplayPR.asp?idEDR=1228414" TargetMode="External"/><Relationship Id="rId507" Type="http://schemas.openxmlformats.org/officeDocument/2006/relationships/hyperlink" Target="http://www/edrs/pr/DisplayPR.asp?idEDR=1217956" TargetMode="External"/><Relationship Id="rId528" Type="http://schemas.openxmlformats.org/officeDocument/2006/relationships/hyperlink" Target="http://www.utility.pge.com/edrs/pr/DisplayPR.asp?idEDR=1241060" TargetMode="External"/><Relationship Id="rId549" Type="http://schemas.openxmlformats.org/officeDocument/2006/relationships/hyperlink" Target="http://www/edrs/pr/DisplayPR.asp?idEDR=1234919" TargetMode="External"/><Relationship Id="rId50" Type="http://schemas.openxmlformats.org/officeDocument/2006/relationships/hyperlink" Target="http://www/edrs/pr/DisplayPR.asp?idEDR=1094069" TargetMode="External"/><Relationship Id="rId104" Type="http://schemas.openxmlformats.org/officeDocument/2006/relationships/hyperlink" Target="http://www/edrs/pr/DisplayPR.asp?idEDR=990049" TargetMode="External"/><Relationship Id="rId125" Type="http://schemas.openxmlformats.org/officeDocument/2006/relationships/hyperlink" Target="http://www/edrs/pr/DisplayPR.asp?idEDR=1218787" TargetMode="External"/><Relationship Id="rId146" Type="http://schemas.openxmlformats.org/officeDocument/2006/relationships/hyperlink" Target="http://www/edrs/pr/DisplayPR.asp?idEDR=1187466" TargetMode="External"/><Relationship Id="rId167" Type="http://schemas.openxmlformats.org/officeDocument/2006/relationships/hyperlink" Target="http://www/edrs/pr/DisplayPR.asp?idEDR=1229743" TargetMode="External"/><Relationship Id="rId188" Type="http://schemas.openxmlformats.org/officeDocument/2006/relationships/hyperlink" Target="http://www.utility.pge.com/edrs/pr/DisplayPR.asp?idEDR=1230676" TargetMode="External"/><Relationship Id="rId311" Type="http://schemas.openxmlformats.org/officeDocument/2006/relationships/hyperlink" Target="http://www.utility.pge.com/edrs/pr/DisplayPR.asp?idEDR=1233137" TargetMode="External"/><Relationship Id="rId332" Type="http://schemas.openxmlformats.org/officeDocument/2006/relationships/hyperlink" Target="http://www.utility.pge.com/edrs/pr/DisplayPR.asp?idEDR=1232793" TargetMode="External"/><Relationship Id="rId353" Type="http://schemas.openxmlformats.org/officeDocument/2006/relationships/hyperlink" Target="http://www/edrs/pr/DisplayPR.asp?idEDR=1201754" TargetMode="External"/><Relationship Id="rId374" Type="http://schemas.openxmlformats.org/officeDocument/2006/relationships/hyperlink" Target="http://www.utility.pge.com/edrs/pr/DisplayPR.asp?idEDR=1233431" TargetMode="External"/><Relationship Id="rId395" Type="http://schemas.openxmlformats.org/officeDocument/2006/relationships/hyperlink" Target="http://www.utility.pge.com/edrs/pr/DisplayPR.asp?idEDR=1233640" TargetMode="External"/><Relationship Id="rId409" Type="http://schemas.openxmlformats.org/officeDocument/2006/relationships/hyperlink" Target="http://www/edrs/pr/DisplayPR.asp?idEDR=1193821" TargetMode="External"/><Relationship Id="rId560" Type="http://schemas.openxmlformats.org/officeDocument/2006/relationships/hyperlink" Target="http://www/edrs/pr/DisplayPR.asp?idEDR=1130485" TargetMode="External"/><Relationship Id="rId581" Type="http://schemas.openxmlformats.org/officeDocument/2006/relationships/hyperlink" Target="http://www/edrs/pr/DisplayPR.asp?idEDR=1194327" TargetMode="External"/><Relationship Id="rId71" Type="http://schemas.openxmlformats.org/officeDocument/2006/relationships/hyperlink" Target="http://www/edrs/pr/DisplayPR.asp?idEDR=1094059" TargetMode="External"/><Relationship Id="rId92" Type="http://schemas.openxmlformats.org/officeDocument/2006/relationships/hyperlink" Target="http://www/edrs/pr/DisplayPR.asp?idEDR=1115908" TargetMode="External"/><Relationship Id="rId213" Type="http://schemas.openxmlformats.org/officeDocument/2006/relationships/hyperlink" Target="http://www/edrs/pr/DisplayPR.asp?idEDR=1194274" TargetMode="External"/><Relationship Id="rId234" Type="http://schemas.openxmlformats.org/officeDocument/2006/relationships/hyperlink" Target="http://www/edrs/pr/DisplayPR.asp?idEDR=1201761" TargetMode="External"/><Relationship Id="rId420" Type="http://schemas.openxmlformats.org/officeDocument/2006/relationships/hyperlink" Target="http://www/edrs/pr/DisplayPR.asp?idEDR=1230539"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71334" TargetMode="External"/><Relationship Id="rId255" Type="http://schemas.openxmlformats.org/officeDocument/2006/relationships/hyperlink" Target="http://www/edrs/pr/DisplayPR.asp?idEDR=1047618" TargetMode="External"/><Relationship Id="rId276" Type="http://schemas.openxmlformats.org/officeDocument/2006/relationships/hyperlink" Target="http://www/edrs/pr/DisplayPR.asp?idEDR=1228419" TargetMode="External"/><Relationship Id="rId297" Type="http://schemas.openxmlformats.org/officeDocument/2006/relationships/hyperlink" Target="http://www/edrs/pr/DisplayPR.asp?idEDR=1031304" TargetMode="External"/><Relationship Id="rId441" Type="http://schemas.openxmlformats.org/officeDocument/2006/relationships/hyperlink" Target="http://www/edrs/pr/DisplayPR.asp?idEDR=1237723" TargetMode="External"/><Relationship Id="rId462" Type="http://schemas.openxmlformats.org/officeDocument/2006/relationships/hyperlink" Target="http://www/edrs/pr/DisplayPR.asp?idEDR=1229743" TargetMode="External"/><Relationship Id="rId483" Type="http://schemas.openxmlformats.org/officeDocument/2006/relationships/hyperlink" Target="http://www.utility.pge.com/edrs/pr/DisplayPR.asp?idEDR=1233639" TargetMode="External"/><Relationship Id="rId518" Type="http://schemas.openxmlformats.org/officeDocument/2006/relationships/hyperlink" Target="http://www/edrs/pr/DisplayPR.asp?idEDR=1240317" TargetMode="External"/><Relationship Id="rId539" Type="http://schemas.openxmlformats.org/officeDocument/2006/relationships/hyperlink" Target="http://www.utility.pge.com/edrs/pr/DisplayPR.asp?idEDR=1234072" TargetMode="External"/><Relationship Id="rId40" Type="http://schemas.openxmlformats.org/officeDocument/2006/relationships/hyperlink" Target="http://www/edrs/pr/DisplayPR.asp?idEDR=1180011" TargetMode="External"/><Relationship Id="rId115" Type="http://schemas.openxmlformats.org/officeDocument/2006/relationships/hyperlink" Target="http://www/edrs/pr/DisplayPR.asp?idEDR=1191285" TargetMode="External"/><Relationship Id="rId136" Type="http://schemas.openxmlformats.org/officeDocument/2006/relationships/hyperlink" Target="http://www/edrs/pr/DisplayPR.asp?idEDR=1223382" TargetMode="External"/><Relationship Id="rId157" Type="http://schemas.openxmlformats.org/officeDocument/2006/relationships/hyperlink" Target="http://www/edrs/pr/DisplayPR.asp?idEDR=1228423" TargetMode="External"/><Relationship Id="rId178" Type="http://schemas.openxmlformats.org/officeDocument/2006/relationships/hyperlink" Target="http://www.utility.pge.com/edrs/pr/DisplayPR.asp?idEDR=1230534" TargetMode="External"/><Relationship Id="rId301" Type="http://schemas.openxmlformats.org/officeDocument/2006/relationships/hyperlink" Target="http://www.utility.pge.com/edrs/pr/DisplayPR.asp?idEDR=1232554" TargetMode="External"/><Relationship Id="rId322" Type="http://schemas.openxmlformats.org/officeDocument/2006/relationships/hyperlink" Target="http://www/edrs/pr/DisplayPR.asp?idEDR=1222184" TargetMode="External"/><Relationship Id="rId343" Type="http://schemas.openxmlformats.org/officeDocument/2006/relationships/hyperlink" Target="http://www.utility.pge.com/edrs/pr/DisplayPR.asp?idEDR=1233225" TargetMode="External"/><Relationship Id="rId364" Type="http://schemas.openxmlformats.org/officeDocument/2006/relationships/hyperlink" Target="http://www/edrs/pr/DisplayPR.asp?idEDR=1194327" TargetMode="External"/><Relationship Id="rId550" Type="http://schemas.openxmlformats.org/officeDocument/2006/relationships/hyperlink" Target="http://www/edrs/pr/DisplayPR.asp?idEDR=1234919" TargetMode="External"/><Relationship Id="rId61" Type="http://schemas.openxmlformats.org/officeDocument/2006/relationships/hyperlink" Target="http://www/edrs/pr/DisplayPRRef.asp?idEDR=1041711&amp;refDoc=2019-35903" TargetMode="External"/><Relationship Id="rId82" Type="http://schemas.openxmlformats.org/officeDocument/2006/relationships/hyperlink" Target="http://www/edrs/pr/DisplayPR.asp?idEDR=1030037" TargetMode="External"/><Relationship Id="rId199" Type="http://schemas.openxmlformats.org/officeDocument/2006/relationships/hyperlink" Target="http://www.utility.pge.com/edrs/pr/DisplayPR.asp?idEDR=1231716" TargetMode="External"/><Relationship Id="rId203" Type="http://schemas.openxmlformats.org/officeDocument/2006/relationships/hyperlink" Target="http://www/edrs/pr/DisplayPR.asp?idEDR=1218925" TargetMode="External"/><Relationship Id="rId385" Type="http://schemas.openxmlformats.org/officeDocument/2006/relationships/hyperlink" Target="http://www.utility.pge.com/edrs/pr/DisplayPR.asp?idEDR=1233432" TargetMode="External"/><Relationship Id="rId571" Type="http://schemas.openxmlformats.org/officeDocument/2006/relationships/hyperlink" Target="http://www/edrs/pr/DisplayPR.asp?idEDR=1089823" TargetMode="External"/><Relationship Id="rId19" Type="http://schemas.openxmlformats.org/officeDocument/2006/relationships/hyperlink" Target="http://www/edrs/pr/DisplayPR.asp?idEDR=1021522" TargetMode="External"/><Relationship Id="rId224" Type="http://schemas.openxmlformats.org/officeDocument/2006/relationships/hyperlink" Target="http://www/edrs/pr/DisplayPR.asp?idEDR=1194274" TargetMode="External"/><Relationship Id="rId245" Type="http://schemas.openxmlformats.org/officeDocument/2006/relationships/hyperlink" Target="http://www/edrs/pr/DisplayPR.asp?idEDR=1221762" TargetMode="External"/><Relationship Id="rId266" Type="http://schemas.openxmlformats.org/officeDocument/2006/relationships/hyperlink" Target="http://www.utility.pge.com/edrs/default.asp?id=1230151" TargetMode="External"/><Relationship Id="rId287" Type="http://schemas.openxmlformats.org/officeDocument/2006/relationships/hyperlink" Target="http://www/edrs/pr/DisplayPR.asp?idEDR=1230655" TargetMode="External"/><Relationship Id="rId410" Type="http://schemas.openxmlformats.org/officeDocument/2006/relationships/hyperlink" Target="http://www/edrs/pr/DisplayPR.asp?idEDR=1193821" TargetMode="External"/><Relationship Id="rId431" Type="http://schemas.openxmlformats.org/officeDocument/2006/relationships/hyperlink" Target="http://www/edrs/pr/DisplayPR.asp?idEDR=1229284" TargetMode="External"/><Relationship Id="rId452" Type="http://schemas.openxmlformats.org/officeDocument/2006/relationships/hyperlink" Target="http://www/edrs/pr/DisplayPR.asp?idEDR=1235285" TargetMode="External"/><Relationship Id="rId473" Type="http://schemas.openxmlformats.org/officeDocument/2006/relationships/hyperlink" Target="http://www/edrs/pr/DisplayPR.asp?idEDR=1234655" TargetMode="External"/><Relationship Id="rId494" Type="http://schemas.openxmlformats.org/officeDocument/2006/relationships/hyperlink" Target="http://www/edrs/pr/DisplayPR.asp?idEDR=1218212" TargetMode="External"/><Relationship Id="rId508" Type="http://schemas.openxmlformats.org/officeDocument/2006/relationships/hyperlink" Target="http://www/edrs/pr/DisplayPR.asp?idEDR=1217956" TargetMode="External"/><Relationship Id="rId529" Type="http://schemas.openxmlformats.org/officeDocument/2006/relationships/hyperlink" Target="http://www.utility.pge.com/edrs/pr/DisplayPR.asp?idEDR=1241060" TargetMode="External"/><Relationship Id="rId30" Type="http://schemas.openxmlformats.org/officeDocument/2006/relationships/hyperlink" Target="http://www/edrs/pr/DisplayPR.asp?idEDR=1134517" TargetMode="External"/><Relationship Id="rId105" Type="http://schemas.openxmlformats.org/officeDocument/2006/relationships/hyperlink" Target="http://www.utility.pge.com/edrs/pr/DisplayPR.asp?idEDR=1011934" TargetMode="External"/><Relationship Id="rId126" Type="http://schemas.openxmlformats.org/officeDocument/2006/relationships/hyperlink" Target="http://www/edrs/pr/DisplayPR.asp?idEDR=1217420" TargetMode="External"/><Relationship Id="rId147" Type="http://schemas.openxmlformats.org/officeDocument/2006/relationships/hyperlink" Target="http://www/edrs/pr/DisplayPR.asp?idEDR=1195550" TargetMode="External"/><Relationship Id="rId168" Type="http://schemas.openxmlformats.org/officeDocument/2006/relationships/hyperlink" Target="http://www/edrs/pr/DisplayPR.asp?idEDR=1229833" TargetMode="External"/><Relationship Id="rId312" Type="http://schemas.openxmlformats.org/officeDocument/2006/relationships/hyperlink" Target="http://www.utility.pge.com/edrs/pr/DisplayPR.asp?idEDR=1233137" TargetMode="External"/><Relationship Id="rId333" Type="http://schemas.openxmlformats.org/officeDocument/2006/relationships/hyperlink" Target="http://www/edrs/pr/DisplayPR.asp?idEDR=1218748" TargetMode="External"/><Relationship Id="rId354" Type="http://schemas.openxmlformats.org/officeDocument/2006/relationships/hyperlink" Target="http://www/edrs/pr/DisplayPR.asp?idEDR=1201754" TargetMode="External"/><Relationship Id="rId540" Type="http://schemas.openxmlformats.org/officeDocument/2006/relationships/hyperlink" Target="http://www.utility.pge.com/edrs/pr/DisplayPR.asp?idEDR=1234072" TargetMode="External"/><Relationship Id="rId51" Type="http://schemas.openxmlformats.org/officeDocument/2006/relationships/hyperlink" Target="http://www/edrs/pr/DisplayPR.asp?idEDR=1181065" TargetMode="External"/><Relationship Id="rId72" Type="http://schemas.openxmlformats.org/officeDocument/2006/relationships/hyperlink" Target="http://www/edrs/pr/DisplayPR.asp?idEDR=1118390" TargetMode="External"/><Relationship Id="rId93" Type="http://schemas.openxmlformats.org/officeDocument/2006/relationships/hyperlink" Target="http://www/edrs/pr/DisplayPR.asp?idEDR=1168271" TargetMode="External"/><Relationship Id="rId189" Type="http://schemas.openxmlformats.org/officeDocument/2006/relationships/hyperlink" Target="http://www.utility.pge.com/edrs/pr/DisplayPR.asp?idEDR=1230680" TargetMode="External"/><Relationship Id="rId375" Type="http://schemas.openxmlformats.org/officeDocument/2006/relationships/hyperlink" Target="http://www.utility.pge.com/edrs/pr/DisplayPR.asp?idEDR=1233432" TargetMode="External"/><Relationship Id="rId396" Type="http://schemas.openxmlformats.org/officeDocument/2006/relationships/hyperlink" Target="http://www.utility.pge.com/edrs/pr/DisplayPR.asp?idEDR=1233640" TargetMode="External"/><Relationship Id="rId561" Type="http://schemas.openxmlformats.org/officeDocument/2006/relationships/hyperlink" Target="http://www/edrs/pr/DisplayPR.asp?idEDR=1187910" TargetMode="External"/><Relationship Id="rId582" Type="http://schemas.openxmlformats.org/officeDocument/2006/relationships/hyperlink" Target="http://www/edrs/pr/DisplayPR.asp?idEDR=1194327" TargetMode="External"/><Relationship Id="rId3" Type="http://schemas.openxmlformats.org/officeDocument/2006/relationships/hyperlink" Target="http://www/edrs/pr/DisplayPR.asp?idEDR=1047622" TargetMode="External"/><Relationship Id="rId214" Type="http://schemas.openxmlformats.org/officeDocument/2006/relationships/hyperlink" Target="http://www/edrs/pr/DisplayPR.asp?idEDR=1194274" TargetMode="External"/><Relationship Id="rId235" Type="http://schemas.openxmlformats.org/officeDocument/2006/relationships/hyperlink" Target="http://www/edrs/pr/DisplayPR.asp?idEDR=1201761" TargetMode="External"/><Relationship Id="rId256" Type="http://schemas.openxmlformats.org/officeDocument/2006/relationships/hyperlink" Target="http://www/edrs/pr/DisplayPR.asp?idEDR=1047622" TargetMode="External"/><Relationship Id="rId277" Type="http://schemas.openxmlformats.org/officeDocument/2006/relationships/hyperlink" Target="http://www/edrs/pr/DisplayPR.asp?idEDR=1228419" TargetMode="External"/><Relationship Id="rId298" Type="http://schemas.openxmlformats.org/officeDocument/2006/relationships/hyperlink" Target="http://www/edrs/pr/DisplayPR.asp?idEDR=1028045" TargetMode="External"/><Relationship Id="rId400" Type="http://schemas.openxmlformats.org/officeDocument/2006/relationships/hyperlink" Target="http://www.utility.pge.com/edrs/pr/DisplayPR.asp?idEDR=1233725" TargetMode="External"/><Relationship Id="rId421" Type="http://schemas.openxmlformats.org/officeDocument/2006/relationships/hyperlink" Target="http://www/edrs/pr/DisplayPR.asp?idEDR=1230539" TargetMode="External"/><Relationship Id="rId442" Type="http://schemas.openxmlformats.org/officeDocument/2006/relationships/hyperlink" Target="http://www/edrs/pr/DisplayPR.asp?idEDR=1237437" TargetMode="External"/><Relationship Id="rId463" Type="http://schemas.openxmlformats.org/officeDocument/2006/relationships/hyperlink" Target="http://www/edrs/pr/DisplayPR.asp?idEDR=1237337" TargetMode="External"/><Relationship Id="rId484" Type="http://schemas.openxmlformats.org/officeDocument/2006/relationships/hyperlink" Target="http://www.utility.pge.com/edrs/pr/DisplayPR.asp?idEDR=1233639" TargetMode="External"/><Relationship Id="rId519" Type="http://schemas.openxmlformats.org/officeDocument/2006/relationships/hyperlink" Target="http://www/edrs/pr/DisplayPR.asp?idEDR=1235843" TargetMode="External"/><Relationship Id="rId116" Type="http://schemas.openxmlformats.org/officeDocument/2006/relationships/hyperlink" Target="http://www/edrs/pr/DisplayPR.asp?idEDR=1169286" TargetMode="External"/><Relationship Id="rId137" Type="http://schemas.openxmlformats.org/officeDocument/2006/relationships/hyperlink" Target="http://www/edrs/pr/DisplayPR.asp?idEDR=1222184" TargetMode="External"/><Relationship Id="rId158" Type="http://schemas.openxmlformats.org/officeDocument/2006/relationships/hyperlink" Target="http://www/edrs/pr/DisplayPR.asp?idEDR=1228425" TargetMode="External"/><Relationship Id="rId302" Type="http://schemas.openxmlformats.org/officeDocument/2006/relationships/hyperlink" Target="http://www.utility.pge.com/edrs/pr/DisplayPR.asp?idEDR=1232554" TargetMode="External"/><Relationship Id="rId323" Type="http://schemas.openxmlformats.org/officeDocument/2006/relationships/hyperlink" Target="http://www/edrs/pr/DisplayPR.asp?idEDR=1222184" TargetMode="External"/><Relationship Id="rId344" Type="http://schemas.openxmlformats.org/officeDocument/2006/relationships/hyperlink" Target="http://www.utility.pge.com/edrs/pr/DisplayPR.asp?idEDR=1233229" TargetMode="External"/><Relationship Id="rId530" Type="http://schemas.openxmlformats.org/officeDocument/2006/relationships/hyperlink" Target="http://www.utility.pge.com/edrs/pr/DisplayPR.asp?idEDR=1241060" TargetMode="External"/><Relationship Id="rId20" Type="http://schemas.openxmlformats.org/officeDocument/2006/relationships/hyperlink" Target="http://www/edrs/pr/DisplayPR.asp?idEDR=1094074" TargetMode="External"/><Relationship Id="rId41" Type="http://schemas.openxmlformats.org/officeDocument/2006/relationships/hyperlink" Target="http://www/edrs/pr/DisplayPR.asp?idEDR=1161218" TargetMode="External"/><Relationship Id="rId62" Type="http://schemas.openxmlformats.org/officeDocument/2006/relationships/hyperlink" Target="http://www/edrs/pr/DisplayPR.asp?idEDR=1094075" TargetMode="External"/><Relationship Id="rId83" Type="http://schemas.openxmlformats.org/officeDocument/2006/relationships/hyperlink" Target="http://www/edrs/pr/DisplayPR.asp?idEDR=1094065" TargetMode="External"/><Relationship Id="rId179" Type="http://schemas.openxmlformats.org/officeDocument/2006/relationships/hyperlink" Target="http://www.utility.pge.com/edrs/pr/DisplayPR.asp?idEDR=1230547" TargetMode="External"/><Relationship Id="rId365" Type="http://schemas.openxmlformats.org/officeDocument/2006/relationships/hyperlink" Target="http://www/edrs/pr/DisplayPR.asp?idEDR=1194327" TargetMode="External"/><Relationship Id="rId386" Type="http://schemas.openxmlformats.org/officeDocument/2006/relationships/hyperlink" Target="http://www.utility.pge.com/edrs/pr/DisplayPR.asp?idEDR=1233432" TargetMode="External"/><Relationship Id="rId551" Type="http://schemas.openxmlformats.org/officeDocument/2006/relationships/hyperlink" Target="http://www/edrs/pr/DisplayPR.asp?idEDR=1234919" TargetMode="External"/><Relationship Id="rId572" Type="http://schemas.openxmlformats.org/officeDocument/2006/relationships/hyperlink" Target="http://www/edrs/pr/DisplayPR.asp?idEDR=1077447" TargetMode="External"/><Relationship Id="rId190" Type="http://schemas.openxmlformats.org/officeDocument/2006/relationships/hyperlink" Target="http://www/edrs/pr/DisplayPR.asp?idEDR=1217520" TargetMode="External"/><Relationship Id="rId204" Type="http://schemas.openxmlformats.org/officeDocument/2006/relationships/hyperlink" Target="http://www/edrs/pr/DisplayPR.asp?idEDR=1219400" TargetMode="External"/><Relationship Id="rId225" Type="http://schemas.openxmlformats.org/officeDocument/2006/relationships/hyperlink" Target="http://www/edrs/pr/DisplayPR.asp?idEDR=1194274" TargetMode="External"/><Relationship Id="rId246" Type="http://schemas.openxmlformats.org/officeDocument/2006/relationships/hyperlink" Target="http://www/edrs/pr/DisplayPR.asp?idEDR=1221762" TargetMode="External"/><Relationship Id="rId267" Type="http://schemas.openxmlformats.org/officeDocument/2006/relationships/hyperlink" Target="http://www/edrs/pr/DisplayPR.asp?idEDR=1230655" TargetMode="External"/><Relationship Id="rId288" Type="http://schemas.openxmlformats.org/officeDocument/2006/relationships/hyperlink" Target="http://www.utility.pge.com/edrs/pr/DisplayPR.asp?idEDR=1230524" TargetMode="External"/><Relationship Id="rId411" Type="http://schemas.openxmlformats.org/officeDocument/2006/relationships/hyperlink" Target="http://www/edrs/pr/DisplayPR.asp?idEDR=1193821" TargetMode="External"/><Relationship Id="rId432" Type="http://schemas.openxmlformats.org/officeDocument/2006/relationships/hyperlink" Target="http://www/edrs/pr/DisplayPR.asp?idEDR=1231732" TargetMode="External"/><Relationship Id="rId453" Type="http://schemas.openxmlformats.org/officeDocument/2006/relationships/hyperlink" Target="http://www/edrs/pr/DisplayPR.asp?idEDR=1235078" TargetMode="External"/><Relationship Id="rId474" Type="http://schemas.openxmlformats.org/officeDocument/2006/relationships/hyperlink" Target="http://www/edrs/pr/DisplayPR.asp?idEDR=1234655" TargetMode="External"/><Relationship Id="rId509" Type="http://schemas.openxmlformats.org/officeDocument/2006/relationships/hyperlink" Target="http://www/edrs/pr/DisplayPR.asp?idEDR=1217956" TargetMode="External"/><Relationship Id="rId106" Type="http://schemas.openxmlformats.org/officeDocument/2006/relationships/hyperlink" Target="http://www/edrs/pr/DisplayPR.asp?idEDR=1136951" TargetMode="External"/><Relationship Id="rId127" Type="http://schemas.openxmlformats.org/officeDocument/2006/relationships/hyperlink" Target="http://www/edrs/pr/DisplayPR.asp?idEDR=1217416" TargetMode="External"/><Relationship Id="rId313" Type="http://schemas.openxmlformats.org/officeDocument/2006/relationships/hyperlink" Target="http://www.utility.pge.com/edrs/pr/DisplayPR.asp?idEDR=1233137" TargetMode="External"/><Relationship Id="rId495" Type="http://schemas.openxmlformats.org/officeDocument/2006/relationships/hyperlink" Target="http://www/edrs/pr/DisplayPR.asp?idEDR=1218213" TargetMode="External"/><Relationship Id="rId10" Type="http://schemas.openxmlformats.org/officeDocument/2006/relationships/hyperlink" Target="http://www/edrs/pr/DisplayPR.asp?idEDR=1194328" TargetMode="External"/><Relationship Id="rId31" Type="http://schemas.openxmlformats.org/officeDocument/2006/relationships/hyperlink" Target="http://www/edrs/pr/DisplayPR.asp?idEDR=1147261" TargetMode="External"/><Relationship Id="rId52" Type="http://schemas.openxmlformats.org/officeDocument/2006/relationships/hyperlink" Target="http://www/edrs/pr/DisplayPR.asp?idEDR=1137663" TargetMode="External"/><Relationship Id="rId73" Type="http://schemas.openxmlformats.org/officeDocument/2006/relationships/hyperlink" Target="http://www/edrs/pr/DisplayPR.asp?idEDR=1166218" TargetMode="External"/><Relationship Id="rId94" Type="http://schemas.openxmlformats.org/officeDocument/2006/relationships/hyperlink" Target="http://www/edrs/pr/DisplayPR.asp?idEDR=1014080" TargetMode="External"/><Relationship Id="rId148" Type="http://schemas.openxmlformats.org/officeDocument/2006/relationships/hyperlink" Target="http://www/edrs/pr/DisplayPRRef.asp?idEDR=1017777&amp;refDoc=2019-35887" TargetMode="External"/><Relationship Id="rId169" Type="http://schemas.openxmlformats.org/officeDocument/2006/relationships/hyperlink" Target="http://www.utility.pge.com/edrs/pr/DisplayPR.asp?idEDR=1229861" TargetMode="External"/><Relationship Id="rId334" Type="http://schemas.openxmlformats.org/officeDocument/2006/relationships/hyperlink" Target="http://www.utility.pge.com/edrs/pr/DisplayPR.asp?idEDR=1232798" TargetMode="External"/><Relationship Id="rId355" Type="http://schemas.openxmlformats.org/officeDocument/2006/relationships/hyperlink" Target="http://www.utility.pge.com/edrs/pr/DisplayPR.asp?idEDR=1233428" TargetMode="External"/><Relationship Id="rId376" Type="http://schemas.openxmlformats.org/officeDocument/2006/relationships/hyperlink" Target="http://www.utility.pge.com/edrs/pr/DisplayPR.asp?idEDR=1233432" TargetMode="External"/><Relationship Id="rId397" Type="http://schemas.openxmlformats.org/officeDocument/2006/relationships/hyperlink" Target="http://www.utility.pge.com/edrs/pr/DisplayPR.asp?idEDR=1233640" TargetMode="External"/><Relationship Id="rId520" Type="http://schemas.openxmlformats.org/officeDocument/2006/relationships/hyperlink" Target="http://www.utility.pge.com/edrs/pr/DisplayPR.asp?idEDR=1234543" TargetMode="External"/><Relationship Id="rId541" Type="http://schemas.openxmlformats.org/officeDocument/2006/relationships/hyperlink" Target="http://www.utility.pge.com/edrs/pr/DisplayPR.asp?idEDR=1234072" TargetMode="External"/><Relationship Id="rId562" Type="http://schemas.openxmlformats.org/officeDocument/2006/relationships/hyperlink" Target="http://www/edrs/pr/DisplayPRRef.asp?idEDR=1036715&amp;refDoc=2019-35975" TargetMode="External"/><Relationship Id="rId583" Type="http://schemas.openxmlformats.org/officeDocument/2006/relationships/hyperlink" Target="http://www.utility.pge.com/edrs/pr/DisplayPR.asp?idEDR=1233431" TargetMode="External"/><Relationship Id="rId4" Type="http://schemas.openxmlformats.org/officeDocument/2006/relationships/hyperlink" Target="http://www/edrs/pr/DisplayPR.asp?idEDR=1047618" TargetMode="External"/><Relationship Id="rId180" Type="http://schemas.openxmlformats.org/officeDocument/2006/relationships/hyperlink" Target="http://www.utility.pge.com/edrs/pr/DisplayPR.asp?idEDR=1229995" TargetMode="External"/><Relationship Id="rId215" Type="http://schemas.openxmlformats.org/officeDocument/2006/relationships/hyperlink" Target="http://www/edrs/pr/DisplayPR.asp?idEDR=1194274" TargetMode="External"/><Relationship Id="rId236" Type="http://schemas.openxmlformats.org/officeDocument/2006/relationships/hyperlink" Target="http://www/edrs/pr/DisplayPR.asp?idEDR=1223382" TargetMode="External"/><Relationship Id="rId257" Type="http://schemas.openxmlformats.org/officeDocument/2006/relationships/hyperlink" Target="http://www/edrs/pr/DisplayPR.asp?idEDR=1047622" TargetMode="External"/><Relationship Id="rId278" Type="http://schemas.openxmlformats.org/officeDocument/2006/relationships/hyperlink" Target="http://www/edrs/pr/DisplayPR.asp?idEDR=1228419" TargetMode="External"/><Relationship Id="rId401" Type="http://schemas.openxmlformats.org/officeDocument/2006/relationships/hyperlink" Target="http://www.utility.pge.com/edrs/pr/DisplayPR.asp?idEDR=1233725" TargetMode="External"/><Relationship Id="rId422" Type="http://schemas.openxmlformats.org/officeDocument/2006/relationships/hyperlink" Target="http://www.utility.pge.com/edrs/pr/DisplayPR.asp?idEDR=1234543" TargetMode="External"/><Relationship Id="rId443" Type="http://schemas.openxmlformats.org/officeDocument/2006/relationships/hyperlink" Target="http://www/edrs/pr/DisplayPR.asp?idEDR=1237431" TargetMode="External"/><Relationship Id="rId464" Type="http://schemas.openxmlformats.org/officeDocument/2006/relationships/hyperlink" Target="http://www.utility.pge.com/edrs/pr/DisplayPR.asp?idEDR=1232360" TargetMode="External"/><Relationship Id="rId303" Type="http://schemas.openxmlformats.org/officeDocument/2006/relationships/hyperlink" Target="http://www.utility.pge.com/edrs/pr/DisplayPR.asp?idEDR=1232554" TargetMode="External"/><Relationship Id="rId485" Type="http://schemas.openxmlformats.org/officeDocument/2006/relationships/hyperlink" Target="http://www.utility.pge.com/edrs/pr/DisplayPR.asp?idEDR=1233639" TargetMode="External"/><Relationship Id="rId42" Type="http://schemas.openxmlformats.org/officeDocument/2006/relationships/hyperlink" Target="http://www/edrs/pr/DisplayPRRef.asp?idEDR=1013028&amp;refDoc=2019-35972" TargetMode="External"/><Relationship Id="rId84" Type="http://schemas.openxmlformats.org/officeDocument/2006/relationships/hyperlink" Target="http://www/edrs/pr/DisplayPR.asp?idEDR=1115949" TargetMode="External"/><Relationship Id="rId138" Type="http://schemas.openxmlformats.org/officeDocument/2006/relationships/hyperlink" Target="http://www/edrs/pr/DisplayPR.asp?idEDR=1222632" TargetMode="External"/><Relationship Id="rId345" Type="http://schemas.openxmlformats.org/officeDocument/2006/relationships/hyperlink" Target="http://www.utility.pge.com/edrs/pr/DisplayPR.asp?idEDR=1233265" TargetMode="External"/><Relationship Id="rId387" Type="http://schemas.openxmlformats.org/officeDocument/2006/relationships/hyperlink" Target="http://www.utility.pge.com/edrs/pr/DisplayPR.asp?idEDR=1233432" TargetMode="External"/><Relationship Id="rId510" Type="http://schemas.openxmlformats.org/officeDocument/2006/relationships/hyperlink" Target="http://www/edrs/pr/DisplayPR.asp?idEDR=1217956" TargetMode="External"/><Relationship Id="rId552" Type="http://schemas.openxmlformats.org/officeDocument/2006/relationships/hyperlink" Target="http://www/edrs/pr/DisplayPR.asp?idEDR=1234919" TargetMode="External"/><Relationship Id="rId191" Type="http://schemas.openxmlformats.org/officeDocument/2006/relationships/hyperlink" Target="http://www/edrs/pr/DisplayPR.asp?idEDR=1230461" TargetMode="External"/><Relationship Id="rId205" Type="http://schemas.openxmlformats.org/officeDocument/2006/relationships/hyperlink" Target="http://www/edrs/pr/DisplayPR.asp?idEDR=1219400" TargetMode="External"/><Relationship Id="rId247" Type="http://schemas.openxmlformats.org/officeDocument/2006/relationships/hyperlink" Target="http://www/edrs/pr/DisplayPR.asp?idEDR=1222268" TargetMode="External"/><Relationship Id="rId412" Type="http://schemas.openxmlformats.org/officeDocument/2006/relationships/hyperlink" Target="http://www/edrs/pr/DisplayPR.asp?idEDR=1193821" TargetMode="External"/><Relationship Id="rId107" Type="http://schemas.openxmlformats.org/officeDocument/2006/relationships/hyperlink" Target="http://www/edrs/pr/DisplayPR.asp?idEDR=1164583" TargetMode="External"/><Relationship Id="rId289" Type="http://schemas.openxmlformats.org/officeDocument/2006/relationships/hyperlink" Target="http://www/edrs/pr/DisplayPR.asp?idEDR=1228423" TargetMode="External"/><Relationship Id="rId454" Type="http://schemas.openxmlformats.org/officeDocument/2006/relationships/hyperlink" Target="http://www/edrs/pr/DisplayPR.asp?idEDR=1235051" TargetMode="External"/><Relationship Id="rId496" Type="http://schemas.openxmlformats.org/officeDocument/2006/relationships/hyperlink" Target="http://www/edrs/pr/DisplayPR.asp?idEDR=1218748" TargetMode="External"/><Relationship Id="rId11" Type="http://schemas.openxmlformats.org/officeDocument/2006/relationships/hyperlink" Target="http://www/edrs/pr/DisplayPR.asp?idEDR=1194327" TargetMode="External"/><Relationship Id="rId53" Type="http://schemas.openxmlformats.org/officeDocument/2006/relationships/hyperlink" Target="http://www/edrs/pr/DisplayPRRef.asp?idEDR=1033800&amp;refDoc=2019-35897" TargetMode="External"/><Relationship Id="rId149" Type="http://schemas.openxmlformats.org/officeDocument/2006/relationships/hyperlink" Target="http://www/edrs/pr/DisplayPR.asp?idEDR=1094059" TargetMode="External"/><Relationship Id="rId314" Type="http://schemas.openxmlformats.org/officeDocument/2006/relationships/hyperlink" Target="http://www.utility.pge.com/edrs/pr/DisplayPR.asp?idEDR=1233137" TargetMode="External"/><Relationship Id="rId356" Type="http://schemas.openxmlformats.org/officeDocument/2006/relationships/hyperlink" Target="http://www.utility.pge.com/edrs/pr/DisplayPR.asp?idEDR=1233428" TargetMode="External"/><Relationship Id="rId398" Type="http://schemas.openxmlformats.org/officeDocument/2006/relationships/hyperlink" Target="http://www.utility.pge.com/edrs/pr/DisplayPR.asp?idEDR=1233640" TargetMode="External"/><Relationship Id="rId521" Type="http://schemas.openxmlformats.org/officeDocument/2006/relationships/hyperlink" Target="http://www/edrs/pr/DisplayPR.asp?idEDR=1234537" TargetMode="External"/><Relationship Id="rId563" Type="http://schemas.openxmlformats.org/officeDocument/2006/relationships/hyperlink" Target="http://www/edrs/pr/DisplayPR.asp?idEDR=1094147" TargetMode="External"/><Relationship Id="rId95" Type="http://schemas.openxmlformats.org/officeDocument/2006/relationships/hyperlink" Target="http://www/edrs/pr/DisplayPR.asp?idEDR=1094072" TargetMode="External"/><Relationship Id="rId160" Type="http://schemas.openxmlformats.org/officeDocument/2006/relationships/hyperlink" Target="http://www/edrs/pr/DisplayPR.asp?idEDR=1228877" TargetMode="External"/><Relationship Id="rId216" Type="http://schemas.openxmlformats.org/officeDocument/2006/relationships/hyperlink" Target="http://www/edrs/pr/DisplayPR.asp?idEDR=1194274" TargetMode="External"/><Relationship Id="rId423" Type="http://schemas.openxmlformats.org/officeDocument/2006/relationships/hyperlink" Target="http://www/edrs/pr/DisplayPR.asp?idEDR=1234537" TargetMode="External"/><Relationship Id="rId258" Type="http://schemas.openxmlformats.org/officeDocument/2006/relationships/hyperlink" Target="http://www/edrs/pr/DisplayPR.asp?idEDR=1047622" TargetMode="External"/><Relationship Id="rId465" Type="http://schemas.openxmlformats.org/officeDocument/2006/relationships/hyperlink" Target="http://www/edrs/pr/DisplayPR.asp?idEDR=1229213" TargetMode="External"/><Relationship Id="rId22" Type="http://schemas.openxmlformats.org/officeDocument/2006/relationships/hyperlink" Target="http://www/edrs/pr/DisplayPR.asp?idEDR=1184485" TargetMode="External"/><Relationship Id="rId64" Type="http://schemas.openxmlformats.org/officeDocument/2006/relationships/hyperlink" Target="http://www/edrs/pr/DisplayPR.asp?idEDR=1175217" TargetMode="External"/><Relationship Id="rId118" Type="http://schemas.openxmlformats.org/officeDocument/2006/relationships/hyperlink" Target="http://www/edrs/pr/DisplayPR.asp?idEDR=1092916" TargetMode="External"/><Relationship Id="rId325" Type="http://schemas.openxmlformats.org/officeDocument/2006/relationships/hyperlink" Target="http://www/edrs/pr/DisplayPR.asp?idEDR=1222184" TargetMode="External"/><Relationship Id="rId367" Type="http://schemas.openxmlformats.org/officeDocument/2006/relationships/hyperlink" Target="http://www.utility.pge.com/edrs/pr/DisplayPR.asp?idEDR=1233431" TargetMode="External"/><Relationship Id="rId532" Type="http://schemas.openxmlformats.org/officeDocument/2006/relationships/hyperlink" Target="http://www.utility.pge.com/edrs/pr/DisplayPR.asp?idEDR=1241060" TargetMode="External"/><Relationship Id="rId574" Type="http://schemas.openxmlformats.org/officeDocument/2006/relationships/hyperlink" Target="http://www/edrs/pr/DisplayPR.asp?idEDR=1207129" TargetMode="External"/><Relationship Id="rId171" Type="http://schemas.openxmlformats.org/officeDocument/2006/relationships/hyperlink" Target="http://www/edrs/pr/DisplayPR.asp?idEDR=1229985" TargetMode="External"/><Relationship Id="rId227" Type="http://schemas.openxmlformats.org/officeDocument/2006/relationships/hyperlink" Target="http://www/edrs/pr/DisplayPR.asp?idEDR=1194328" TargetMode="External"/><Relationship Id="rId269" Type="http://schemas.openxmlformats.org/officeDocument/2006/relationships/hyperlink" Target="http://www.utility.pge.com/edrs/pr/DisplayPR.asp?idEDR=1229995" TargetMode="External"/><Relationship Id="rId434" Type="http://schemas.openxmlformats.org/officeDocument/2006/relationships/hyperlink" Target="http://www/edrs/pr/DisplayPR.asp?idEDR=1231732" TargetMode="External"/><Relationship Id="rId476" Type="http://schemas.openxmlformats.org/officeDocument/2006/relationships/hyperlink" Target="http://www/edrs/pr/DisplayPR.asp?idEDR=1234655" TargetMode="External"/><Relationship Id="rId33" Type="http://schemas.openxmlformats.org/officeDocument/2006/relationships/hyperlink" Target="http://www/edrs/pr/DisplayPR.asp?idEDR=1145145" TargetMode="External"/><Relationship Id="rId129" Type="http://schemas.openxmlformats.org/officeDocument/2006/relationships/hyperlink" Target="http://www/edrs/pr/DisplayPR.asp?idEDR=1210217" TargetMode="External"/><Relationship Id="rId280" Type="http://schemas.openxmlformats.org/officeDocument/2006/relationships/hyperlink" Target="http://www/edrs/pr/DisplayPR.asp?idEDR=1228419" TargetMode="External"/><Relationship Id="rId336" Type="http://schemas.openxmlformats.org/officeDocument/2006/relationships/hyperlink" Target="http://www.utility.pge.com/edrs/pr/DisplayPR.asp?idEDR=1232798" TargetMode="External"/><Relationship Id="rId501" Type="http://schemas.openxmlformats.org/officeDocument/2006/relationships/hyperlink" Target="http://www/edrs/pr/DisplayPR.asp?idEDR=1218925" TargetMode="External"/><Relationship Id="rId543" Type="http://schemas.openxmlformats.org/officeDocument/2006/relationships/hyperlink" Target="http://www.utility.pge.com/edrs/pr/DisplayPR.asp?idEDR=1233137" TargetMode="External"/><Relationship Id="rId75" Type="http://schemas.openxmlformats.org/officeDocument/2006/relationships/hyperlink" Target="http://www/edrs/pr/DisplayPR.asp?idEDR=1094059" TargetMode="External"/><Relationship Id="rId140" Type="http://schemas.openxmlformats.org/officeDocument/2006/relationships/hyperlink" Target="http://www/edrs/pr/DisplayPR.asp?idEDR=1027825" TargetMode="External"/><Relationship Id="rId182" Type="http://schemas.openxmlformats.org/officeDocument/2006/relationships/hyperlink" Target="http://www/edrs/pr/DisplayPR.asp?idEDR=1230539" TargetMode="External"/><Relationship Id="rId378" Type="http://schemas.openxmlformats.org/officeDocument/2006/relationships/hyperlink" Target="http://www.utility.pge.com/edrs/pr/DisplayPR.asp?idEDR=1233432" TargetMode="External"/><Relationship Id="rId403" Type="http://schemas.openxmlformats.org/officeDocument/2006/relationships/hyperlink" Target="http://www.utility.pge.com/edrs/pr/DisplayPR.asp?idEDR=1233725" TargetMode="External"/><Relationship Id="rId6" Type="http://schemas.openxmlformats.org/officeDocument/2006/relationships/hyperlink" Target="http://www/edrs/pr/DisplayPR.asp?idEDR=1131457" TargetMode="External"/><Relationship Id="rId238" Type="http://schemas.openxmlformats.org/officeDocument/2006/relationships/hyperlink" Target="http://www/edrs/pr/DisplayPR.asp?idEDR=1223382" TargetMode="External"/><Relationship Id="rId445" Type="http://schemas.openxmlformats.org/officeDocument/2006/relationships/hyperlink" Target="http://www/edrs/pr/DisplayPR.asp?idEDR=1237337" TargetMode="External"/><Relationship Id="rId487" Type="http://schemas.openxmlformats.org/officeDocument/2006/relationships/hyperlink" Target="http://www.utility.pge.com/edrs/pr/DisplayPR.asp?idEDR=1232359" TargetMode="External"/><Relationship Id="rId291" Type="http://schemas.openxmlformats.org/officeDocument/2006/relationships/hyperlink" Target="http://www/edrs/pr/DisplayPR.asp?idEDR=1237128" TargetMode="External"/><Relationship Id="rId305" Type="http://schemas.openxmlformats.org/officeDocument/2006/relationships/hyperlink" Target="http://www.utility.pge.com/edrs/pr/DisplayPR.asp?idEDR=1232557" TargetMode="External"/><Relationship Id="rId347" Type="http://schemas.openxmlformats.org/officeDocument/2006/relationships/hyperlink" Target="http://www.utility.pge.com/edrs/pr/DisplayPR.asp?idEDR=1233280" TargetMode="External"/><Relationship Id="rId512" Type="http://schemas.openxmlformats.org/officeDocument/2006/relationships/hyperlink" Target="http://www/edrs/pr/DisplayPR.asp?idEDR=1218925" TargetMode="External"/><Relationship Id="rId44" Type="http://schemas.openxmlformats.org/officeDocument/2006/relationships/hyperlink" Target="http://www/edrs/pr/DisplayPR.asp?idEDR=1131379" TargetMode="External"/><Relationship Id="rId86" Type="http://schemas.openxmlformats.org/officeDocument/2006/relationships/hyperlink" Target="http://www/edrs/pr/DisplayPRRef.asp?idEDR=1019313&amp;refDoc=2019-35889" TargetMode="External"/><Relationship Id="rId151" Type="http://schemas.openxmlformats.org/officeDocument/2006/relationships/hyperlink" Target="http://www/edrs/pr/DisplayPR.asp?idEDR=1167934" TargetMode="External"/><Relationship Id="rId389" Type="http://schemas.openxmlformats.org/officeDocument/2006/relationships/hyperlink" Target="http://www.utility.pge.com/edrs/pr/DisplayPR.asp?idEDR=1233433" TargetMode="External"/><Relationship Id="rId554" Type="http://schemas.openxmlformats.org/officeDocument/2006/relationships/hyperlink" Target="http://www/edrs/pr/DisplayPR.asp?idEDR=1235021" TargetMode="External"/><Relationship Id="rId193" Type="http://schemas.openxmlformats.org/officeDocument/2006/relationships/hyperlink" Target="http://www/edrs/pr/DisplayPR.asp?idEDR=1230523" TargetMode="External"/><Relationship Id="rId207" Type="http://schemas.openxmlformats.org/officeDocument/2006/relationships/hyperlink" Target="http://www/edrs/pr/DisplayPR.asp?idEDR=1219400" TargetMode="External"/><Relationship Id="rId249" Type="http://schemas.openxmlformats.org/officeDocument/2006/relationships/hyperlink" Target="http://www/edrs/pr/DisplayPR.asp?idEDR=1222407" TargetMode="External"/><Relationship Id="rId414" Type="http://schemas.openxmlformats.org/officeDocument/2006/relationships/hyperlink" Target="http://www/edrs/pr/DisplayPR.asp?idEDR=1193821" TargetMode="External"/><Relationship Id="rId456" Type="http://schemas.openxmlformats.org/officeDocument/2006/relationships/hyperlink" Target="http://www/edrs/pr/DisplayPR.asp?idEDR=1235051" TargetMode="External"/><Relationship Id="rId498" Type="http://schemas.openxmlformats.org/officeDocument/2006/relationships/hyperlink" Target="http://www/edrs/pr/DisplayPR.asp?idEDR=1218748" TargetMode="External"/><Relationship Id="rId13" Type="http://schemas.openxmlformats.org/officeDocument/2006/relationships/hyperlink" Target="http://www/edrs/pr/DisplayPR.asp?idEDR=996628" TargetMode="External"/><Relationship Id="rId109" Type="http://schemas.openxmlformats.org/officeDocument/2006/relationships/hyperlink" Target="http://www/edrs/pr/DisplayPR.asp?idEDR=1183181" TargetMode="External"/><Relationship Id="rId260" Type="http://schemas.openxmlformats.org/officeDocument/2006/relationships/hyperlink" Target="http://www/edrs/pr/DisplayPR.asp?idEDR=1047624" TargetMode="External"/><Relationship Id="rId316" Type="http://schemas.openxmlformats.org/officeDocument/2006/relationships/hyperlink" Target="http://www.utility.pge.com/edrs/pr/DisplayPR.asp?idEDR=1233139" TargetMode="External"/><Relationship Id="rId523" Type="http://schemas.openxmlformats.org/officeDocument/2006/relationships/hyperlink" Target="http://www/edrs/pr/DisplayPR.asp?idEDR=1234874" TargetMode="External"/><Relationship Id="rId55" Type="http://schemas.openxmlformats.org/officeDocument/2006/relationships/hyperlink" Target="http://www/edrs/pr/DisplayPR.asp?idEDR=1167933" TargetMode="External"/><Relationship Id="rId97" Type="http://schemas.openxmlformats.org/officeDocument/2006/relationships/hyperlink" Target="http://www/edrs/pr/DisplayPR.asp?idEDR=1186446" TargetMode="External"/><Relationship Id="rId120" Type="http://schemas.openxmlformats.org/officeDocument/2006/relationships/hyperlink" Target="http://www/edrs/pr/DisplayPR.asp?idEDR=1097532" TargetMode="External"/><Relationship Id="rId358" Type="http://schemas.openxmlformats.org/officeDocument/2006/relationships/hyperlink" Target="http://www.utility.pge.com/edrs/pr/DisplayPR.asp?idEDR=1233430" TargetMode="External"/><Relationship Id="rId565" Type="http://schemas.openxmlformats.org/officeDocument/2006/relationships/hyperlink" Target="http://www/edrs/pr/DisplayPR.asp?idEDR=1127531" TargetMode="External"/><Relationship Id="rId162" Type="http://schemas.openxmlformats.org/officeDocument/2006/relationships/hyperlink" Target="http://www/edrs/pr/DisplayPR.asp?idEDR=1228954" TargetMode="External"/><Relationship Id="rId218" Type="http://schemas.openxmlformats.org/officeDocument/2006/relationships/hyperlink" Target="http://www/edrs/pr/DisplayPR.asp?idEDR=1194274" TargetMode="External"/><Relationship Id="rId425" Type="http://schemas.openxmlformats.org/officeDocument/2006/relationships/hyperlink" Target="http://www/edrs/pr/DisplayPR.asp?idEDR=1234874" TargetMode="External"/><Relationship Id="rId467" Type="http://schemas.openxmlformats.org/officeDocument/2006/relationships/hyperlink" Target="http://www/edrs/pr/DisplayPR.asp?idEDR=1233740" TargetMode="External"/><Relationship Id="rId271" Type="http://schemas.openxmlformats.org/officeDocument/2006/relationships/hyperlink" Target="http://www.utility.pge.com/edrs/pr/DisplayPR.asp?idEDR=1229995" TargetMode="External"/><Relationship Id="rId24" Type="http://schemas.openxmlformats.org/officeDocument/2006/relationships/hyperlink" Target="http://www/edrs/pr/DisplayPR.asp?idEDR=1094075" TargetMode="External"/><Relationship Id="rId66" Type="http://schemas.openxmlformats.org/officeDocument/2006/relationships/hyperlink" Target="http://www/edrs/pr/DisplayPR.asp?idEDR=1187038" TargetMode="External"/><Relationship Id="rId131" Type="http://schemas.openxmlformats.org/officeDocument/2006/relationships/hyperlink" Target="http://www/edrs/pr/DisplayPR.asp?idEDR=1222400" TargetMode="External"/><Relationship Id="rId327" Type="http://schemas.openxmlformats.org/officeDocument/2006/relationships/hyperlink" Target="http://www.utility.pge.com/edrs/pr/DisplayPR.asp?idEDR=1232793" TargetMode="External"/><Relationship Id="rId369" Type="http://schemas.openxmlformats.org/officeDocument/2006/relationships/hyperlink" Target="http://www.utility.pge.com/edrs/pr/DisplayPR.asp?idEDR=1233431" TargetMode="External"/><Relationship Id="rId534" Type="http://schemas.openxmlformats.org/officeDocument/2006/relationships/hyperlink" Target="http://www/edrs/pr/DisplayPR.asp?idEDR=1229833" TargetMode="External"/><Relationship Id="rId576" Type="http://schemas.openxmlformats.org/officeDocument/2006/relationships/hyperlink" Target="http://www/edrs/pr/DisplayPR.asp?idEDR=1194328" TargetMode="External"/><Relationship Id="rId173" Type="http://schemas.openxmlformats.org/officeDocument/2006/relationships/hyperlink" Target="http://www.utility.pge.com/edrs/default.asp?id=1230151" TargetMode="External"/><Relationship Id="rId229" Type="http://schemas.openxmlformats.org/officeDocument/2006/relationships/hyperlink" Target="http://www/edrs/pr/DisplayPR.asp?idEDR=1194328" TargetMode="External"/><Relationship Id="rId380" Type="http://schemas.openxmlformats.org/officeDocument/2006/relationships/hyperlink" Target="http://www.utility.pge.com/edrs/pr/DisplayPR.asp?idEDR=1233432" TargetMode="External"/><Relationship Id="rId436" Type="http://schemas.openxmlformats.org/officeDocument/2006/relationships/hyperlink" Target="http://www/edrs/pr/DisplayPR.asp?idEDR=1231732" TargetMode="External"/><Relationship Id="rId240" Type="http://schemas.openxmlformats.org/officeDocument/2006/relationships/hyperlink" Target="http://www/edrs/pr/DisplayPR.asp?idEDR=1223382" TargetMode="External"/><Relationship Id="rId478" Type="http://schemas.openxmlformats.org/officeDocument/2006/relationships/hyperlink" Target="http://www/edrs/pr/DisplayPR.asp?idEDR=1234655" TargetMode="External"/><Relationship Id="rId35" Type="http://schemas.openxmlformats.org/officeDocument/2006/relationships/hyperlink" Target="http://www/edrs/pr/DisplayPR.asp?idEDR=1134520" TargetMode="External"/><Relationship Id="rId77" Type="http://schemas.openxmlformats.org/officeDocument/2006/relationships/hyperlink" Target="http://www/edrs/pr/DisplayPR.asp?idEDR=1189105" TargetMode="External"/><Relationship Id="rId100" Type="http://schemas.openxmlformats.org/officeDocument/2006/relationships/hyperlink" Target="http://www/edrs/pr/DisplayPR.asp?idEDR=1173147" TargetMode="External"/><Relationship Id="rId282" Type="http://schemas.openxmlformats.org/officeDocument/2006/relationships/hyperlink" Target="http://www.utility.pge.com/edrs/pr/DisplayPR.asp?idEDR=1230547" TargetMode="External"/><Relationship Id="rId338" Type="http://schemas.openxmlformats.org/officeDocument/2006/relationships/hyperlink" Target="http://www.utility.pge.com/edrs/pr/DisplayPR.asp?idEDR=1232798" TargetMode="External"/><Relationship Id="rId503" Type="http://schemas.openxmlformats.org/officeDocument/2006/relationships/hyperlink" Target="http://www/edrs/pr/DisplayPR.asp?idEDR=1218700" TargetMode="External"/><Relationship Id="rId545" Type="http://schemas.openxmlformats.org/officeDocument/2006/relationships/hyperlink" Target="http://www.utility.pge.com/edrs/pr/DisplayPR.asp?idEDR=1230683" TargetMode="External"/><Relationship Id="rId8" Type="http://schemas.openxmlformats.org/officeDocument/2006/relationships/hyperlink" Target="http://www/edrs/pr/DisplayPR.asp?idEDR=1192237" TargetMode="External"/><Relationship Id="rId142" Type="http://schemas.openxmlformats.org/officeDocument/2006/relationships/hyperlink" Target="http://www/edrs/pr/DisplayPR.asp?idEDR=1092537" TargetMode="External"/><Relationship Id="rId184" Type="http://schemas.openxmlformats.org/officeDocument/2006/relationships/hyperlink" Target="http://www.utility.pge.com/edrs/pr/DisplayPR.asp?idEDR=1230536" TargetMode="External"/><Relationship Id="rId391" Type="http://schemas.openxmlformats.org/officeDocument/2006/relationships/hyperlink" Target="http://www.utility.pge.com/edrs/pr/DisplayPR.asp?idEDR=1233433" TargetMode="External"/><Relationship Id="rId405" Type="http://schemas.openxmlformats.org/officeDocument/2006/relationships/hyperlink" Target="http://www.utility.pge.com/edrs/pr/DisplayPR.asp?idEDR=1233734" TargetMode="External"/><Relationship Id="rId447" Type="http://schemas.openxmlformats.org/officeDocument/2006/relationships/hyperlink" Target="http://www/edrs/pr/DisplayPR.asp?idEDR=1236943" TargetMode="External"/><Relationship Id="rId251" Type="http://schemas.openxmlformats.org/officeDocument/2006/relationships/hyperlink" Target="http://www/edrs/pr/DisplayPR.asp?idEDR=1228425" TargetMode="External"/><Relationship Id="rId489" Type="http://schemas.openxmlformats.org/officeDocument/2006/relationships/hyperlink" Target="http://www/edrs/pr/DisplayPR.asp?idEDR=1233812" TargetMode="External"/><Relationship Id="rId46" Type="http://schemas.openxmlformats.org/officeDocument/2006/relationships/hyperlink" Target="http://www/edrs/pr/DisplayPRRef.asp?idEDR=1022911&amp;refDoc=2020-02712" TargetMode="External"/><Relationship Id="rId293" Type="http://schemas.openxmlformats.org/officeDocument/2006/relationships/hyperlink" Target="http://www/edrs/pr/DisplayPR.asp?idEDR=1031304" TargetMode="External"/><Relationship Id="rId307" Type="http://schemas.openxmlformats.org/officeDocument/2006/relationships/hyperlink" Target="http://www.utility.pge.com/edrs/pr/DisplayPR.asp?idEDR=1232712" TargetMode="External"/><Relationship Id="rId349" Type="http://schemas.openxmlformats.org/officeDocument/2006/relationships/hyperlink" Target="http://www.utility.pge.com/edrs/pr/DisplayPR.asp?idEDR=1233317" TargetMode="External"/><Relationship Id="rId514" Type="http://schemas.openxmlformats.org/officeDocument/2006/relationships/hyperlink" Target="http://www/edrs/pr/DisplayPR.asp?idEDR=1218700" TargetMode="External"/><Relationship Id="rId556" Type="http://schemas.openxmlformats.org/officeDocument/2006/relationships/hyperlink" Target="http://www/edrs/pr/DisplayPR.asp?idEDR=1235021" TargetMode="External"/><Relationship Id="rId88" Type="http://schemas.openxmlformats.org/officeDocument/2006/relationships/hyperlink" Target="http://www/edrs/pr/DisplayPR.asp?idEDR=1152484" TargetMode="External"/><Relationship Id="rId111" Type="http://schemas.openxmlformats.org/officeDocument/2006/relationships/hyperlink" Target="http://www/edrs/pr/DisplayPR.asp?idEDR=1183276" TargetMode="External"/><Relationship Id="rId153" Type="http://schemas.openxmlformats.org/officeDocument/2006/relationships/hyperlink" Target="http://www/edrs/pr/DisplayPR.asp?idEDR=1094143" TargetMode="External"/><Relationship Id="rId195" Type="http://schemas.openxmlformats.org/officeDocument/2006/relationships/hyperlink" Target="http://www.utility.pge.com/edrs/pr/DisplayPR.asp?idEDR=1231712" TargetMode="External"/><Relationship Id="rId209" Type="http://schemas.openxmlformats.org/officeDocument/2006/relationships/hyperlink" Target="http://www/edrs/pr/DisplayPR.asp?idEDR=1192419" TargetMode="External"/><Relationship Id="rId360" Type="http://schemas.openxmlformats.org/officeDocument/2006/relationships/hyperlink" Target="http://www/edrs/pr/DisplayPR.asp?idEDR=1194327" TargetMode="External"/><Relationship Id="rId416" Type="http://schemas.openxmlformats.org/officeDocument/2006/relationships/hyperlink" Target="http://www/edrs/pr/DisplayPR.asp?idEDR=1193821" TargetMode="External"/><Relationship Id="rId220" Type="http://schemas.openxmlformats.org/officeDocument/2006/relationships/hyperlink" Target="http://www/edrs/pr/DisplayPR.asp?idEDR=1194274" TargetMode="External"/><Relationship Id="rId458" Type="http://schemas.openxmlformats.org/officeDocument/2006/relationships/hyperlink" Target="http://www/edrs/pr/DisplayPR.asp?idEDR=1235051" TargetMode="External"/><Relationship Id="rId15" Type="http://schemas.openxmlformats.org/officeDocument/2006/relationships/hyperlink" Target="http://www/edrs/pr/DisplayPRRef.asp?idEDR=1033800&amp;refDoc=2019-35897" TargetMode="External"/><Relationship Id="rId57" Type="http://schemas.openxmlformats.org/officeDocument/2006/relationships/hyperlink" Target="http://www/edrs/pr/DisplayPRRef.asp?idEDR=1041711&amp;refDoc=2019-35903" TargetMode="External"/><Relationship Id="rId262" Type="http://schemas.openxmlformats.org/officeDocument/2006/relationships/hyperlink" Target="http://www/edrs/pr/DisplayPR.asp?idEDR=1047624" TargetMode="External"/><Relationship Id="rId318" Type="http://schemas.openxmlformats.org/officeDocument/2006/relationships/hyperlink" Target="http://www.utility.pge.com/edrs/pr/DisplayPR.asp?idEDR=1232747" TargetMode="External"/><Relationship Id="rId525" Type="http://schemas.openxmlformats.org/officeDocument/2006/relationships/hyperlink" Target="http://www.utility.pge.com/edrs/pr/DisplayPR.asp?idEDR=1240877" TargetMode="External"/><Relationship Id="rId567" Type="http://schemas.openxmlformats.org/officeDocument/2006/relationships/hyperlink" Target="http://www/edrs/pr/DisplayPR.asp?idEDR=1134520" TargetMode="External"/><Relationship Id="rId99" Type="http://schemas.openxmlformats.org/officeDocument/2006/relationships/hyperlink" Target="http://www/edrs/pr/DisplayPR.asp?idEDR=1183544" TargetMode="External"/><Relationship Id="rId122" Type="http://schemas.openxmlformats.org/officeDocument/2006/relationships/hyperlink" Target="http://www/edrs/pr/DisplayPR.asp?idEDR=1193821" TargetMode="External"/><Relationship Id="rId164" Type="http://schemas.openxmlformats.org/officeDocument/2006/relationships/hyperlink" Target="http://www/edrs/pr/DisplayPR.asp?idEDR=1228858" TargetMode="External"/><Relationship Id="rId371" Type="http://schemas.openxmlformats.org/officeDocument/2006/relationships/hyperlink" Target="http://www.utility.pge.com/edrs/pr/DisplayPR.asp?idEDR=1233431" TargetMode="External"/><Relationship Id="rId427" Type="http://schemas.openxmlformats.org/officeDocument/2006/relationships/hyperlink" Target="http://www/edrs/pr/DisplayPR.asp?idEDR=1235021" TargetMode="External"/><Relationship Id="rId469" Type="http://schemas.openxmlformats.org/officeDocument/2006/relationships/hyperlink" Target="http://www/edrs/pr/DisplayPR.asp?idEDR=1233740" TargetMode="External"/><Relationship Id="rId26" Type="http://schemas.openxmlformats.org/officeDocument/2006/relationships/hyperlink" Target="http://www/edrs/pr/DisplayPR.asp?idEDR=1123751" TargetMode="External"/><Relationship Id="rId231" Type="http://schemas.openxmlformats.org/officeDocument/2006/relationships/hyperlink" Target="http://www/edrs/pr/DisplayPR.asp?idEDR=1194328" TargetMode="External"/><Relationship Id="rId273" Type="http://schemas.openxmlformats.org/officeDocument/2006/relationships/hyperlink" Target="http://www/edrs/pr/DisplayPR.asp?idEDR=1228419" TargetMode="External"/><Relationship Id="rId329" Type="http://schemas.openxmlformats.org/officeDocument/2006/relationships/hyperlink" Target="http://www.utility.pge.com/edrs/pr/DisplayPR.asp?idEDR=1232793" TargetMode="External"/><Relationship Id="rId480" Type="http://schemas.openxmlformats.org/officeDocument/2006/relationships/hyperlink" Target="http://www.utility.pge.com/edrs/pr/DisplayPR.asp?idEDR=1233639" TargetMode="External"/><Relationship Id="rId536" Type="http://schemas.openxmlformats.org/officeDocument/2006/relationships/hyperlink" Target="http://www.utility.pge.com/edrs/pr/DisplayPR.asp?idEDR=1239589" TargetMode="External"/><Relationship Id="rId68" Type="http://schemas.openxmlformats.org/officeDocument/2006/relationships/hyperlink" Target="http://www/edrs/pr/DisplayPR.asp?idEDR=1179223" TargetMode="External"/><Relationship Id="rId133" Type="http://schemas.openxmlformats.org/officeDocument/2006/relationships/hyperlink" Target="http://www/edrs/pr/DisplayPR.asp?idEDR=1221830" TargetMode="External"/><Relationship Id="rId175" Type="http://schemas.openxmlformats.org/officeDocument/2006/relationships/hyperlink" Target="http://www.utility.pge.com/edrs/pr/DisplayPR.asp?idEDR=1230524" TargetMode="External"/><Relationship Id="rId340" Type="http://schemas.openxmlformats.org/officeDocument/2006/relationships/hyperlink" Target="http://www.utility.pge.com/edrs/pr/DisplayPR.asp?idEDR=1233225" TargetMode="External"/><Relationship Id="rId578" Type="http://schemas.openxmlformats.org/officeDocument/2006/relationships/hyperlink" Target="http://www/edrs/pr/DisplayPR.asp?idEDR=119432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www/edrs/pr/DisplayPR.asp?idEDR=1166495" TargetMode="External"/><Relationship Id="rId13" Type="http://schemas.openxmlformats.org/officeDocument/2006/relationships/hyperlink" Target="http://www/edrs/pr/DisplayPR.asp?idEDR=1159397" TargetMode="External"/><Relationship Id="rId18" Type="http://schemas.openxmlformats.org/officeDocument/2006/relationships/hyperlink" Target="http://www/edrs/pr/DisplayPR.asp?idEDR=1186444" TargetMode="External"/><Relationship Id="rId26" Type="http://schemas.openxmlformats.org/officeDocument/2006/relationships/hyperlink" Target="http://www/edrs/pr/DisplayPR.asp?idEDR=1228916" TargetMode="External"/><Relationship Id="rId3" Type="http://schemas.openxmlformats.org/officeDocument/2006/relationships/hyperlink" Target="http://www/edrs/pr/DisplayPR.asp?idEDR=1122550" TargetMode="External"/><Relationship Id="rId21" Type="http://schemas.openxmlformats.org/officeDocument/2006/relationships/hyperlink" Target="http://www/edrs/pr/DisplayPR.asp?idEDR=1171859" TargetMode="External"/><Relationship Id="rId7" Type="http://schemas.openxmlformats.org/officeDocument/2006/relationships/hyperlink" Target="http://www/edrs/pr/DisplayPR.asp?idEDR=1097546" TargetMode="External"/><Relationship Id="rId12" Type="http://schemas.openxmlformats.org/officeDocument/2006/relationships/hyperlink" Target="http://www/edrs/pr/DisplayPR.asp?idEDR=1137049" TargetMode="External"/><Relationship Id="rId17" Type="http://schemas.openxmlformats.org/officeDocument/2006/relationships/hyperlink" Target="http://www/edrs/pr/DisplayPR.asp?idEDR=1147914" TargetMode="External"/><Relationship Id="rId25" Type="http://schemas.openxmlformats.org/officeDocument/2006/relationships/hyperlink" Target="http://www/edrs/pr/DisplayPR.asp?idEDR=1228904" TargetMode="External"/><Relationship Id="rId33" Type="http://schemas.openxmlformats.org/officeDocument/2006/relationships/comments" Target="../comments1.xml"/><Relationship Id="rId2" Type="http://schemas.openxmlformats.org/officeDocument/2006/relationships/hyperlink" Target="http://www/edrs/pr/DisplayPR.asp?idEDR=1094076" TargetMode="External"/><Relationship Id="rId16" Type="http://schemas.openxmlformats.org/officeDocument/2006/relationships/hyperlink" Target="http://www/edrs/pr/DisplayPR.asp?idEDR=1174199" TargetMode="External"/><Relationship Id="rId20" Type="http://schemas.openxmlformats.org/officeDocument/2006/relationships/hyperlink" Target="http://www/edrs/pr/DisplayPR.asp?idEDR=1137194" TargetMode="External"/><Relationship Id="rId29" Type="http://schemas.openxmlformats.org/officeDocument/2006/relationships/hyperlink" Target="http://www.utility.pge.com/edrs/pr/DisplayPR.asp?idEDR=1233267" TargetMode="External"/><Relationship Id="rId1" Type="http://schemas.openxmlformats.org/officeDocument/2006/relationships/hyperlink" Target="http://www/edrs/pr/DisplayPRRef.asp?idEDR=1018937&amp;refDoc=2019-35904" TargetMode="External"/><Relationship Id="rId6" Type="http://schemas.openxmlformats.org/officeDocument/2006/relationships/hyperlink" Target="http://www/edrs/pr/DisplayPR.asp?idEDR=1086933" TargetMode="External"/><Relationship Id="rId11" Type="http://schemas.openxmlformats.org/officeDocument/2006/relationships/hyperlink" Target="http://www/edrs/pr/DisplayPR.asp?idEDR=1137321" TargetMode="External"/><Relationship Id="rId24" Type="http://schemas.openxmlformats.org/officeDocument/2006/relationships/hyperlink" Target="http://www/edrs/pr/DisplayPR.asp?idEDR=1228894" TargetMode="External"/><Relationship Id="rId32" Type="http://schemas.openxmlformats.org/officeDocument/2006/relationships/vmlDrawing" Target="../drawings/vmlDrawing1.vml"/><Relationship Id="rId5" Type="http://schemas.openxmlformats.org/officeDocument/2006/relationships/hyperlink" Target="http://www/edrs/pr/DisplayPR.asp?idEDR=1015664" TargetMode="External"/><Relationship Id="rId15" Type="http://schemas.openxmlformats.org/officeDocument/2006/relationships/hyperlink" Target="http://www/edrs/pr/DisplayPR.asp?idEDR=1137132" TargetMode="External"/><Relationship Id="rId23" Type="http://schemas.openxmlformats.org/officeDocument/2006/relationships/hyperlink" Target="http://www/edrs/pr/DisplayPR.asp?idEDR=1191717" TargetMode="External"/><Relationship Id="rId28" Type="http://schemas.openxmlformats.org/officeDocument/2006/relationships/hyperlink" Target="http://www/edrs/pr/DisplayPR.asp?idEDR=1230541" TargetMode="External"/><Relationship Id="rId10" Type="http://schemas.openxmlformats.org/officeDocument/2006/relationships/hyperlink" Target="http://www/edrs/pr/DisplayPR.asp?idEDR=1179183" TargetMode="External"/><Relationship Id="rId19" Type="http://schemas.openxmlformats.org/officeDocument/2006/relationships/hyperlink" Target="http://www/edrs/pr/DisplayPR.asp?idEDR=1144134" TargetMode="External"/><Relationship Id="rId31" Type="http://schemas.openxmlformats.org/officeDocument/2006/relationships/hyperlink" Target="http://www/edrs/pr/DisplayPR.asp?idEDR=1236691" TargetMode="External"/><Relationship Id="rId4" Type="http://schemas.openxmlformats.org/officeDocument/2006/relationships/hyperlink" Target="http://www/edrs/pr/DisplayPR.asp?idEDR=1186278" TargetMode="External"/><Relationship Id="rId9" Type="http://schemas.openxmlformats.org/officeDocument/2006/relationships/hyperlink" Target="http://www/edrs/pr/DisplayPR.asp?idEDR=1138843" TargetMode="External"/><Relationship Id="rId14" Type="http://schemas.openxmlformats.org/officeDocument/2006/relationships/hyperlink" Target="http://www/edrs/pr/DisplayPR.asp?idEDR=1137124" TargetMode="External"/><Relationship Id="rId22" Type="http://schemas.openxmlformats.org/officeDocument/2006/relationships/hyperlink" Target="http://www/edrs/pr/DisplayPR.asp?idEDR=1137214" TargetMode="External"/><Relationship Id="rId27" Type="http://schemas.openxmlformats.org/officeDocument/2006/relationships/hyperlink" Target="http://www.utility.pge.com/edrs/pr/DisplayPR.asp?idEDR=1229869" TargetMode="External"/><Relationship Id="rId30" Type="http://schemas.openxmlformats.org/officeDocument/2006/relationships/hyperlink" Target="http://www.utility.pge.com/edrs/pr/DisplayPR.asp?idEDR=1233274"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O133"/>
  <sheetViews>
    <sheetView workbookViewId="0">
      <selection activeCell="G25" sqref="G25"/>
    </sheetView>
  </sheetViews>
  <sheetFormatPr defaultRowHeight="15" x14ac:dyDescent="0.25"/>
  <cols>
    <col min="1" max="1" width="5.140625" style="59" customWidth="1"/>
    <col min="2" max="2" width="47.140625" bestFit="1" customWidth="1"/>
    <col min="3" max="4" width="18.7109375" customWidth="1"/>
    <col min="5" max="5" width="3.28515625" style="59" customWidth="1"/>
    <col min="6" max="9" width="14.7109375" customWidth="1"/>
    <col min="13" max="13" width="25.28515625" bestFit="1" customWidth="1"/>
    <col min="14" max="14" width="12.7109375" style="73" bestFit="1" customWidth="1"/>
  </cols>
  <sheetData>
    <row r="1" spans="2:15" ht="15.75" thickBot="1" x14ac:dyDescent="0.3">
      <c r="O1" s="60">
        <f>SUM(O3:O71)</f>
        <v>525.77476515151488</v>
      </c>
    </row>
    <row r="2" spans="2:15" ht="15.75" thickBot="1" x14ac:dyDescent="0.3">
      <c r="B2" s="103"/>
      <c r="C2" s="224">
        <v>2021</v>
      </c>
      <c r="D2" s="225"/>
      <c r="M2" s="114" t="s">
        <v>4824</v>
      </c>
      <c r="N2" s="114" t="s">
        <v>5623</v>
      </c>
      <c r="O2" s="114" t="s">
        <v>8</v>
      </c>
    </row>
    <row r="3" spans="2:15" ht="15.75" thickBot="1" x14ac:dyDescent="0.3">
      <c r="B3" s="104" t="s">
        <v>4813</v>
      </c>
      <c r="C3" s="112" t="s">
        <v>5518</v>
      </c>
      <c r="D3" s="113" t="s">
        <v>5519</v>
      </c>
      <c r="M3" s="106" t="s">
        <v>30</v>
      </c>
      <c r="N3" s="106" t="s">
        <v>4887</v>
      </c>
      <c r="O3" s="106">
        <f>SUMIF('Project List'!$Q$56:$Q$523,"Alleghany 1101",'Project List'!$I$56:$I$523)</f>
        <v>1.7400000000000002</v>
      </c>
    </row>
    <row r="4" spans="2:15" ht="15.75" thickBot="1" x14ac:dyDescent="0.3">
      <c r="B4" s="102" t="s">
        <v>5520</v>
      </c>
      <c r="C4" s="106">
        <f>SUMIF('Project List'!$C$56:$C$517,"0",'Project List'!$I$56:$I$517)</f>
        <v>31.8</v>
      </c>
      <c r="D4" s="108">
        <f>COUNTIF('Project List'!$C$56:$C$517,"0")</f>
        <v>1</v>
      </c>
      <c r="M4" s="107" t="s">
        <v>223</v>
      </c>
      <c r="N4" s="107" t="s">
        <v>4887</v>
      </c>
      <c r="O4" s="106">
        <f>SUMIF('Project List'!$Q$56:$Q$523,"Bangor 1101",'Project List'!$I$56:$I$523)</f>
        <v>0.85</v>
      </c>
    </row>
    <row r="5" spans="2:15" ht="15.75" thickBot="1" x14ac:dyDescent="0.3">
      <c r="B5" s="105" t="s">
        <v>5521</v>
      </c>
      <c r="C5" s="107">
        <f>SUMIF('Project List'!$C$56:$C$517,"1",'Project List'!$I$56:$I$517)</f>
        <v>0</v>
      </c>
      <c r="D5" s="109">
        <f>COUNTIF('Project List'!$C$56:$C$517,"1")</f>
        <v>0</v>
      </c>
      <c r="M5" s="106" t="s">
        <v>323</v>
      </c>
      <c r="N5" s="106" t="s">
        <v>5014</v>
      </c>
      <c r="O5" s="106">
        <f>SUMIF('Project List'!$Q$56:$Q$523,"Big Basin 1101",'Project List'!$I$56:$I$523)</f>
        <v>1.4732954545454546</v>
      </c>
    </row>
    <row r="6" spans="2:15" ht="15.75" thickBot="1" x14ac:dyDescent="0.3">
      <c r="B6" s="101" t="s">
        <v>5523</v>
      </c>
      <c r="C6" s="106">
        <f>SUMIF('Project List'!$C$56:$C$517,"2",'Project List'!$I$56:$I$517)</f>
        <v>11.93</v>
      </c>
      <c r="D6" s="108">
        <f>COUNTIF('Project List'!$C$56:$C$517,"2")</f>
        <v>2</v>
      </c>
      <c r="M6" s="107" t="s">
        <v>354</v>
      </c>
      <c r="N6" s="107" t="s">
        <v>5210</v>
      </c>
      <c r="O6" s="106">
        <f>SUMIF('Project List'!$Q$56:$Q$523,"Big Bend 1102",'Project List'!$I$56:$I$523)</f>
        <v>9.1599999999999984</v>
      </c>
    </row>
    <row r="7" spans="2:15" ht="15.75" thickBot="1" x14ac:dyDescent="0.3">
      <c r="B7" s="105" t="s">
        <v>5522</v>
      </c>
      <c r="C7" s="107">
        <f>SUMIF('Project List'!$C$56:$C$517,"3",'Project List'!$I$56:$I$517)</f>
        <v>0</v>
      </c>
      <c r="D7" s="109">
        <f>COUNTIF('Project List'!$C$56:$C$517,"3")</f>
        <v>0</v>
      </c>
      <c r="M7" s="106" t="s">
        <v>433</v>
      </c>
      <c r="N7" s="106" t="s">
        <v>4887</v>
      </c>
      <c r="O7" s="106">
        <f>SUMIF('Project List'!$Q$56:$Q$523,"Brunswick 1103",'Project List'!$I$56:$I$523)</f>
        <v>9.1785227272727266</v>
      </c>
    </row>
    <row r="8" spans="2:15" ht="15.75" thickBot="1" x14ac:dyDescent="0.3">
      <c r="B8" s="101" t="s">
        <v>5524</v>
      </c>
      <c r="C8" s="106">
        <f>SUMIF('Project List'!$C$56:$C$517,"4",'Project List'!$I$56:$I$517)</f>
        <v>0</v>
      </c>
      <c r="D8" s="108">
        <f>COUNTIF('Project List'!$C$56:$C$517,"4")</f>
        <v>0</v>
      </c>
      <c r="M8" s="107" t="s">
        <v>488</v>
      </c>
      <c r="N8" s="107" t="s">
        <v>4887</v>
      </c>
      <c r="O8" s="106">
        <f>SUMIF('Project List'!$Q$56:$Q$523,"Brunswick 1110",'Project List'!$I$56:$I$523)</f>
        <v>5.587121212121212E-2</v>
      </c>
    </row>
    <row r="9" spans="2:15" ht="15.75" thickBot="1" x14ac:dyDescent="0.3">
      <c r="B9" s="105" t="s">
        <v>5525</v>
      </c>
      <c r="C9" s="107">
        <f>SUMIF('Project List'!$C$56:$C$517,"5",'Project List'!$I$56:$I$517)</f>
        <v>0.95</v>
      </c>
      <c r="D9" s="109">
        <f>COUNTIF('Project List'!$C$56:$C$517,"5")</f>
        <v>1</v>
      </c>
      <c r="M9" s="106" t="s">
        <v>498</v>
      </c>
      <c r="N9" s="106" t="s">
        <v>5210</v>
      </c>
      <c r="O9" s="106">
        <f>SUMIF('Project List'!$Q$56:$Q$523,"Bucks Creek 1101",'Project List'!$I$56:$I$523)</f>
        <v>5.4104166666666664</v>
      </c>
    </row>
    <row r="10" spans="2:15" ht="15.75" thickBot="1" x14ac:dyDescent="0.3">
      <c r="B10" s="101" t="s">
        <v>5557</v>
      </c>
      <c r="C10" s="106">
        <f>SUMIF('Project List'!$C$56:$C$517,"6",'Project List'!$I$56:$I$517)</f>
        <v>0</v>
      </c>
      <c r="D10" s="108">
        <f>COUNTIF('Project List'!$C$56:$C$517,"6")</f>
        <v>0</v>
      </c>
      <c r="F10" s="226" t="s">
        <v>5536</v>
      </c>
      <c r="G10" s="227"/>
      <c r="H10" s="227"/>
      <c r="I10" s="228"/>
      <c r="M10" s="106" t="s">
        <v>579</v>
      </c>
      <c r="N10" s="106" t="s">
        <v>4881</v>
      </c>
      <c r="O10" s="106">
        <f>SUMIF('Project List'!$Q$56:$Q$523,"Calistoga 1102",'Project List'!$I$56:$I$523)</f>
        <v>0.18</v>
      </c>
    </row>
    <row r="11" spans="2:15" ht="15.75" thickBot="1" x14ac:dyDescent="0.3">
      <c r="B11" s="105" t="s">
        <v>5558</v>
      </c>
      <c r="C11" s="107">
        <f>SUMIF('Project List'!$C$56:$C$517,"7",'Project List'!$I$56:$I$517)</f>
        <v>9.6634090909090915</v>
      </c>
      <c r="D11" s="109">
        <f>COUNTIF('Project List'!$C$56:$C$517,"7")</f>
        <v>5</v>
      </c>
      <c r="F11" s="114" t="s">
        <v>5539</v>
      </c>
      <c r="G11" s="114" t="s">
        <v>5538</v>
      </c>
      <c r="H11" s="114" t="s">
        <v>5537</v>
      </c>
      <c r="I11" s="114" t="s">
        <v>4844</v>
      </c>
      <c r="M11" s="107" t="s">
        <v>667</v>
      </c>
      <c r="N11" s="107" t="s">
        <v>5014</v>
      </c>
      <c r="O11" s="106">
        <f>SUMIF('Project List'!$Q$56:$Q$523,"Camp Evers 2106",'Project List'!$I$56:$I$523)</f>
        <v>1.0392045454545455</v>
      </c>
    </row>
    <row r="12" spans="2:15" s="59" customFormat="1" ht="15.75" thickBot="1" x14ac:dyDescent="0.3">
      <c r="B12" s="101" t="s">
        <v>5640</v>
      </c>
      <c r="C12" s="106">
        <f>SUMIF('Project List'!$C$56:$C$517,"8",'Project List'!$I$56:$I$517)</f>
        <v>41.02</v>
      </c>
      <c r="D12" s="108">
        <f>COUNTIF('Project List'!$C$56:$C$517,"8")</f>
        <v>4</v>
      </c>
      <c r="F12" s="106">
        <f>(SUMIF('Project List'!$C$56:$C$517,"8",'Project List'!$AL$56:$AL$517))/5280</f>
        <v>18.059999999999999</v>
      </c>
      <c r="G12" s="106">
        <f>(SUMIF('Project List'!$C$56:$C$517,"8",'Project List'!$AM$56:$AM$517))/5280</f>
        <v>14.97</v>
      </c>
      <c r="H12" s="106">
        <f>(SUMIF('Project List'!$C$56:$C$517,"8",'Project List'!$AN$56:$AN$517))/5280</f>
        <v>7.9899999999999993</v>
      </c>
      <c r="I12" s="106">
        <f>(SUMIF('Project List'!$C$56:$C$517,"8",'Project List'!$AO$56:$AO$517))/5280</f>
        <v>0</v>
      </c>
      <c r="M12" s="106" t="s">
        <v>846</v>
      </c>
      <c r="N12" s="106" t="s">
        <v>4909</v>
      </c>
      <c r="O12" s="106">
        <f>SUMIF('Project List'!$Q$56:$Q$523,"Clayton 2212",'Project List'!$I$56:$I$523)</f>
        <v>2.8185606060606059</v>
      </c>
    </row>
    <row r="13" spans="2:15" s="59" customFormat="1" ht="15.75" thickBot="1" x14ac:dyDescent="0.3">
      <c r="B13" s="105" t="s">
        <v>5641</v>
      </c>
      <c r="C13" s="107">
        <f>SUMIF('Project List'!$C$56:$C$517,"9",'Project List'!$I$56:$I$517)</f>
        <v>90.046931818181818</v>
      </c>
      <c r="D13" s="109">
        <f>COUNTIF('Project List'!$C$56:$C$517,"9")</f>
        <v>63</v>
      </c>
      <c r="F13" s="107">
        <f>(SUMIF('Project List'!$C$56:$C$517,"9",'Project List'!$AL$56:$AL$517))/5280</f>
        <v>71.575757575757564</v>
      </c>
      <c r="G13" s="107">
        <f>(SUMIF('Project List'!$C$56:$C$517,"9",'Project List'!$AM$56:$AM$517))/5280</f>
        <v>14.784242424242425</v>
      </c>
      <c r="H13" s="107">
        <f>(SUMIF('Project List'!$C$56:$C$517,"9",'Project List'!$AN$56:$AN$517))/5280</f>
        <v>3.6869318181818183</v>
      </c>
      <c r="I13" s="107">
        <f>(SUMIF('Project List'!$C$56:$C$517,"9",'Project List'!$AO$56:$AO$517))/5280</f>
        <v>0</v>
      </c>
      <c r="M13" s="107" t="s">
        <v>918</v>
      </c>
      <c r="N13" s="107" t="s">
        <v>4944</v>
      </c>
      <c r="O13" s="106">
        <f>SUMIF('Project List'!$Q$56:$Q$523,"Coarsegold 2104",'Project List'!$I$56:$I$523)</f>
        <v>8.2815151515151513</v>
      </c>
    </row>
    <row r="14" spans="2:15" ht="15.75" thickBot="1" x14ac:dyDescent="0.3">
      <c r="B14" s="101" t="s">
        <v>5526</v>
      </c>
      <c r="C14" s="106">
        <f>SUMIF('Project List'!$C$56:$C$517,"10",'Project List'!$I$56:$I$517)</f>
        <v>25.95</v>
      </c>
      <c r="D14" s="108">
        <f>COUNTIF('Project List'!$C$56:$C$517,"10")</f>
        <v>28</v>
      </c>
      <c r="F14" s="106">
        <f>(SUMIF('Project List'!$C$56:$C$517,"10",'Project List'!$AL$56:$AL$517))/5280</f>
        <v>21.35</v>
      </c>
      <c r="G14" s="106">
        <f>(SUMIF('Project List'!$C$56:$C$517,"10",'Project List'!$AM$56:$AM$517))/5280</f>
        <v>4.6000000000000005</v>
      </c>
      <c r="H14" s="106">
        <f>(SUMIF('Project List'!$C$56:$C$517,"10",'Project List'!$AN$56:$AN$517))/5280</f>
        <v>0</v>
      </c>
      <c r="I14" s="106">
        <f>(SUMIF('Project List'!$C$56:$C$517,"10",'Project List'!$AO$56:$AO$517))/5280</f>
        <v>0</v>
      </c>
      <c r="M14" s="106" t="s">
        <v>932</v>
      </c>
      <c r="N14" s="106" t="s">
        <v>4887</v>
      </c>
      <c r="O14" s="106">
        <f>SUMIF('Project List'!$Q$56:$Q$523,"Columbia Hill 1101",'Project List'!$I$56:$I$523)</f>
        <v>5.6499999999999995</v>
      </c>
    </row>
    <row r="15" spans="2:15" ht="15.75" thickBot="1" x14ac:dyDescent="0.3">
      <c r="B15" s="105" t="s">
        <v>6374</v>
      </c>
      <c r="C15" s="107">
        <f>SUMIF('Project List'!$C$56:$C$517,"11",'Project List'!$I$56:$I$517)</f>
        <v>14.640037878787879</v>
      </c>
      <c r="D15" s="109">
        <f>COUNTIF('Project List'!$C$56:$C$517,"11")</f>
        <v>7</v>
      </c>
      <c r="F15" s="107">
        <f>(SUMIF('Project List'!$C$56:$C$517,"11",'Project List'!$AL$56:$AL$517))/5280</f>
        <v>17.569962121212122</v>
      </c>
      <c r="G15" s="107">
        <f>(SUMIF('Project List'!$C$56:$C$517,"11",'Project List'!$AM$56:$AM$517))/5280</f>
        <v>0</v>
      </c>
      <c r="H15" s="107">
        <f>(SUMIF('Project List'!$C$56:$C$517,"11",'Project List'!$AN$56:$AN$517))/5280</f>
        <v>0</v>
      </c>
      <c r="I15" s="107">
        <f>(SUMIF('Project List'!$C$56:$C$517,"11",'Project List'!$AO$56:$AO$517))/5280</f>
        <v>0</v>
      </c>
      <c r="M15" s="107" t="s">
        <v>1045</v>
      </c>
      <c r="N15" s="107" t="s">
        <v>5210</v>
      </c>
      <c r="O15" s="106">
        <f>SUMIF('Project List'!$Q$56:$Q$523,"Cresta 1101",'Project List'!$I$56:$I$523)</f>
        <v>0</v>
      </c>
    </row>
    <row r="16" spans="2:15" ht="15.75" thickBot="1" x14ac:dyDescent="0.3">
      <c r="B16" s="101" t="s">
        <v>6373</v>
      </c>
      <c r="C16" s="106">
        <f>SUMIF('Project List'!$C$56:$C$517,"12",'Project List'!$I$56:$I$517)</f>
        <v>0</v>
      </c>
      <c r="D16" s="108">
        <f>COUNTIF('Project List'!$C$56:$C$517,"12")</f>
        <v>0</v>
      </c>
      <c r="F16" s="106">
        <f>(SUMIF('Project List'!$C$56:$C$517,"12",'Project List'!$AL$56:$AL$517))/5280</f>
        <v>0</v>
      </c>
      <c r="G16" s="106">
        <f>(SUMIF('Project List'!$C$56:$C$517,"12",'Project List'!$AM$56:$AM$517))/5280</f>
        <v>0</v>
      </c>
      <c r="H16" s="106">
        <f>(SUMIF('Project List'!$C$56:$C$517,"12",'Project List'!$AN$56:$AN$517))/5280</f>
        <v>0</v>
      </c>
      <c r="I16" s="106">
        <f>(SUMIF('Project List'!$C$56:$C$517,"12",'Project List'!$AO$56:$AO$517))/5280</f>
        <v>0</v>
      </c>
      <c r="M16" s="106" t="s">
        <v>1126</v>
      </c>
      <c r="N16" s="106" t="s">
        <v>5210</v>
      </c>
      <c r="O16" s="106">
        <f>SUMIF('Project List'!$Q$56:$Q$523,"Deschutes 1104",'Project List'!$I$56:$I$523)</f>
        <v>14.640037878787879</v>
      </c>
    </row>
    <row r="17" spans="2:15" ht="15.75" thickBot="1" x14ac:dyDescent="0.3">
      <c r="B17" s="105" t="s">
        <v>5527</v>
      </c>
      <c r="C17" s="107">
        <f>SUMIF('Project List'!$C$56:$C$517,"13",'Project List'!$I$56:$I$517)</f>
        <v>142.52625000000003</v>
      </c>
      <c r="D17" s="109">
        <f>COUNTIF('Project List'!$C$56:$C$517,"13")</f>
        <v>119</v>
      </c>
      <c r="F17" s="107">
        <f>(SUMIF('Project List'!$C$56:$C$517,"13",'Project List'!$AL$56:$AL$517))/5280</f>
        <v>61.060378787878783</v>
      </c>
      <c r="G17" s="107">
        <f>(SUMIF('Project List'!$C$56:$C$517,"13",'Project List'!$AM$56:$AM$517))/5280</f>
        <v>72.057765151515142</v>
      </c>
      <c r="H17" s="107">
        <f>(SUMIF('Project List'!$C$56:$C$517,"13",'Project List'!$AN$56:$AN$517))/5280</f>
        <v>7.1780681818181815</v>
      </c>
      <c r="I17" s="107">
        <f>(SUMIF('Project List'!$C$56:$C$517,"13",'Project List'!$AO$56:$AO$517))/5280</f>
        <v>2.010037878787879</v>
      </c>
      <c r="M17" s="106" t="s">
        <v>1144</v>
      </c>
      <c r="N17" s="106" t="s">
        <v>4887</v>
      </c>
      <c r="O17" s="106">
        <f>SUMIF('Project List'!$Q$56:$Q$523,"Diamond Springs 1105",'Project List'!$I$56:$I$523)</f>
        <v>1.633901515151515</v>
      </c>
    </row>
    <row r="18" spans="2:15" ht="15.75" thickBot="1" x14ac:dyDescent="0.3">
      <c r="B18" s="101" t="s">
        <v>5528</v>
      </c>
      <c r="C18" s="106">
        <f>SUMIF('Project List'!$C$56:$C$517,"14",'Project List'!$I$56:$I$517)</f>
        <v>91.386621212121213</v>
      </c>
      <c r="D18" s="108">
        <f>COUNTIF('Project List'!$C$56:$C$517,"14")</f>
        <v>51</v>
      </c>
      <c r="F18" s="106">
        <f>(SUMIF('Project List'!$C$56:$C$517,"14",'Project List'!$AL$56:$AL$517))/5280</f>
        <v>67.012424242424231</v>
      </c>
      <c r="G18" s="106">
        <f>(SUMIF('Project List'!$C$56:$C$517,"14",'Project List'!$AM$56:$AM$517))/5280</f>
        <v>24.374583333333334</v>
      </c>
      <c r="H18" s="106">
        <f>(SUMIF('Project List'!$C$56:$C$517,"14",'Project List'!$AN$56:$AN$517))/5280</f>
        <v>0.61496212121212124</v>
      </c>
      <c r="I18" s="106">
        <f>(SUMIF('Project List'!$C$56:$C$517,"14",'Project List'!$AO$56:$AO$517))/5280</f>
        <v>0</v>
      </c>
      <c r="M18" s="107" t="s">
        <v>1163</v>
      </c>
      <c r="N18" s="107" t="s">
        <v>4887</v>
      </c>
      <c r="O18" s="106">
        <f>SUMIF('Project List'!$Q$56:$Q$523,"Diamond Springs 1107",'Project List'!$I$56:$I$523)</f>
        <v>8.4649621212121211</v>
      </c>
    </row>
    <row r="19" spans="2:15" s="59" customFormat="1" ht="15.75" thickBot="1" x14ac:dyDescent="0.3">
      <c r="B19" s="105" t="s">
        <v>5529</v>
      </c>
      <c r="C19" s="107">
        <f>SUMIF('Project List'!$C$56:$C$517,"15",'Project List'!$I$56:$I$517)</f>
        <v>1.4799242424242425</v>
      </c>
      <c r="D19" s="109">
        <f>COUNTIF('Project List'!$C$56:$C$517,"15")</f>
        <v>1</v>
      </c>
      <c r="F19" s="107">
        <f>(SUMIF('Project List'!$C$56:$C$517,"15",'Project List'!$AL$56:$AL$517))/5280</f>
        <v>1.4799242424242425</v>
      </c>
      <c r="G19" s="107">
        <f>(SUMIF('Project List'!$C$56:$C$517,"15",'Project List'!$AM$56:$AM$517))/5280</f>
        <v>0</v>
      </c>
      <c r="H19" s="107">
        <f>(SUMIF('Project List'!$C$56:$C$517,"15",'Project List'!$AN$56:$AN$517))/5280</f>
        <v>0</v>
      </c>
      <c r="I19" s="107">
        <f>(SUMIF('Project List'!$C$56:$C$517,"15",'Project List'!$AO$56:$AO$517))/5280</f>
        <v>0</v>
      </c>
      <c r="M19" s="106" t="s">
        <v>1190</v>
      </c>
      <c r="N19" s="106" t="s">
        <v>4925</v>
      </c>
      <c r="O19" s="106">
        <f>SUMIF('Project List'!$Q$56:$Q$523,"Dunbar 1101",'Project List'!$I$56:$I$523)</f>
        <v>2.0113636363636362</v>
      </c>
    </row>
    <row r="20" spans="2:15" ht="15.75" thickBot="1" x14ac:dyDescent="0.3">
      <c r="B20" s="101" t="s">
        <v>5535</v>
      </c>
      <c r="C20" s="106">
        <f>SUMIF('Project List'!$C$56:$C$517,"16",'Project List'!$I$56:$I$517)</f>
        <v>0</v>
      </c>
      <c r="D20" s="108">
        <f>COUNTIF('Project List'!$C$56:$C$517,"16")</f>
        <v>0</v>
      </c>
      <c r="F20" s="106">
        <f>(SUMIF('Project List'!$C$56:$C$517,"16",'Project List'!$AL$56:$AL$517))/5280</f>
        <v>0</v>
      </c>
      <c r="G20" s="106">
        <f>(SUMIF('Project List'!$C$56:$C$517,"16",'Project List'!$AM$56:$AM$517))/5280</f>
        <v>0</v>
      </c>
      <c r="H20" s="106">
        <f>(SUMIF('Project List'!$C$56:$C$517,"16",'Project List'!$AN$56:$AN$517))/5280</f>
        <v>0</v>
      </c>
      <c r="I20" s="106">
        <f>(SUMIF('Project List'!$C$56:$C$517,"16",'Project List'!$AO$56:$AO$517))/5280</f>
        <v>0</v>
      </c>
      <c r="M20" s="107" t="s">
        <v>1218</v>
      </c>
      <c r="N20" s="107" t="s">
        <v>5477</v>
      </c>
      <c r="O20" s="106">
        <f>SUMIF('Project List'!$Q$56:$Q$523,"Dunlap 1102",'Project List'!$I$56:$I$523)</f>
        <v>2.6</v>
      </c>
    </row>
    <row r="21" spans="2:15" ht="15.75" thickBot="1" x14ac:dyDescent="0.3">
      <c r="B21" s="105" t="s">
        <v>5530</v>
      </c>
      <c r="C21" s="107">
        <f>SUMIF('Project List'!$C$56:$C$517,"17",'Project List'!$I$56:$I$517)</f>
        <v>1.1099999999999999</v>
      </c>
      <c r="D21" s="109">
        <f>COUNTIF('Project List'!$C$56:$C$517,"17")</f>
        <v>2</v>
      </c>
      <c r="F21" s="107">
        <f>(SUMIF('Project List'!$C$56:$C$517,"17",'Project List'!$AL$56:$AL$517))/5280</f>
        <v>1.1099999999999999</v>
      </c>
      <c r="G21" s="107">
        <f>(SUMIF('Project List'!$C$56:$C$517,"17",'Project List'!$AM$56:$AM$517))/5280</f>
        <v>0</v>
      </c>
      <c r="H21" s="107">
        <f>(SUMIF('Project List'!$C$56:$C$517,"17",'Project List'!$AN$56:$AN$517))/5280</f>
        <v>0</v>
      </c>
      <c r="I21" s="107">
        <f>(SUMIF('Project List'!$C$56:$C$517,"17",'Project List'!$AO$56:$AO$517))/5280</f>
        <v>0</v>
      </c>
      <c r="M21" s="106" t="s">
        <v>1356</v>
      </c>
      <c r="N21" s="106" t="s">
        <v>5210</v>
      </c>
      <c r="O21" s="106">
        <f>SUMIF('Project List'!$Q$56:$Q$523,"Elk Creek 1101",'Project List'!$I$56:$I$523)</f>
        <v>7.9</v>
      </c>
    </row>
    <row r="22" spans="2:15" ht="15.75" thickBot="1" x14ac:dyDescent="0.3">
      <c r="B22" s="101" t="s">
        <v>5531</v>
      </c>
      <c r="C22" s="106">
        <f>SUMIF('Project List'!$C$56:$C$517,"18",'Project List'!$I$56:$I$517)</f>
        <v>8.9008333333333347</v>
      </c>
      <c r="D22" s="108">
        <f>COUNTIF('Project List'!$C$56:$C$517,"18")</f>
        <v>9</v>
      </c>
      <c r="F22" s="106">
        <f>(SUMIF('Project List'!$C$56:$C$517,"18",'Project List'!$AL$56:$AL$517))/5280</f>
        <v>6.7267045454545453</v>
      </c>
      <c r="G22" s="106">
        <f>(SUMIF('Project List'!$C$56:$C$517,"18",'Project List'!$AM$56:$AM$517))/5280</f>
        <v>3.7103030303030304</v>
      </c>
      <c r="H22" s="106">
        <f>(SUMIF('Project List'!$C$56:$C$517,"18",'Project List'!$AN$56:$AN$517))/5280</f>
        <v>0.84356060606060601</v>
      </c>
      <c r="I22" s="106">
        <f>(SUMIF('Project List'!$C$56:$C$517,"18",'Project List'!$AO$56:$AO$517))/5280</f>
        <v>0</v>
      </c>
      <c r="M22" s="107" t="s">
        <v>1398</v>
      </c>
      <c r="N22" s="107" t="s">
        <v>4925</v>
      </c>
      <c r="O22" s="106">
        <f>SUMIF('Project List'!$Q$56:$Q$523,"Fitch Mountain 1113",'Project List'!$I$56:$I$523)</f>
        <v>8.5158333333333331</v>
      </c>
    </row>
    <row r="23" spans="2:15" ht="15.75" thickBot="1" x14ac:dyDescent="0.3">
      <c r="B23" s="105" t="s">
        <v>5532</v>
      </c>
      <c r="C23" s="107">
        <f>SUMIF('Project List'!$C$56:$C$517,"19",'Project List'!$I$56:$I$517)</f>
        <v>18.331856060606057</v>
      </c>
      <c r="D23" s="109">
        <f>COUNTIF('Project List'!$C$56:$C$517,"19")</f>
        <v>25</v>
      </c>
      <c r="F23" s="107">
        <f>(SUMIF('Project List'!$C$56:$C$517,"19",'Project List'!$AL$56:$AL$517))/5280</f>
        <v>6.9384469696969697</v>
      </c>
      <c r="G23" s="107">
        <f>(SUMIF('Project List'!$C$56:$C$517,"19",'Project List'!$AM$56:$AM$517))/5280</f>
        <v>11.389999999999999</v>
      </c>
      <c r="H23" s="107">
        <f>(SUMIF('Project List'!$C$56:$C$517,"19",'Project List'!$AN$56:$AN$517))/5280</f>
        <v>0</v>
      </c>
      <c r="I23" s="107">
        <f>(SUMIF('Project List'!$C$56:$C$517,"19",'Project List'!$AO$56:$AO$517))/5280</f>
        <v>0</v>
      </c>
      <c r="M23" s="106" t="s">
        <v>1512</v>
      </c>
      <c r="N23" s="106" t="s">
        <v>4938</v>
      </c>
      <c r="O23" s="106">
        <f>SUMIF('Project List'!$Q$56:$Q$523,"Frogtown 1701",'Project List'!$I$56:$I$523)</f>
        <v>0.59</v>
      </c>
    </row>
    <row r="24" spans="2:15" ht="15.75" thickBot="1" x14ac:dyDescent="0.3">
      <c r="B24" s="101" t="s">
        <v>5534</v>
      </c>
      <c r="C24" s="106">
        <f>SUMIF('Project List'!$C$56:$C$517,"20",'Project List'!$I$56:$I$517)</f>
        <v>45.827651515151508</v>
      </c>
      <c r="D24" s="108">
        <f>COUNTIF('Project List'!$C$56:$C$517,"20")</f>
        <v>29</v>
      </c>
      <c r="F24" s="106">
        <f>(SUMIF('Project List'!$C$56:$C$517,"20",'Project List'!$AL$56:$AL$517))/5280</f>
        <v>50.422083333333326</v>
      </c>
      <c r="G24" s="106">
        <f>(SUMIF('Project List'!$C$56:$C$517,"20",'Project List'!$AM$56:$AM$517))/5280</f>
        <v>0.44829545454545455</v>
      </c>
      <c r="H24" s="106">
        <f>(SUMIF('Project List'!$C$56:$C$517,"20",'Project List'!$AN$56:$AN$517))/5280</f>
        <v>0</v>
      </c>
      <c r="I24" s="106">
        <f>(SUMIF('Project List'!$C$56:$C$517,"20",'Project List'!$AO$56:$AO$517))/5280</f>
        <v>0</v>
      </c>
      <c r="M24" s="106" t="s">
        <v>1519</v>
      </c>
      <c r="N24" s="106" t="s">
        <v>4938</v>
      </c>
      <c r="O24" s="106">
        <f>SUMIF('Project List'!$Q$56:$Q$523,"Frogtown 1702",'Project List'!$I$56:$I$523)</f>
        <v>1.2738636363636364</v>
      </c>
    </row>
    <row r="25" spans="2:15" ht="15.75" thickBot="1" x14ac:dyDescent="0.3">
      <c r="C25" s="110">
        <f>SUM(C4:C24)</f>
        <v>535.56351515151528</v>
      </c>
      <c r="D25" s="111">
        <f>SUM(D4:D24)</f>
        <v>347</v>
      </c>
      <c r="F25" s="110">
        <f>SUM(F12:F24)</f>
        <v>323.30568181818182</v>
      </c>
      <c r="G25" s="110">
        <f t="shared" ref="G25:I25" si="0">SUM(G12:G24)</f>
        <v>146.33518939393937</v>
      </c>
      <c r="H25" s="110">
        <f t="shared" si="0"/>
        <v>20.313522727272723</v>
      </c>
      <c r="I25" s="110">
        <f t="shared" si="0"/>
        <v>2.010037878787879</v>
      </c>
      <c r="M25" s="107" t="s">
        <v>1571</v>
      </c>
      <c r="N25" s="107" t="s">
        <v>4925</v>
      </c>
      <c r="O25" s="106">
        <f>SUMIF('Project List'!$Q$56:$Q$523,"Fulton 1107",'Project List'!$I$56:$I$523)</f>
        <v>4.0149621212121218</v>
      </c>
    </row>
    <row r="26" spans="2:15" ht="15.75" thickBot="1" x14ac:dyDescent="0.3">
      <c r="M26" s="106" t="s">
        <v>1743</v>
      </c>
      <c r="N26" s="106" t="s">
        <v>5125</v>
      </c>
      <c r="O26" s="106">
        <f>SUMIF('Project List'!$Q$56:$Q$523,"Half Moon Bay 1103",'Project List'!$I$56:$I$523)</f>
        <v>6.37</v>
      </c>
    </row>
    <row r="27" spans="2:15" ht="15.75" thickBot="1" x14ac:dyDescent="0.3">
      <c r="M27" s="107" t="s">
        <v>1885</v>
      </c>
      <c r="N27" s="107" t="s">
        <v>4874</v>
      </c>
      <c r="O27" s="106">
        <f>SUMIF('Project List'!$Q$56:$Q$523,"Highlands 1102",'Project List'!$I$56:$I$523)</f>
        <v>17.3</v>
      </c>
    </row>
    <row r="28" spans="2:15" ht="15.75" thickBot="1" x14ac:dyDescent="0.3">
      <c r="M28" s="106" t="s">
        <v>2051</v>
      </c>
      <c r="N28" s="106" t="s">
        <v>5210</v>
      </c>
      <c r="O28" s="106">
        <f>SUMIF('Project List'!$Q$56:$Q$523,"Keswick 1101",'Project List'!$I$56:$I$523)</f>
        <v>9.1077651515151512</v>
      </c>
    </row>
    <row r="29" spans="2:15" ht="15.75" thickBot="1" x14ac:dyDescent="0.3">
      <c r="M29" s="107" t="s">
        <v>2060</v>
      </c>
      <c r="N29" s="107" t="s">
        <v>4909</v>
      </c>
      <c r="O29" s="106">
        <f>SUMIF('Project List'!$Q$56:$Q$523,"Kirker 2104",'Project List'!$I$56:$I$523)</f>
        <v>5.4399999999999995</v>
      </c>
    </row>
    <row r="30" spans="2:15" ht="15.75" thickBot="1" x14ac:dyDescent="0.3">
      <c r="M30" s="106" t="s">
        <v>2063</v>
      </c>
      <c r="N30" s="106" t="s">
        <v>4874</v>
      </c>
      <c r="O30" s="106">
        <f>SUMIF('Project List'!$Q$56:$Q$523,"Konocti 1102",'Project List'!$I$56:$I$523)</f>
        <v>3.5960151515151519</v>
      </c>
    </row>
    <row r="31" spans="2:15" ht="15.75" thickBot="1" x14ac:dyDescent="0.3">
      <c r="M31" s="106" t="s">
        <v>2116</v>
      </c>
      <c r="N31" s="106" t="s">
        <v>4881</v>
      </c>
      <c r="O31" s="106">
        <f>SUMIF('Project List'!$Q$56:$Q$523,"Las Gallinas A 1105",'Project List'!$I$56:$I$523)</f>
        <v>2.7962121212121209</v>
      </c>
    </row>
    <row r="32" spans="2:15" ht="15.75" thickBot="1" x14ac:dyDescent="0.3">
      <c r="M32" s="107" t="s">
        <v>2224</v>
      </c>
      <c r="N32" s="107" t="s">
        <v>5091</v>
      </c>
      <c r="O32" s="106">
        <f>SUMIF('Project List'!$Q$56:$Q$523,"Los Gatos 1106",'Project List'!$I$56:$I$523)</f>
        <v>0.84905303030303025</v>
      </c>
    </row>
    <row r="33" spans="13:15" ht="15.75" thickBot="1" x14ac:dyDescent="0.3">
      <c r="M33" s="106" t="s">
        <v>2304</v>
      </c>
      <c r="N33" s="106" t="s">
        <v>4944</v>
      </c>
      <c r="O33" s="106">
        <f>SUMIF('Project List'!$Q$56:$Q$523,"Mariposa 2101",'Project List'!$I$56:$I$523)</f>
        <v>5.5536363636363646</v>
      </c>
    </row>
    <row r="34" spans="13:15" ht="15.75" thickBot="1" x14ac:dyDescent="0.3">
      <c r="M34" s="107" t="s">
        <v>2319</v>
      </c>
      <c r="N34" s="107" t="s">
        <v>4944</v>
      </c>
      <c r="O34" s="106">
        <f>SUMIF('Project List'!$Q$56:$Q$523,"Mariposa 2102",'Project List'!$I$56:$I$523)</f>
        <v>14.508333333333333</v>
      </c>
    </row>
    <row r="35" spans="13:15" s="159" customFormat="1" ht="15.75" thickBot="1" x14ac:dyDescent="0.3">
      <c r="M35" s="107" t="s">
        <v>2330</v>
      </c>
      <c r="N35" s="107"/>
      <c r="O35" s="106">
        <f>SUMIF('Project List'!$Q$56:$Q$523,"Martell 1101",'Project List'!$I$56:$I$523)</f>
        <v>0.87000000000000011</v>
      </c>
    </row>
    <row r="36" spans="13:15" ht="15.75" thickBot="1" x14ac:dyDescent="0.3">
      <c r="M36" s="106" t="s">
        <v>2411</v>
      </c>
      <c r="N36" s="106" t="s">
        <v>4874</v>
      </c>
      <c r="O36" s="106">
        <f>SUMIF('Project List'!$Q$56:$Q$523,"Middletown 1101",'Project List'!$I$56:$I$523)</f>
        <v>46.358295454545427</v>
      </c>
    </row>
    <row r="37" spans="13:15" ht="15.75" thickBot="1" x14ac:dyDescent="0.3">
      <c r="M37" s="107" t="s">
        <v>2425</v>
      </c>
      <c r="N37" s="107" t="s">
        <v>4874</v>
      </c>
      <c r="O37" s="106">
        <f>SUMIF('Project List'!$Q$56:$Q$523,"Middletown 1102",'Project List'!$I$56:$I$523)</f>
        <v>6.8034090909090903</v>
      </c>
    </row>
    <row r="38" spans="13:15" ht="15.75" thickBot="1" x14ac:dyDescent="0.3">
      <c r="M38" s="106" t="s">
        <v>2433</v>
      </c>
      <c r="N38" s="106" t="s">
        <v>4874</v>
      </c>
      <c r="O38" s="106">
        <f>SUMIF('Project List'!$Q$56:$Q$523,"Middletown 1103",'Project List'!$I$56:$I$523)</f>
        <v>23.724507575757578</v>
      </c>
    </row>
    <row r="39" spans="13:15" ht="15.75" thickBot="1" x14ac:dyDescent="0.3">
      <c r="M39" s="106" t="s">
        <v>2475</v>
      </c>
      <c r="N39" s="106" t="s">
        <v>4944</v>
      </c>
      <c r="O39" s="106">
        <f>SUMIF('Project List'!$Q$56:$Q$523,"Miwuk 1701",'Project List'!$I$56:$I$523)</f>
        <v>15.610606060606059</v>
      </c>
    </row>
    <row r="40" spans="13:15" ht="15.75" thickBot="1" x14ac:dyDescent="0.3">
      <c r="M40" s="107" t="s">
        <v>2484</v>
      </c>
      <c r="N40" s="107" t="s">
        <v>4944</v>
      </c>
      <c r="O40" s="106">
        <f>SUMIF('Project List'!$Q$56:$Q$523,"Miwuk 1702",'Project List'!$I$56:$I$523)</f>
        <v>7.4222348484848482</v>
      </c>
    </row>
    <row r="41" spans="13:15" ht="15.75" thickBot="1" x14ac:dyDescent="0.3">
      <c r="M41" s="106" t="s">
        <v>2681</v>
      </c>
      <c r="N41" s="106" t="s">
        <v>4887</v>
      </c>
      <c r="O41" s="106">
        <f>SUMIF('Project List'!$Q$56:$Q$523,"Mountain Quarries 2101",'Project List'!$I$56:$I$523)</f>
        <v>6.3900000000000006</v>
      </c>
    </row>
    <row r="42" spans="13:15" ht="15.75" thickBot="1" x14ac:dyDescent="0.3">
      <c r="M42" s="107" t="s">
        <v>2741</v>
      </c>
      <c r="N42" s="107" t="s">
        <v>5471</v>
      </c>
      <c r="O42" s="106">
        <f>SUMIF('Project List'!$Q$56:$Q$523,"North Dublin 2101",'Project List'!$I$56:$I$523)</f>
        <v>0</v>
      </c>
    </row>
    <row r="43" spans="13:15" ht="15.75" thickBot="1" x14ac:dyDescent="0.3">
      <c r="M43" s="106" t="s">
        <v>2764</v>
      </c>
      <c r="N43" s="106" t="s">
        <v>4944</v>
      </c>
      <c r="O43" s="106">
        <f>SUMIF('Project List'!$Q$56:$Q$523,"Oakhurst 1101",'Project List'!$I$56:$I$523)</f>
        <v>2.6720833333333336</v>
      </c>
    </row>
    <row r="44" spans="13:15" ht="15.75" thickBot="1" x14ac:dyDescent="0.3">
      <c r="M44" s="107" t="s">
        <v>5423</v>
      </c>
      <c r="N44" s="107" t="s">
        <v>4938</v>
      </c>
      <c r="O44" s="106">
        <f>SUMIF('Project List'!$Q$56:$Q$523,"Oleta 1101",'Project List'!$I$56:$I$523)</f>
        <v>2.88</v>
      </c>
    </row>
    <row r="45" spans="13:15" ht="15.75" thickBot="1" x14ac:dyDescent="0.3">
      <c r="M45" s="106" t="s">
        <v>2975</v>
      </c>
      <c r="N45" s="106" t="s">
        <v>5210</v>
      </c>
      <c r="O45" s="106">
        <f>SUMIF('Project List'!$Q$56:$Q$523,"Oregon Trail 1103",'Project List'!$I$56:$I$523)</f>
        <v>62.375568181818174</v>
      </c>
    </row>
    <row r="46" spans="13:15" ht="15.75" thickBot="1" x14ac:dyDescent="0.3">
      <c r="M46" s="106" t="s">
        <v>3301</v>
      </c>
      <c r="N46" s="106" t="s">
        <v>4938</v>
      </c>
      <c r="O46" s="106">
        <f>SUMIF('Project List'!$Q$56:$Q$523,"Pine Grove 1102",'Project List'!$I$56:$I$523)</f>
        <v>4.3155681818181817</v>
      </c>
    </row>
    <row r="47" spans="13:15" ht="15.75" thickBot="1" x14ac:dyDescent="0.3">
      <c r="M47" s="107" t="s">
        <v>3362</v>
      </c>
      <c r="N47" s="107" t="s">
        <v>4887</v>
      </c>
      <c r="O47" s="106">
        <f>SUMIF('Project List'!$Q$56:$Q$523,"Placerville 1112",'Project List'!$I$56:$I$523)</f>
        <v>0.38</v>
      </c>
    </row>
    <row r="48" spans="13:15" ht="15.75" thickBot="1" x14ac:dyDescent="0.3">
      <c r="M48" s="106" t="s">
        <v>3366</v>
      </c>
      <c r="N48" s="106" t="s">
        <v>4887</v>
      </c>
      <c r="O48" s="106">
        <f>SUMIF('Project List'!$Q$56:$Q$523,"Placerville 2106",'Project List'!$I$56:$I$523)</f>
        <v>1.8299999999999998</v>
      </c>
    </row>
    <row r="49" spans="13:15" ht="15.75" thickBot="1" x14ac:dyDescent="0.3">
      <c r="M49" s="107" t="s">
        <v>3411</v>
      </c>
      <c r="N49" s="107" t="s">
        <v>5461</v>
      </c>
      <c r="O49" s="106">
        <f>SUMIF('Project List'!$Q$56:$Q$523,"Poso Mountain 2103",'Project List'!$I$56:$I$523)</f>
        <v>0</v>
      </c>
    </row>
    <row r="50" spans="13:15" ht="15.75" thickBot="1" x14ac:dyDescent="0.3">
      <c r="M50" s="106" t="s">
        <v>3414</v>
      </c>
      <c r="N50" s="106" t="s">
        <v>5461</v>
      </c>
      <c r="O50" s="106">
        <f>SUMIF('Project List'!$Q$56:$Q$523,"Poso Mountain 2104",'Project List'!$I$56:$I$523)</f>
        <v>0</v>
      </c>
    </row>
    <row r="51" spans="13:15" ht="15.75" thickBot="1" x14ac:dyDescent="0.3">
      <c r="M51" s="107" t="s">
        <v>3420</v>
      </c>
      <c r="N51" s="107" t="s">
        <v>4874</v>
      </c>
      <c r="O51" s="106">
        <f>SUMIF('Project List'!$Q$56:$Q$523,"Potter Valley P H 1105",'Project List'!$I$56:$I$523)</f>
        <v>1.8342803030303032</v>
      </c>
    </row>
    <row r="52" spans="13:15" ht="15.75" thickBot="1" x14ac:dyDescent="0.3">
      <c r="M52" s="106" t="s">
        <v>3441</v>
      </c>
      <c r="N52" s="106" t="s">
        <v>4881</v>
      </c>
      <c r="O52" s="106">
        <f>SUMIF('Project List'!$Q$56:$Q$523,"Pueblo 2102",'Project List'!$I$56:$I$523)</f>
        <v>3.3378787878787879</v>
      </c>
    </row>
    <row r="53" spans="13:15" ht="15.75" thickBot="1" x14ac:dyDescent="0.3">
      <c r="M53" s="106" t="s">
        <v>3468</v>
      </c>
      <c r="N53" s="106" t="s">
        <v>5278</v>
      </c>
      <c r="O53" s="106">
        <f>SUMIF('Project List'!$Q$56:$Q$523,"Putah Creek 1102",'Project List'!$I$56:$I$523)</f>
        <v>0.52</v>
      </c>
    </row>
    <row r="54" spans="13:15" ht="15.75" thickBot="1" x14ac:dyDescent="0.3">
      <c r="M54" s="107" t="s">
        <v>3575</v>
      </c>
      <c r="N54" s="107" t="s">
        <v>4925</v>
      </c>
      <c r="O54" s="106">
        <f>SUMIF('Project List'!$Q$56:$Q$523,"Rincon 1103",'Project List'!$I$56:$I$523)</f>
        <v>1.5</v>
      </c>
    </row>
    <row r="55" spans="13:15" ht="15.75" thickBot="1" x14ac:dyDescent="0.3">
      <c r="M55" s="106" t="s">
        <v>3582</v>
      </c>
      <c r="N55" s="106" t="s">
        <v>4925</v>
      </c>
      <c r="O55" s="106">
        <f>SUMIF('Project List'!$Q$56:$Q$523,"Rincon 1104",'Project List'!$I$56:$I$523)</f>
        <v>1.78</v>
      </c>
    </row>
    <row r="56" spans="13:15" ht="15.75" thickBot="1" x14ac:dyDescent="0.3">
      <c r="M56" s="107" t="s">
        <v>4025</v>
      </c>
      <c r="N56" s="107" t="s">
        <v>4887</v>
      </c>
      <c r="O56" s="106">
        <f>SUMIF('Project List'!$Q$56:$Q$523,"Shingle Springs 2109",'Project List'!$I$56:$I$523)</f>
        <v>30.494318181818187</v>
      </c>
    </row>
    <row r="57" spans="13:15" ht="15.75" thickBot="1" x14ac:dyDescent="0.3">
      <c r="M57" s="106" t="s">
        <v>4042</v>
      </c>
      <c r="N57" s="106" t="s">
        <v>4881</v>
      </c>
      <c r="O57" s="106">
        <f>SUMIF('Project List'!$Q$56:$Q$523,"Silverado 2102",'Project List'!$I$56:$I$523)</f>
        <v>3.5445075757575757</v>
      </c>
    </row>
    <row r="58" spans="13:15" ht="15.75" thickBot="1" x14ac:dyDescent="0.3">
      <c r="M58" s="107" t="s">
        <v>4061</v>
      </c>
      <c r="N58" s="107" t="s">
        <v>4881</v>
      </c>
      <c r="O58" s="106">
        <f>SUMIF('Project List'!$Q$56:$Q$523,"Silverado 2104",'Project List'!$I$56:$I$523)</f>
        <v>6.1621212121212121</v>
      </c>
    </row>
    <row r="59" spans="13:15" ht="15.75" thickBot="1" x14ac:dyDescent="0.3">
      <c r="M59" s="106" t="s">
        <v>4071</v>
      </c>
      <c r="N59" s="106" t="s">
        <v>4881</v>
      </c>
      <c r="O59" s="106">
        <f>SUMIF('Project List'!$Q$56:$Q$523,"Silverado 2105",'Project List'!$I$56:$I$523)</f>
        <v>1.2676136363636363</v>
      </c>
    </row>
    <row r="60" spans="13:15" ht="15.75" thickBot="1" x14ac:dyDescent="0.3">
      <c r="M60" s="106" t="s">
        <v>4213</v>
      </c>
      <c r="N60" s="106" t="s">
        <v>4938</v>
      </c>
      <c r="O60" s="106">
        <f>SUMIF('Project List'!$Q$56:$Q$523,"Stanislaus 1702",'Project List'!$I$56:$I$523)</f>
        <v>3.6611742424242424</v>
      </c>
    </row>
    <row r="61" spans="13:15" ht="15.75" thickBot="1" x14ac:dyDescent="0.3">
      <c r="M61" s="107" t="s">
        <v>4394</v>
      </c>
      <c r="N61" s="107" t="s">
        <v>4909</v>
      </c>
      <c r="O61" s="106">
        <f>SUMIF('Project List'!$Q$56:$Q$523,"Tidewater 2106",'Project List'!$I$56:$I$523)</f>
        <v>3.6399999999999997</v>
      </c>
    </row>
    <row r="62" spans="13:15" ht="15.75" thickBot="1" x14ac:dyDescent="0.3">
      <c r="M62" s="106" t="s">
        <v>4420</v>
      </c>
      <c r="N62" s="106" t="s">
        <v>4881</v>
      </c>
      <c r="O62" s="106">
        <f>SUMIF('Project List'!$Q$56:$Q$523,"Tulucay 1101",'Project List'!$I$56:$I$523)</f>
        <v>0</v>
      </c>
    </row>
    <row r="63" spans="13:15" ht="15.75" thickBot="1" x14ac:dyDescent="0.3">
      <c r="M63" s="107" t="s">
        <v>4449</v>
      </c>
      <c r="N63" s="107" t="s">
        <v>5459</v>
      </c>
      <c r="O63" s="106">
        <f>SUMIF('Project List'!$Q$56:$Q$523,"Upper Lake 1101",'Project List'!$I$56:$I$523)</f>
        <v>1.1054545454545455</v>
      </c>
    </row>
    <row r="64" spans="13:15" ht="15.75" thickBot="1" x14ac:dyDescent="0.3">
      <c r="M64" s="106" t="s">
        <v>4458</v>
      </c>
      <c r="N64" s="106" t="s">
        <v>5278</v>
      </c>
      <c r="O64" s="106">
        <f>SUMIF('Project List'!$Q$56:$Q$523,"Vaca Dixon 1101",'Project List'!$I$56:$I$523)</f>
        <v>0.39810606060606063</v>
      </c>
    </row>
    <row r="65" spans="13:15" ht="15.75" thickBot="1" x14ac:dyDescent="0.3">
      <c r="M65" s="107" t="s">
        <v>4461</v>
      </c>
      <c r="N65" s="107" t="s">
        <v>5278</v>
      </c>
      <c r="O65" s="106">
        <f>SUMIF('Project List'!$Q$56:$Q$523,"Vaca Dixon 1105",'Project List'!$I$56:$I$523)</f>
        <v>33.47</v>
      </c>
    </row>
    <row r="66" spans="13:15" ht="15.75" thickBot="1" x14ac:dyDescent="0.3">
      <c r="M66" s="106" t="s">
        <v>4465</v>
      </c>
      <c r="N66" s="106" t="s">
        <v>5278</v>
      </c>
      <c r="O66" s="106">
        <f>SUMIF('Project List'!$Q$56:$Q$523,"Vacaville 1104",'Project List'!$I$56:$I$523)</f>
        <v>14.58</v>
      </c>
    </row>
    <row r="67" spans="13:15" ht="15.75" thickBot="1" x14ac:dyDescent="0.3">
      <c r="M67" s="106" t="s">
        <v>5414</v>
      </c>
      <c r="N67" s="106" t="s">
        <v>5343</v>
      </c>
      <c r="O67" s="106">
        <f>SUMIF('Project List'!$Q$56:$Q$523,"Various",'Project List'!$I$56:$I$523)</f>
        <v>31.8</v>
      </c>
    </row>
    <row r="68" spans="13:15" ht="15.75" thickBot="1" x14ac:dyDescent="0.3">
      <c r="M68" s="107" t="s">
        <v>4559</v>
      </c>
      <c r="N68" s="107" t="s">
        <v>5210</v>
      </c>
      <c r="O68" s="106">
        <f>SUMIF('Project List'!$Q$56:$Q$523,"Volta 1101",'Project List'!$I$56:$I$523)</f>
        <v>3.4609848484848484</v>
      </c>
    </row>
    <row r="69" spans="13:15" ht="15.75" thickBot="1" x14ac:dyDescent="0.3">
      <c r="M69" s="106" t="s">
        <v>4644</v>
      </c>
      <c r="N69" s="106" t="s">
        <v>5210</v>
      </c>
      <c r="O69" s="106">
        <f>SUMIF('Project List'!$Q$56:$Q$523,"Wildwood 1101",'Project List'!$I$56:$I$523)</f>
        <v>8.09</v>
      </c>
    </row>
    <row r="70" spans="13:15" ht="15.75" thickBot="1" x14ac:dyDescent="0.3">
      <c r="M70" s="107" t="s">
        <v>4762</v>
      </c>
      <c r="N70" s="107" t="s">
        <v>5210</v>
      </c>
      <c r="O70" s="106">
        <f>SUMIF('Project List'!$Q$56:$Q$523,"Wyandotte 1103",'Project List'!$I$56:$I$523)</f>
        <v>28.583446969696972</v>
      </c>
    </row>
    <row r="71" spans="13:15" ht="15.75" thickBot="1" x14ac:dyDescent="0.3">
      <c r="M71" s="106" t="s">
        <v>4784</v>
      </c>
      <c r="N71" s="106" t="s">
        <v>5210</v>
      </c>
      <c r="O71" s="106">
        <f>SUMIF('Project List'!$Q$56:$Q$523,"Wyandotte 1109",'Project List'!$I$56:$I$523)</f>
        <v>1.9092803030303029</v>
      </c>
    </row>
    <row r="72" spans="13:15" x14ac:dyDescent="0.25">
      <c r="M72" s="19"/>
      <c r="N72" s="23"/>
    </row>
    <row r="73" spans="13:15" x14ac:dyDescent="0.25">
      <c r="M73" s="19"/>
      <c r="N73" s="23"/>
    </row>
    <row r="74" spans="13:15" x14ac:dyDescent="0.25">
      <c r="M74" s="19"/>
      <c r="N74" s="23"/>
    </row>
    <row r="76" spans="13:15" x14ac:dyDescent="0.25">
      <c r="M76" s="19"/>
      <c r="N76" s="23"/>
    </row>
    <row r="77" spans="13:15" x14ac:dyDescent="0.25">
      <c r="M77" s="19"/>
      <c r="N77" s="23"/>
    </row>
    <row r="78" spans="13:15" x14ac:dyDescent="0.25">
      <c r="M78" s="19"/>
      <c r="N78" s="23"/>
    </row>
    <row r="79" spans="13:15" x14ac:dyDescent="0.25">
      <c r="M79" s="19"/>
      <c r="N79" s="23"/>
    </row>
    <row r="80" spans="13:15" x14ac:dyDescent="0.25">
      <c r="M80" s="19"/>
      <c r="N80" s="23"/>
    </row>
    <row r="81" spans="13:14" x14ac:dyDescent="0.25">
      <c r="M81" s="19"/>
      <c r="N81" s="23"/>
    </row>
    <row r="84" spans="13:14" x14ac:dyDescent="0.25">
      <c r="M84" s="59"/>
    </row>
    <row r="86" spans="13:14" x14ac:dyDescent="0.25">
      <c r="M86" s="19"/>
      <c r="N86" s="23"/>
    </row>
    <row r="88" spans="13:14" x14ac:dyDescent="0.25">
      <c r="M88" s="19"/>
      <c r="N88" s="23"/>
    </row>
    <row r="90" spans="13:14" x14ac:dyDescent="0.25">
      <c r="M90" s="59"/>
    </row>
    <row r="92" spans="13:14" x14ac:dyDescent="0.25">
      <c r="M92" s="19"/>
      <c r="N92" s="23"/>
    </row>
    <row r="94" spans="13:14" x14ac:dyDescent="0.25">
      <c r="M94" s="19"/>
      <c r="N94" s="23"/>
    </row>
    <row r="96" spans="13:14" x14ac:dyDescent="0.25">
      <c r="M96" s="19"/>
      <c r="N96" s="23"/>
    </row>
    <row r="105" spans="13:14" x14ac:dyDescent="0.25">
      <c r="M105" s="19"/>
      <c r="N105" s="23"/>
    </row>
    <row r="106" spans="13:14" x14ac:dyDescent="0.25">
      <c r="M106" s="19"/>
      <c r="N106" s="23"/>
    </row>
    <row r="108" spans="13:14" x14ac:dyDescent="0.25">
      <c r="M108" s="19"/>
      <c r="N108" s="23"/>
    </row>
    <row r="110" spans="13:14" x14ac:dyDescent="0.25">
      <c r="M110" s="19"/>
      <c r="N110" s="23"/>
    </row>
    <row r="111" spans="13:14" x14ac:dyDescent="0.25">
      <c r="M111" s="19"/>
      <c r="N111" s="23"/>
    </row>
    <row r="112" spans="13:14" x14ac:dyDescent="0.25">
      <c r="M112" s="19"/>
      <c r="N112" s="23"/>
    </row>
    <row r="113" spans="13:14" x14ac:dyDescent="0.25">
      <c r="M113" s="19"/>
      <c r="N113" s="23"/>
    </row>
    <row r="121" spans="13:14" x14ac:dyDescent="0.25">
      <c r="M121" s="59"/>
    </row>
    <row r="123" spans="13:14" x14ac:dyDescent="0.25">
      <c r="M123" s="59"/>
    </row>
    <row r="127" spans="13:14" x14ac:dyDescent="0.25">
      <c r="M127" s="59"/>
    </row>
    <row r="129" spans="13:14" x14ac:dyDescent="0.25">
      <c r="M129" s="94"/>
      <c r="N129" s="74"/>
    </row>
    <row r="130" spans="13:14" x14ac:dyDescent="0.25">
      <c r="M130" s="94"/>
      <c r="N130" s="74"/>
    </row>
    <row r="131" spans="13:14" x14ac:dyDescent="0.25">
      <c r="M131" s="94"/>
      <c r="N131" s="74"/>
    </row>
    <row r="133" spans="13:14" x14ac:dyDescent="0.25">
      <c r="M133" s="59"/>
    </row>
  </sheetData>
  <autoFilter ref="M2:O135" xr:uid="{ADDEC1E3-D428-4CE3-847F-1B24B381862B}">
    <sortState xmlns:xlrd2="http://schemas.microsoft.com/office/spreadsheetml/2017/richdata2" ref="M3:O135">
      <sortCondition ref="M2:M135"/>
    </sortState>
  </autoFilter>
  <mergeCells count="2">
    <mergeCell ref="C2:D2"/>
    <mergeCell ref="F10:I10"/>
  </mergeCells>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643"/>
  <sheetViews>
    <sheetView tabSelected="1" zoomScale="80" zoomScaleNormal="80" workbookViewId="0">
      <pane xSplit="8" ySplit="2" topLeftCell="AH380" activePane="bottomRight" state="frozen"/>
      <selection pane="topRight" activeCell="H1" sqref="H1"/>
      <selection pane="bottomLeft" activeCell="A3" sqref="A3"/>
      <selection pane="bottomRight" activeCell="F336" sqref="F336"/>
    </sheetView>
  </sheetViews>
  <sheetFormatPr defaultRowHeight="15" x14ac:dyDescent="0.25"/>
  <cols>
    <col min="1" max="1" width="13.28515625" bestFit="1" customWidth="1"/>
    <col min="2" max="2" width="28.42578125" bestFit="1" customWidth="1"/>
    <col min="3" max="3" width="8.85546875" style="59"/>
    <col min="4" max="4" width="11.28515625" customWidth="1"/>
    <col min="5" max="5" width="10.7109375" style="182" customWidth="1"/>
    <col min="6" max="6" width="11.140625" bestFit="1" customWidth="1"/>
    <col min="7" max="7" width="11.140625" style="188" customWidth="1"/>
    <col min="9" max="9" width="10.28515625" customWidth="1"/>
    <col min="10" max="10" width="9.140625" customWidth="1"/>
    <col min="11" max="11" width="9.140625" hidden="1" customWidth="1"/>
    <col min="12" max="12" width="10.7109375" hidden="1" customWidth="1"/>
    <col min="13" max="13" width="11.5703125" customWidth="1"/>
    <col min="14" max="14" width="15.140625" customWidth="1"/>
    <col min="15" max="15" width="14.42578125" customWidth="1"/>
    <col min="16" max="16" width="10.85546875" customWidth="1"/>
    <col min="17" max="17" width="27.140625" customWidth="1"/>
    <col min="18" max="18" width="31.5703125" customWidth="1"/>
    <col min="19" max="19" width="8.28515625" customWidth="1"/>
    <col min="20" max="20" width="12" customWidth="1"/>
    <col min="21" max="21" width="11.85546875" customWidth="1"/>
    <col min="22" max="22" width="11.42578125" customWidth="1"/>
    <col min="23" max="23" width="13.140625" customWidth="1"/>
    <col min="24" max="24" width="12.42578125" customWidth="1"/>
    <col min="25" max="25" width="10.7109375" style="183" customWidth="1"/>
    <col min="26" max="26" width="9.140625" customWidth="1"/>
    <col min="27" max="27" width="10.140625" customWidth="1"/>
    <col min="28" max="28" width="9.140625" style="50" customWidth="1"/>
    <col min="29" max="29" width="22.140625" customWidth="1"/>
    <col min="30" max="30" width="15.28515625" customWidth="1"/>
    <col min="31" max="31" width="14.28515625" customWidth="1"/>
    <col min="32" max="32" width="15" customWidth="1"/>
    <col min="33" max="33" width="10.140625" style="73" customWidth="1"/>
    <col min="34" max="34" width="15.85546875" customWidth="1"/>
    <col min="35" max="35" width="10.85546875" customWidth="1"/>
    <col min="36" max="36" width="12.28515625" customWidth="1"/>
    <col min="37" max="37" width="47.28515625" customWidth="1"/>
    <col min="38" max="38" width="15.85546875" customWidth="1"/>
    <col min="39" max="39" width="9.85546875" customWidth="1"/>
    <col min="40" max="40" width="14.5703125" customWidth="1"/>
    <col min="41" max="41" width="14.42578125" customWidth="1"/>
    <col min="42" max="43" width="11.5703125" customWidth="1"/>
    <col min="44" max="45" width="8.85546875" customWidth="1"/>
    <col min="46" max="46" width="15.140625" customWidth="1"/>
    <col min="47" max="47" width="11.5703125" customWidth="1"/>
    <col min="48" max="48" width="10.28515625" customWidth="1"/>
    <col min="49" max="49" width="7.7109375" customWidth="1"/>
    <col min="50" max="51" width="8.7109375" customWidth="1"/>
    <col min="52" max="52" width="8.140625" customWidth="1"/>
    <col min="53" max="53" width="13.42578125" style="173" customWidth="1"/>
    <col min="54" max="54" width="9.28515625" style="188" customWidth="1"/>
    <col min="55" max="55" width="10.28515625" style="189" customWidth="1"/>
    <col min="56" max="56" width="9.5703125" style="189" customWidth="1"/>
    <col min="57" max="57" width="11.5703125" customWidth="1"/>
    <col min="58" max="58" width="11.5703125" bestFit="1" customWidth="1"/>
    <col min="59" max="59" width="9.7109375" customWidth="1"/>
    <col min="62" max="62" width="9.85546875" customWidth="1"/>
    <col min="64" max="64" width="11.85546875" customWidth="1"/>
    <col min="65" max="65" width="12.28515625" bestFit="1" customWidth="1"/>
    <col min="68" max="68" width="14.5703125" bestFit="1" customWidth="1"/>
  </cols>
  <sheetData>
    <row r="1" spans="1:72" s="19" customFormat="1" x14ac:dyDescent="0.25">
      <c r="G1" s="23"/>
      <c r="H1" s="20"/>
      <c r="I1" s="20"/>
      <c r="J1" s="20"/>
      <c r="K1" s="20"/>
      <c r="L1" s="20"/>
      <c r="M1" s="20"/>
      <c r="N1" s="21"/>
      <c r="O1" s="20"/>
      <c r="P1" s="22"/>
      <c r="Y1" s="23"/>
      <c r="AA1" s="23"/>
      <c r="AB1" s="23"/>
      <c r="AG1" s="23"/>
      <c r="AR1" s="23"/>
      <c r="BA1" s="170"/>
      <c r="BB1" s="37"/>
      <c r="BC1" s="186"/>
      <c r="BD1" s="186"/>
    </row>
    <row r="2" spans="1:72" s="34" customFormat="1" ht="63" customHeight="1" x14ac:dyDescent="0.25">
      <c r="A2" s="24" t="s">
        <v>4811</v>
      </c>
      <c r="B2" s="24" t="s">
        <v>4812</v>
      </c>
      <c r="C2" s="24" t="s">
        <v>5533</v>
      </c>
      <c r="D2" s="24" t="s">
        <v>6471</v>
      </c>
      <c r="E2" s="24" t="s">
        <v>6472</v>
      </c>
      <c r="F2" s="24" t="s">
        <v>4814</v>
      </c>
      <c r="G2" s="24" t="s">
        <v>6302</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6479</v>
      </c>
      <c r="AA2" s="24" t="s">
        <v>4832</v>
      </c>
      <c r="AB2" s="24" t="s">
        <v>4833</v>
      </c>
      <c r="AC2" s="24" t="s">
        <v>4834</v>
      </c>
      <c r="AD2" s="24" t="s">
        <v>4835</v>
      </c>
      <c r="AE2" s="24" t="s">
        <v>4836</v>
      </c>
      <c r="AF2" s="24" t="s">
        <v>4837</v>
      </c>
      <c r="AG2" s="24" t="s">
        <v>4838</v>
      </c>
      <c r="AH2" s="24" t="s">
        <v>4839</v>
      </c>
      <c r="AI2" s="24" t="s">
        <v>6473</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6447</v>
      </c>
      <c r="BC2" s="185" t="s">
        <v>6448</v>
      </c>
      <c r="BD2" s="185" t="s">
        <v>6449</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72" s="19" customFormat="1" hidden="1" x14ac:dyDescent="0.25">
      <c r="A3" s="23">
        <v>35212495</v>
      </c>
      <c r="B3" s="73" t="s">
        <v>5500</v>
      </c>
      <c r="C3" s="23"/>
      <c r="D3" s="23" t="s">
        <v>4869</v>
      </c>
      <c r="E3" s="23"/>
      <c r="F3" s="19">
        <v>2020999</v>
      </c>
      <c r="H3" s="23">
        <v>7.65</v>
      </c>
      <c r="I3" s="37">
        <f t="shared" ref="I3:I34" si="0">H3-M3</f>
        <v>0</v>
      </c>
      <c r="J3" s="23">
        <v>2020</v>
      </c>
      <c r="M3" s="23">
        <v>7.65</v>
      </c>
      <c r="N3" s="21">
        <v>0</v>
      </c>
      <c r="O3" s="23" t="s">
        <v>4878</v>
      </c>
      <c r="P3" s="22">
        <v>254151101</v>
      </c>
      <c r="Q3" s="19" t="s">
        <v>176</v>
      </c>
      <c r="R3" s="23" t="s">
        <v>5173</v>
      </c>
      <c r="S3" s="38">
        <f>IFERROR(VLOOKUP(R3,[47]conductor_pz_summary_hftd_23_re!$B$2:$Q$3636,8,FALSE),0)</f>
        <v>0</v>
      </c>
      <c r="T3" s="38">
        <f>IFERROR(VLOOKUP(R3,[48]conductor_pz_summary_hftd_23_re!$B$2:$H$3636,7,0),0)/1609</f>
        <v>0</v>
      </c>
      <c r="U3" s="23">
        <f>IFERROR(VLOOKUP(R3,[47]conductor_pz_summary_hftd_23_re!$B$2:$Q$3636,14,FALSE),0)</f>
        <v>0</v>
      </c>
      <c r="V3" s="23">
        <f t="shared" ref="V3:V55" si="1">IFERROR(W3*S3,0)</f>
        <v>0</v>
      </c>
      <c r="W3" s="23">
        <f>IFERROR(VLOOKUP(R3,[47]conductor_pz_summary_hftd_23_re!$B$2:$Q$3636,13,FALSE),0)</f>
        <v>0</v>
      </c>
      <c r="X3" s="73">
        <f>IFERROR(VLOOKUP(R3,conductor_pz_summary_hftd_23_re!$B$2:$N$3636,13,FALSE),0)</f>
        <v>0</v>
      </c>
      <c r="Y3" s="59" t="e">
        <f t="shared" ref="Y3:Y34" si="2">(AL3*0.67+AM3*0.99+AN3+AO3*0.99)/(SUM(AL3:AO3))*V3*(H3/T3)</f>
        <v>#VALUE!</v>
      </c>
      <c r="AA3" s="23"/>
      <c r="AB3" s="23" t="s">
        <v>5171</v>
      </c>
      <c r="AC3" s="19" t="s">
        <v>5476</v>
      </c>
      <c r="AD3" s="19" t="s">
        <v>5477</v>
      </c>
      <c r="AE3" s="19" t="s">
        <v>5477</v>
      </c>
      <c r="AF3" s="19" t="s">
        <v>4939</v>
      </c>
      <c r="AG3" s="23">
        <v>5793921</v>
      </c>
      <c r="AH3" s="23" t="s">
        <v>5174</v>
      </c>
      <c r="AI3" s="23">
        <v>119985141</v>
      </c>
      <c r="AJ3" s="23">
        <v>35212495</v>
      </c>
      <c r="AK3" s="23" t="s">
        <v>5175</v>
      </c>
      <c r="AL3" s="23" t="s">
        <v>4883</v>
      </c>
      <c r="AM3" s="23" t="s">
        <v>4883</v>
      </c>
      <c r="AN3" s="23" t="s">
        <v>4883</v>
      </c>
      <c r="AO3" s="23" t="s">
        <v>4883</v>
      </c>
      <c r="AR3" s="23"/>
      <c r="AY3" s="23">
        <f t="shared" ref="AY3:AY34" si="3">AW3+AX3</f>
        <v>0</v>
      </c>
      <c r="AZ3" s="40">
        <f t="shared" ref="AZ3:AZ34" si="4">AY3/5280</f>
        <v>0</v>
      </c>
    </row>
    <row r="4" spans="1:72" s="19" customFormat="1" hidden="1" x14ac:dyDescent="0.25">
      <c r="A4" s="23">
        <v>35212464</v>
      </c>
      <c r="B4" s="73" t="s">
        <v>5500</v>
      </c>
      <c r="C4" s="23"/>
      <c r="D4" s="23" t="s">
        <v>4869</v>
      </c>
      <c r="E4" s="23"/>
      <c r="F4" s="19">
        <v>2020999</v>
      </c>
      <c r="H4" s="23">
        <v>0.48</v>
      </c>
      <c r="I4" s="37">
        <f t="shared" si="0"/>
        <v>0</v>
      </c>
      <c r="J4" s="23">
        <v>2020</v>
      </c>
      <c r="M4" s="23">
        <v>0.48</v>
      </c>
      <c r="N4" s="21">
        <v>0</v>
      </c>
      <c r="O4" s="23" t="s">
        <v>4878</v>
      </c>
      <c r="P4" s="22">
        <v>42711101</v>
      </c>
      <c r="Q4" s="19" t="s">
        <v>567</v>
      </c>
      <c r="R4" s="23" t="s">
        <v>5198</v>
      </c>
      <c r="S4" s="38">
        <f>IFERROR(VLOOKUP(R4,[47]conductor_pz_summary_hftd_23_re!$B$2:$Q$3636,8,FALSE),0)</f>
        <v>0</v>
      </c>
      <c r="T4" s="38">
        <f>IFERROR(VLOOKUP(R4,[48]conductor_pz_summary_hftd_23_re!$B$2:$H$3636,7,0),0)/1609</f>
        <v>0</v>
      </c>
      <c r="U4" s="23">
        <f>IFERROR(VLOOKUP(R4,[47]conductor_pz_summary_hftd_23_re!$B$2:$Q$3636,14,FALSE),0)</f>
        <v>0</v>
      </c>
      <c r="V4" s="23">
        <f t="shared" si="1"/>
        <v>0</v>
      </c>
      <c r="W4" s="23">
        <f>IFERROR(VLOOKUP(R4,[47]conductor_pz_summary_hftd_23_re!$B$2:$Q$3636,13,FALSE),0)</f>
        <v>0</v>
      </c>
      <c r="X4" s="73">
        <f>IFERROR(VLOOKUP(R4,conductor_pz_summary_hftd_23_re!$B$2:$N$3636,13,FALSE),0)</f>
        <v>0</v>
      </c>
      <c r="Y4" s="59" t="e">
        <f t="shared" si="2"/>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f t="shared" si="3"/>
        <v>0</v>
      </c>
      <c r="AZ4" s="40">
        <f t="shared" si="4"/>
        <v>0</v>
      </c>
    </row>
    <row r="5" spans="1:72" s="19" customFormat="1" hidden="1" x14ac:dyDescent="0.25">
      <c r="A5" s="23">
        <v>35212487</v>
      </c>
      <c r="B5" s="73" t="s">
        <v>5500</v>
      </c>
      <c r="C5" s="23"/>
      <c r="D5" s="23" t="s">
        <v>4869</v>
      </c>
      <c r="E5" s="23"/>
      <c r="F5" s="19">
        <v>2020999</v>
      </c>
      <c r="H5" s="23">
        <v>1.82</v>
      </c>
      <c r="I5" s="37">
        <f t="shared" si="0"/>
        <v>0</v>
      </c>
      <c r="J5" s="23">
        <v>2020</v>
      </c>
      <c r="M5" s="23">
        <v>1.82</v>
      </c>
      <c r="N5" s="21">
        <v>0</v>
      </c>
      <c r="O5" s="23" t="s">
        <v>4878</v>
      </c>
      <c r="P5" s="22">
        <v>103221101</v>
      </c>
      <c r="Q5" s="19" t="s">
        <v>2034</v>
      </c>
      <c r="R5" s="23" t="s">
        <v>2033</v>
      </c>
      <c r="S5" s="38">
        <f>IFERROR(VLOOKUP(R5,[47]conductor_pz_summary_hftd_23_re!$B$2:$Q$3636,8,FALSE),0)</f>
        <v>80</v>
      </c>
      <c r="T5" s="38">
        <f>IFERROR(VLOOKUP(R5,[48]conductor_pz_summary_hftd_23_re!$B$2:$H$3636,7,0),0)/1609</f>
        <v>11.15105428034307</v>
      </c>
      <c r="U5" s="23">
        <f>IFERROR(VLOOKUP(R5,[47]conductor_pz_summary_hftd_23_re!$B$2:$Q$3636,14,FALSE),0)</f>
        <v>1566</v>
      </c>
      <c r="V5" s="23">
        <f t="shared" si="1"/>
        <v>1.9751079058309999</v>
      </c>
      <c r="W5" s="23">
        <f>IFERROR(VLOOKUP(R5,[47]conductor_pz_summary_hftd_23_re!$B$2:$Q$3636,13,FALSE),0)</f>
        <v>2.4688848822887501E-2</v>
      </c>
      <c r="X5" s="73">
        <f>IFERROR(VLOOKUP(R5,conductor_pz_summary_hftd_23_re!$B$2:$N$3636,13,FALSE),0)</f>
        <v>1434</v>
      </c>
      <c r="Y5" s="59" t="e">
        <f t="shared" si="2"/>
        <v>#VALUE!</v>
      </c>
      <c r="AA5" s="23"/>
      <c r="AB5" s="23" t="s">
        <v>5171</v>
      </c>
      <c r="AC5" s="19" t="s">
        <v>5436</v>
      </c>
      <c r="AD5" s="19" t="s">
        <v>5215</v>
      </c>
      <c r="AE5" s="19" t="s">
        <v>5210</v>
      </c>
      <c r="AF5" s="19" t="s">
        <v>4875</v>
      </c>
      <c r="AG5" s="23">
        <v>5793918</v>
      </c>
      <c r="AH5" s="23" t="s">
        <v>5218</v>
      </c>
      <c r="AI5" s="23">
        <v>119983959</v>
      </c>
      <c r="AJ5" s="23">
        <v>35212487</v>
      </c>
      <c r="AK5" s="23" t="s">
        <v>5556</v>
      </c>
      <c r="AL5" s="23" t="s">
        <v>4883</v>
      </c>
      <c r="AM5" s="23" t="s">
        <v>4883</v>
      </c>
      <c r="AN5" s="23" t="s">
        <v>4883</v>
      </c>
      <c r="AO5" s="23" t="s">
        <v>4883</v>
      </c>
      <c r="AR5" s="23"/>
      <c r="AY5" s="23">
        <f t="shared" si="3"/>
        <v>0</v>
      </c>
      <c r="AZ5" s="40">
        <f t="shared" si="4"/>
        <v>0</v>
      </c>
    </row>
    <row r="6" spans="1:72" s="19" customFormat="1" hidden="1" x14ac:dyDescent="0.25">
      <c r="A6" s="23">
        <v>35212460</v>
      </c>
      <c r="B6" s="73" t="s">
        <v>5500</v>
      </c>
      <c r="C6" s="23"/>
      <c r="D6" s="23" t="s">
        <v>4869</v>
      </c>
      <c r="E6" s="23"/>
      <c r="F6" s="19">
        <v>2020999</v>
      </c>
      <c r="H6" s="23">
        <v>17.43</v>
      </c>
      <c r="I6" s="37">
        <f t="shared" si="0"/>
        <v>3</v>
      </c>
      <c r="J6" s="23">
        <v>2020</v>
      </c>
      <c r="M6" s="23">
        <v>14.43</v>
      </c>
      <c r="N6" s="21">
        <v>0</v>
      </c>
      <c r="O6" s="23" t="s">
        <v>4878</v>
      </c>
      <c r="P6" s="22">
        <v>43321101</v>
      </c>
      <c r="Q6" s="19" t="s">
        <v>3563</v>
      </c>
      <c r="R6" s="23" t="s">
        <v>5246</v>
      </c>
      <c r="S6" s="38">
        <f>IFERROR(VLOOKUP(R6,[47]conductor_pz_summary_hftd_23_re!$B$2:$Q$3636,8,FALSE),0)</f>
        <v>0</v>
      </c>
      <c r="T6" s="38">
        <f>IFERROR(VLOOKUP(R6,[48]conductor_pz_summary_hftd_23_re!$B$2:$H$3636,7,0),0)/1609</f>
        <v>0</v>
      </c>
      <c r="U6" s="23">
        <f>IFERROR(VLOOKUP(R6,[47]conductor_pz_summary_hftd_23_re!$B$2:$Q$3636,14,FALSE),0)</f>
        <v>0</v>
      </c>
      <c r="V6" s="23">
        <f t="shared" si="1"/>
        <v>0</v>
      </c>
      <c r="W6" s="23">
        <f>IFERROR(VLOOKUP(R6,[47]conductor_pz_summary_hftd_23_re!$B$2:$Q$3636,13,FALSE),0)</f>
        <v>0</v>
      </c>
      <c r="X6" s="73">
        <f>IFERROR(VLOOKUP(R6,conductor_pz_summary_hftd_23_re!$B$2:$N$3636,13,FALSE),0)</f>
        <v>0</v>
      </c>
      <c r="Y6" s="59" t="e">
        <f t="shared" si="2"/>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f t="shared" si="3"/>
        <v>0</v>
      </c>
      <c r="AZ6" s="40">
        <f t="shared" si="4"/>
        <v>0</v>
      </c>
    </row>
    <row r="7" spans="1:72" s="19" customFormat="1" hidden="1" x14ac:dyDescent="0.25">
      <c r="A7" s="23">
        <v>35212466</v>
      </c>
      <c r="B7" s="73" t="s">
        <v>5500</v>
      </c>
      <c r="C7" s="23"/>
      <c r="D7" s="23" t="s">
        <v>4869</v>
      </c>
      <c r="E7" s="23"/>
      <c r="F7" s="19">
        <v>2020999</v>
      </c>
      <c r="H7" s="23">
        <v>8.94</v>
      </c>
      <c r="I7" s="37">
        <f t="shared" si="0"/>
        <v>0.67999999999999972</v>
      </c>
      <c r="J7" s="23">
        <v>2020</v>
      </c>
      <c r="M7" s="23">
        <v>8.26</v>
      </c>
      <c r="N7" s="21">
        <v>0</v>
      </c>
      <c r="O7" s="23" t="s">
        <v>4878</v>
      </c>
      <c r="P7" s="22">
        <v>63601108</v>
      </c>
      <c r="Q7" s="19" t="s">
        <v>4469</v>
      </c>
      <c r="R7" s="23" t="s">
        <v>4471</v>
      </c>
      <c r="S7" s="38">
        <f>IFERROR(VLOOKUP(R7,[47]conductor_pz_summary_hftd_23_re!$B$2:$Q$3636,8,FALSE),0)</f>
        <v>147</v>
      </c>
      <c r="T7" s="38">
        <f>IFERROR(VLOOKUP(R7,[48]conductor_pz_summary_hftd_23_re!$B$2:$H$3636,7,0),0)/1609</f>
        <v>13.834441421869174</v>
      </c>
      <c r="U7" s="23">
        <f>IFERROR(VLOOKUP(R7,[47]conductor_pz_summary_hftd_23_re!$B$2:$Q$3636,14,FALSE),0)</f>
        <v>64</v>
      </c>
      <c r="V7" s="23">
        <f t="shared" si="1"/>
        <v>57.532697545348597</v>
      </c>
      <c r="W7" s="23">
        <f>IFERROR(VLOOKUP(R7,[47]conductor_pz_summary_hftd_23_re!$B$2:$Q$3636,13,FALSE),0)</f>
        <v>0.391378894866317</v>
      </c>
      <c r="X7" s="73">
        <f>IFERROR(VLOOKUP(R7,conductor_pz_summary_hftd_23_re!$B$2:$N$3636,13,FALSE),0)</f>
        <v>108</v>
      </c>
      <c r="Y7" s="59" t="e">
        <f t="shared" si="2"/>
        <v>#VALUE!</v>
      </c>
      <c r="AA7" s="23"/>
      <c r="AB7" s="23" t="s">
        <v>5171</v>
      </c>
      <c r="AC7" s="19" t="s">
        <v>5450</v>
      </c>
      <c r="AD7" s="19" t="s">
        <v>5453</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f t="shared" si="3"/>
        <v>0</v>
      </c>
      <c r="AZ7" s="40">
        <f t="shared" si="4"/>
        <v>0</v>
      </c>
    </row>
    <row r="8" spans="1:72" s="19" customFormat="1" hidden="1" x14ac:dyDescent="0.25">
      <c r="A8" s="23">
        <v>35212490</v>
      </c>
      <c r="B8" s="73" t="s">
        <v>5500</v>
      </c>
      <c r="C8" s="23"/>
      <c r="D8" s="23" t="s">
        <v>4869</v>
      </c>
      <c r="E8" s="23"/>
      <c r="F8" s="19">
        <v>2020999</v>
      </c>
      <c r="H8" s="23">
        <v>5.44</v>
      </c>
      <c r="I8" s="37">
        <f t="shared" si="0"/>
        <v>0.72000000000000064</v>
      </c>
      <c r="J8" s="23">
        <v>2020</v>
      </c>
      <c r="M8" s="23">
        <v>4.72</v>
      </c>
      <c r="N8" s="21">
        <v>0</v>
      </c>
      <c r="O8" s="23" t="s">
        <v>4878</v>
      </c>
      <c r="P8" s="22">
        <v>103401101</v>
      </c>
      <c r="Q8" s="19" t="s">
        <v>1647</v>
      </c>
      <c r="R8" s="23" t="s">
        <v>1649</v>
      </c>
      <c r="S8" s="38">
        <f>IFERROR(VLOOKUP(R8,[47]conductor_pz_summary_hftd_23_re!$B$2:$Q$3636,8,FALSE),0)</f>
        <v>208</v>
      </c>
      <c r="T8" s="38">
        <f>IFERROR(VLOOKUP(R8,[48]conductor_pz_summary_hftd_23_re!$B$2:$H$3636,7,0),0)/1609</f>
        <v>36.156918277333936</v>
      </c>
      <c r="U8" s="23">
        <f>IFERROR(VLOOKUP(R8,[47]conductor_pz_summary_hftd_23_re!$B$2:$Q$3636,14,FALSE),0)</f>
        <v>117</v>
      </c>
      <c r="V8" s="23">
        <f t="shared" si="1"/>
        <v>66.637329108355203</v>
      </c>
      <c r="W8" s="23">
        <f>IFERROR(VLOOKUP(R8,[47]conductor_pz_summary_hftd_23_re!$B$2:$Q$3636,13,FALSE),0)</f>
        <v>0.32037177455940002</v>
      </c>
      <c r="X8" s="73">
        <f>IFERROR(VLOOKUP(R8,conductor_pz_summary_hftd_23_re!$B$2:$N$3636,13,FALSE),0)</f>
        <v>234</v>
      </c>
      <c r="Y8" s="59" t="e">
        <f t="shared" si="2"/>
        <v>#VALUE!</v>
      </c>
      <c r="AA8" s="23"/>
      <c r="AB8" s="23" t="s">
        <v>5171</v>
      </c>
      <c r="AC8" s="19" t="s">
        <v>5435</v>
      </c>
      <c r="AD8" s="19" t="s">
        <v>5431</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f t="shared" si="3"/>
        <v>0</v>
      </c>
      <c r="AZ8" s="40">
        <f t="shared" si="4"/>
        <v>0</v>
      </c>
    </row>
    <row r="9" spans="1:72" s="19" customFormat="1" hidden="1" x14ac:dyDescent="0.25">
      <c r="A9" s="23">
        <v>35212465</v>
      </c>
      <c r="B9" s="73" t="s">
        <v>5500</v>
      </c>
      <c r="C9" s="23"/>
      <c r="D9" s="23" t="s">
        <v>4869</v>
      </c>
      <c r="E9" s="23"/>
      <c r="F9" s="19">
        <v>2020999</v>
      </c>
      <c r="H9" s="23">
        <v>6.34</v>
      </c>
      <c r="I9" s="37">
        <f t="shared" si="0"/>
        <v>0</v>
      </c>
      <c r="J9" s="23">
        <v>2020</v>
      </c>
      <c r="M9" s="23">
        <v>6.34</v>
      </c>
      <c r="N9" s="21">
        <v>0</v>
      </c>
      <c r="O9" s="23" t="s">
        <v>4878</v>
      </c>
      <c r="P9" s="22">
        <v>63601108</v>
      </c>
      <c r="Q9" s="19" t="s">
        <v>4469</v>
      </c>
      <c r="R9" s="23" t="s">
        <v>4468</v>
      </c>
      <c r="S9" s="38">
        <f>IFERROR(VLOOKUP(R9,[47]conductor_pz_summary_hftd_23_re!$B$2:$Q$3636,8,FALSE),0)</f>
        <v>232</v>
      </c>
      <c r="T9" s="38">
        <f>IFERROR(VLOOKUP(R9,[48]conductor_pz_summary_hftd_23_re!$B$2:$H$3636,7,0),0)/1609</f>
        <v>15.920909008373711</v>
      </c>
      <c r="U9" s="23">
        <f>IFERROR(VLOOKUP(R9,[47]conductor_pz_summary_hftd_23_re!$B$2:$Q$3636,14,FALSE),0)</f>
        <v>122</v>
      </c>
      <c r="V9" s="23">
        <f t="shared" si="1"/>
        <v>73.47956180802673</v>
      </c>
      <c r="W9" s="23">
        <f>IFERROR(VLOOKUP(R9,[47]conductor_pz_summary_hftd_23_re!$B$2:$Q$3636,13,FALSE),0)</f>
        <v>0.316722249172529</v>
      </c>
      <c r="X9" s="73">
        <f>IFERROR(VLOOKUP(R9,conductor_pz_summary_hftd_23_re!$B$2:$N$3636,13,FALSE),0)</f>
        <v>99</v>
      </c>
      <c r="Y9" s="59" t="e">
        <f t="shared" si="2"/>
        <v>#VALUE!</v>
      </c>
      <c r="AA9" s="23"/>
      <c r="AB9" s="23" t="s">
        <v>5171</v>
      </c>
      <c r="AC9" s="19" t="s">
        <v>5450</v>
      </c>
      <c r="AD9" s="19" t="s">
        <v>5453</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f t="shared" si="3"/>
        <v>0</v>
      </c>
      <c r="AZ9" s="40">
        <f t="shared" si="4"/>
        <v>0</v>
      </c>
    </row>
    <row r="10" spans="1:72" s="19" customFormat="1" hidden="1" x14ac:dyDescent="0.25">
      <c r="A10" s="23">
        <v>35212406</v>
      </c>
      <c r="B10" s="73" t="s">
        <v>5500</v>
      </c>
      <c r="C10" s="23"/>
      <c r="D10" s="23" t="s">
        <v>4869</v>
      </c>
      <c r="E10" s="23"/>
      <c r="F10" s="19">
        <v>2020999</v>
      </c>
      <c r="H10" s="23"/>
      <c r="I10" s="37">
        <f t="shared" si="0"/>
        <v>0</v>
      </c>
      <c r="J10" s="23">
        <v>2020</v>
      </c>
      <c r="K10" s="37"/>
      <c r="L10" s="37"/>
      <c r="M10" s="23"/>
      <c r="N10" s="21">
        <v>0</v>
      </c>
      <c r="O10" s="23" t="s">
        <v>4878</v>
      </c>
      <c r="P10" s="22">
        <v>43051101</v>
      </c>
      <c r="Q10" s="19" t="s">
        <v>2578</v>
      </c>
      <c r="R10" s="23" t="s">
        <v>2580</v>
      </c>
      <c r="S10" s="38">
        <f>IFERROR(VLOOKUP(R10,[47]conductor_pz_summary_hftd_23_re!$B$2:$Q$3636,8,FALSE),0)</f>
        <v>71</v>
      </c>
      <c r="T10" s="38">
        <f>IFERROR(VLOOKUP(R10,[48]conductor_pz_summary_hftd_23_re!$B$2:$H$3636,7,0),0)/1609</f>
        <v>9.3735976896876316</v>
      </c>
      <c r="U10" s="23">
        <f>IFERROR(VLOOKUP(R10,[47]conductor_pz_summary_hftd_23_re!$B$2:$Q$3636,14,FALSE),0)</f>
        <v>557</v>
      </c>
      <c r="V10" s="23">
        <f t="shared" si="1"/>
        <v>10.169965101404483</v>
      </c>
      <c r="W10" s="23">
        <f>IFERROR(VLOOKUP(R10,[47]conductor_pz_summary_hftd_23_re!$B$2:$Q$3636,13,FALSE),0)</f>
        <v>0.14323894509020399</v>
      </c>
      <c r="X10" s="73">
        <f>IFERROR(VLOOKUP(R10,conductor_pz_summary_hftd_23_re!$B$2:$N$3636,13,FALSE),0)</f>
        <v>391</v>
      </c>
      <c r="Y10" s="59" t="e">
        <f t="shared" si="2"/>
        <v>#VALUE!</v>
      </c>
      <c r="Z10" s="23"/>
      <c r="AA10" s="23"/>
      <c r="AB10" s="23" t="s">
        <v>5171</v>
      </c>
      <c r="AC10" s="19" t="s">
        <v>4905</v>
      </c>
      <c r="AD10" s="19" t="s">
        <v>5443</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f t="shared" si="3"/>
        <v>0</v>
      </c>
      <c r="AZ10" s="40">
        <f t="shared" si="4"/>
        <v>0</v>
      </c>
      <c r="BE10" s="23"/>
      <c r="BF10" s="23"/>
      <c r="BG10" s="23"/>
      <c r="BH10" s="23"/>
      <c r="BI10" s="23"/>
      <c r="BJ10" s="23"/>
      <c r="BK10" s="40"/>
      <c r="BL10" s="44"/>
      <c r="BM10" s="41"/>
      <c r="BN10" s="45"/>
    </row>
    <row r="11" spans="1:72" s="19" customFormat="1" hidden="1" x14ac:dyDescent="0.25">
      <c r="A11" s="23">
        <v>35212408</v>
      </c>
      <c r="B11" s="73" t="s">
        <v>5500</v>
      </c>
      <c r="C11" s="23"/>
      <c r="D11" s="23" t="s">
        <v>4869</v>
      </c>
      <c r="E11" s="23"/>
      <c r="F11" s="19">
        <v>2020999</v>
      </c>
      <c r="H11" s="23">
        <v>1.58</v>
      </c>
      <c r="I11" s="37">
        <f t="shared" si="0"/>
        <v>0</v>
      </c>
      <c r="J11" s="23">
        <v>2020</v>
      </c>
      <c r="K11" s="37"/>
      <c r="L11" s="37"/>
      <c r="M11" s="23">
        <v>1.58</v>
      </c>
      <c r="N11" s="21">
        <v>0</v>
      </c>
      <c r="O11" s="23" t="s">
        <v>4878</v>
      </c>
      <c r="P11" s="22">
        <v>43432102</v>
      </c>
      <c r="Q11" s="19" t="s">
        <v>4042</v>
      </c>
      <c r="R11" s="23" t="s">
        <v>4043</v>
      </c>
      <c r="S11" s="38">
        <f>IFERROR(VLOOKUP(R11,[47]conductor_pz_summary_hftd_23_re!$B$2:$Q$3636,8,FALSE),0)</f>
        <v>205</v>
      </c>
      <c r="T11" s="38">
        <f>IFERROR(VLOOKUP(R11,[48]conductor_pz_summary_hftd_23_re!$B$2:$H$3636,7,0),0)/1609</f>
        <v>25.775808310011623</v>
      </c>
      <c r="U11" s="23">
        <f>IFERROR(VLOOKUP(R11,[47]conductor_pz_summary_hftd_23_re!$B$2:$Q$3636,14,FALSE),0)</f>
        <v>579</v>
      </c>
      <c r="V11" s="23">
        <f t="shared" si="1"/>
        <v>27.995833447301134</v>
      </c>
      <c r="W11" s="23">
        <f>IFERROR(VLOOKUP(R11,[47]conductor_pz_summary_hftd_23_re!$B$2:$Q$3636,13,FALSE),0)</f>
        <v>0.13656504120634699</v>
      </c>
      <c r="X11" s="73">
        <f>IFERROR(VLOOKUP(R11,conductor_pz_summary_hftd_23_re!$B$2:$N$3636,13,FALSE),0)</f>
        <v>473</v>
      </c>
      <c r="Y11" s="59" t="e">
        <f t="shared" si="2"/>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f t="shared" si="3"/>
        <v>0</v>
      </c>
      <c r="AZ11" s="40">
        <f t="shared" si="4"/>
        <v>0</v>
      </c>
      <c r="BE11" s="23"/>
      <c r="BF11" s="23"/>
      <c r="BG11" s="23"/>
      <c r="BH11" s="23"/>
      <c r="BI11" s="23"/>
      <c r="BJ11" s="23"/>
      <c r="BK11" s="40"/>
      <c r="BL11" s="44"/>
      <c r="BM11" s="41"/>
      <c r="BN11" s="45"/>
    </row>
    <row r="12" spans="1:72" s="19" customFormat="1" hidden="1" x14ac:dyDescent="0.25">
      <c r="A12" s="23">
        <v>35212489</v>
      </c>
      <c r="B12" s="73" t="s">
        <v>5500</v>
      </c>
      <c r="C12" s="23"/>
      <c r="D12" s="23" t="s">
        <v>4869</v>
      </c>
      <c r="E12" s="23"/>
      <c r="F12" s="19">
        <v>2020999</v>
      </c>
      <c r="H12" s="23">
        <v>4.16</v>
      </c>
      <c r="I12" s="37">
        <f t="shared" si="0"/>
        <v>-2.2400000000000002</v>
      </c>
      <c r="J12" s="23">
        <v>2020</v>
      </c>
      <c r="M12" s="23">
        <v>6.4</v>
      </c>
      <c r="N12" s="21">
        <v>0</v>
      </c>
      <c r="O12" s="23" t="s">
        <v>4878</v>
      </c>
      <c r="P12" s="22">
        <v>103401101</v>
      </c>
      <c r="Q12" s="19" t="s">
        <v>1647</v>
      </c>
      <c r="R12" s="23" t="s">
        <v>1646</v>
      </c>
      <c r="S12" s="38">
        <f>IFERROR(VLOOKUP(R12,[47]conductor_pz_summary_hftd_23_re!$B$2:$Q$3636,8,FALSE),0)</f>
        <v>264</v>
      </c>
      <c r="T12" s="38">
        <f>IFERROR(VLOOKUP(R12,[48]conductor_pz_summary_hftd_23_re!$B$2:$H$3636,7,0),0)/1609</f>
        <v>31.069554404642385</v>
      </c>
      <c r="U12" s="23">
        <f>IFERROR(VLOOKUP(R12,[47]conductor_pz_summary_hftd_23_re!$B$2:$Q$3636,14,FALSE),0)</f>
        <v>624</v>
      </c>
      <c r="V12" s="23">
        <f t="shared" si="1"/>
        <v>33.008677442200415</v>
      </c>
      <c r="W12" s="23">
        <f>IFERROR(VLOOKUP(R12,[47]conductor_pz_summary_hftd_23_re!$B$2:$Q$3636,13,FALSE),0)</f>
        <v>0.12503286909924399</v>
      </c>
      <c r="X12" s="73">
        <f>IFERROR(VLOOKUP(R12,conductor_pz_summary_hftd_23_re!$B$2:$N$3636,13,FALSE),0)</f>
        <v>651</v>
      </c>
      <c r="Y12" s="59" t="e">
        <f t="shared" si="2"/>
        <v>#VALUE!</v>
      </c>
      <c r="AA12" s="23"/>
      <c r="AB12" s="23" t="s">
        <v>5171</v>
      </c>
      <c r="AC12" s="19" t="s">
        <v>5434</v>
      </c>
      <c r="AD12" s="19" t="s">
        <v>5431</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f t="shared" si="3"/>
        <v>0</v>
      </c>
      <c r="AZ12" s="40">
        <f t="shared" si="4"/>
        <v>0</v>
      </c>
    </row>
    <row r="13" spans="1:72" s="19" customFormat="1" hidden="1" x14ac:dyDescent="0.25">
      <c r="A13" s="23">
        <v>35212411</v>
      </c>
      <c r="B13" s="73" t="s">
        <v>5500</v>
      </c>
      <c r="C13" s="23"/>
      <c r="D13" s="23" t="s">
        <v>4869</v>
      </c>
      <c r="E13" s="23"/>
      <c r="F13" s="19">
        <v>2020999</v>
      </c>
      <c r="H13" s="23">
        <v>0.17</v>
      </c>
      <c r="I13" s="37">
        <f t="shared" si="0"/>
        <v>0</v>
      </c>
      <c r="J13" s="23">
        <v>2020</v>
      </c>
      <c r="K13" s="37"/>
      <c r="L13" s="37"/>
      <c r="M13" s="23">
        <v>0.17</v>
      </c>
      <c r="N13" s="21">
        <v>0</v>
      </c>
      <c r="O13" s="23" t="s">
        <v>4878</v>
      </c>
      <c r="P13" s="22">
        <v>43432104</v>
      </c>
      <c r="Q13" s="19" t="s">
        <v>4061</v>
      </c>
      <c r="R13" s="23" t="s">
        <v>4066</v>
      </c>
      <c r="S13" s="38">
        <f>IFERROR(VLOOKUP(R13,[47]conductor_pz_summary_hftd_23_re!$B$2:$Q$3636,8,FALSE),0)</f>
        <v>99</v>
      </c>
      <c r="T13" s="38">
        <f>IFERROR(VLOOKUP(R13,[48]conductor_pz_summary_hftd_23_re!$B$2:$H$3636,7,0),0)/1609</f>
        <v>7.8964314663054074</v>
      </c>
      <c r="U13" s="23">
        <f>IFERROR(VLOOKUP(R13,[47]conductor_pz_summary_hftd_23_re!$B$2:$Q$3636,14,FALSE),0)</f>
        <v>690</v>
      </c>
      <c r="V13" s="23">
        <f t="shared" si="1"/>
        <v>11.161318803884667</v>
      </c>
      <c r="W13" s="23">
        <f>IFERROR(VLOOKUP(R13,[47]conductor_pz_summary_hftd_23_re!$B$2:$Q$3636,13,FALSE),0)</f>
        <v>0.11274059397863299</v>
      </c>
      <c r="X13" s="73">
        <f>IFERROR(VLOOKUP(R13,conductor_pz_summary_hftd_23_re!$B$2:$N$3636,13,FALSE),0)</f>
        <v>1130</v>
      </c>
      <c r="Y13" s="59" t="e">
        <f t="shared" si="2"/>
        <v>#VALUE!</v>
      </c>
      <c r="Z13" s="23"/>
      <c r="AA13" s="23"/>
      <c r="AB13" s="23" t="s">
        <v>5171</v>
      </c>
      <c r="AC13" s="19" t="s">
        <v>5447</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f t="shared" si="3"/>
        <v>0</v>
      </c>
      <c r="AZ13" s="40">
        <f t="shared" si="4"/>
        <v>0</v>
      </c>
      <c r="BE13" s="73"/>
      <c r="BF13" s="73"/>
      <c r="BG13" s="23"/>
      <c r="BH13" s="23"/>
      <c r="BI13" s="23"/>
      <c r="BJ13" s="23"/>
      <c r="BK13" s="40"/>
      <c r="BL13" s="44"/>
      <c r="BM13" s="41"/>
      <c r="BN13" s="45"/>
    </row>
    <row r="14" spans="1:72" s="19" customFormat="1" hidden="1" x14ac:dyDescent="0.25">
      <c r="A14" s="23">
        <v>35212404</v>
      </c>
      <c r="B14" s="73" t="s">
        <v>5500</v>
      </c>
      <c r="C14" s="23"/>
      <c r="D14" s="23" t="s">
        <v>4869</v>
      </c>
      <c r="E14" s="23"/>
      <c r="F14" s="19">
        <v>2020999</v>
      </c>
      <c r="H14" s="23">
        <v>5</v>
      </c>
      <c r="I14" s="37">
        <f t="shared" si="0"/>
        <v>0</v>
      </c>
      <c r="J14" s="23">
        <v>2020</v>
      </c>
      <c r="K14" s="37"/>
      <c r="L14" s="37"/>
      <c r="M14" s="23">
        <v>5</v>
      </c>
      <c r="N14" s="21">
        <v>0</v>
      </c>
      <c r="O14" s="23" t="s">
        <v>4878</v>
      </c>
      <c r="P14" s="22">
        <v>43051101</v>
      </c>
      <c r="Q14" s="19" t="s">
        <v>2578</v>
      </c>
      <c r="R14" s="23" t="s">
        <v>2583</v>
      </c>
      <c r="S14" s="38">
        <f>IFERROR(VLOOKUP(R14,[47]conductor_pz_summary_hftd_23_re!$B$2:$Q$3636,8,FALSE),0)</f>
        <v>93</v>
      </c>
      <c r="T14" s="38">
        <f>IFERROR(VLOOKUP(R14,[48]conductor_pz_summary_hftd_23_re!$B$2:$H$3636,7,0),0)/1609</f>
        <v>18.715380141653078</v>
      </c>
      <c r="U14" s="23">
        <f>IFERROR(VLOOKUP(R14,[47]conductor_pz_summary_hftd_23_re!$B$2:$Q$3636,14,FALSE),0)</f>
        <v>732</v>
      </c>
      <c r="V14" s="23">
        <f t="shared" si="1"/>
        <v>9.7793885490436949</v>
      </c>
      <c r="W14" s="23">
        <f>IFERROR(VLOOKUP(R14,[47]conductor_pz_summary_hftd_23_re!$B$2:$Q$3636,13,FALSE),0)</f>
        <v>0.105154715581115</v>
      </c>
      <c r="X14" s="73">
        <f>IFERROR(VLOOKUP(R14,conductor_pz_summary_hftd_23_re!$B$2:$N$3636,13,FALSE),0)</f>
        <v>552</v>
      </c>
      <c r="Y14" s="59" t="e">
        <f t="shared" si="2"/>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f t="shared" si="3"/>
        <v>0</v>
      </c>
      <c r="AZ14" s="40">
        <f t="shared" si="4"/>
        <v>0</v>
      </c>
      <c r="BE14" s="23"/>
      <c r="BF14" s="23"/>
      <c r="BG14" s="23"/>
      <c r="BH14" s="23"/>
      <c r="BI14" s="23"/>
      <c r="BJ14" s="23"/>
      <c r="BK14" s="40"/>
      <c r="BL14" s="44"/>
      <c r="BM14" s="41"/>
      <c r="BN14" s="45"/>
    </row>
    <row r="15" spans="1:72" s="19" customFormat="1" hidden="1" x14ac:dyDescent="0.25">
      <c r="A15" s="46">
        <v>35122401</v>
      </c>
      <c r="B15" s="73" t="s">
        <v>5500</v>
      </c>
      <c r="C15" s="23"/>
      <c r="D15" s="23" t="s">
        <v>4869</v>
      </c>
      <c r="E15" s="23"/>
      <c r="F15" s="19">
        <v>2020999</v>
      </c>
      <c r="H15" s="23">
        <v>7.31</v>
      </c>
      <c r="I15" s="37">
        <f t="shared" si="0"/>
        <v>0</v>
      </c>
      <c r="J15" s="23">
        <v>2020</v>
      </c>
      <c r="K15" s="37"/>
      <c r="L15" s="37"/>
      <c r="M15" s="23">
        <v>7.31</v>
      </c>
      <c r="N15" s="21">
        <v>0</v>
      </c>
      <c r="O15" s="23" t="s">
        <v>4878</v>
      </c>
      <c r="P15" s="22">
        <v>43051101</v>
      </c>
      <c r="Q15" s="19" t="s">
        <v>2578</v>
      </c>
      <c r="R15" s="23" t="s">
        <v>2590</v>
      </c>
      <c r="S15" s="38">
        <f>IFERROR(VLOOKUP(R15,[47]conductor_pz_summary_hftd_23_re!$B$2:$Q$3636,8,FALSE),0)</f>
        <v>5</v>
      </c>
      <c r="T15" s="38">
        <f>IFERROR(VLOOKUP(R15,[48]conductor_pz_summary_hftd_23_re!$B$2:$H$3636,7,0),0)/1609</f>
        <v>0.53443179519574957</v>
      </c>
      <c r="U15" s="23">
        <f>IFERROR(VLOOKUP(R15,[47]conductor_pz_summary_hftd_23_re!$B$2:$Q$3636,14,FALSE),0)</f>
        <v>775</v>
      </c>
      <c r="V15" s="23">
        <f t="shared" si="1"/>
        <v>0.49136945797147052</v>
      </c>
      <c r="W15" s="23">
        <f>IFERROR(VLOOKUP(R15,[47]conductor_pz_summary_hftd_23_re!$B$2:$Q$3636,13,FALSE),0)</f>
        <v>9.8273891594294102E-2</v>
      </c>
      <c r="X15" s="73">
        <f>IFERROR(VLOOKUP(R15,conductor_pz_summary_hftd_23_re!$B$2:$N$3636,13,FALSE),0)</f>
        <v>904</v>
      </c>
      <c r="Y15" s="59" t="e">
        <f t="shared" si="2"/>
        <v>#VALUE!</v>
      </c>
      <c r="Z15" s="23"/>
      <c r="AA15" s="23"/>
      <c r="AB15" s="23" t="s">
        <v>5171</v>
      </c>
      <c r="AC15" s="19" t="s">
        <v>5442</v>
      </c>
      <c r="AD15" s="19" t="s">
        <v>5441</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s="48" t="s">
        <v>5227</v>
      </c>
      <c r="AY15" s="23">
        <f t="shared" si="3"/>
        <v>0</v>
      </c>
      <c r="AZ15" s="40">
        <f t="shared" si="4"/>
        <v>0</v>
      </c>
      <c r="BE15" s="23"/>
      <c r="BF15" s="23"/>
      <c r="BG15" s="23"/>
      <c r="BH15" s="23"/>
      <c r="BI15" s="23"/>
      <c r="BJ15" s="23"/>
      <c r="BK15" s="40"/>
      <c r="BL15" s="44"/>
      <c r="BM15" s="41"/>
      <c r="BN15" s="45"/>
    </row>
    <row r="16" spans="1:72" s="19" customFormat="1" hidden="1" x14ac:dyDescent="0.25">
      <c r="A16" s="23">
        <v>35212402</v>
      </c>
      <c r="B16" s="73" t="s">
        <v>5500</v>
      </c>
      <c r="C16" s="23"/>
      <c r="D16" s="23" t="s">
        <v>4869</v>
      </c>
      <c r="E16" s="23"/>
      <c r="F16" s="19">
        <v>2020999</v>
      </c>
      <c r="H16" s="23">
        <v>2.42</v>
      </c>
      <c r="I16" s="37">
        <f t="shared" si="0"/>
        <v>0</v>
      </c>
      <c r="J16" s="23">
        <v>2020</v>
      </c>
      <c r="K16" s="37"/>
      <c r="L16" s="37"/>
      <c r="M16" s="23">
        <v>2.42</v>
      </c>
      <c r="N16" s="21">
        <v>0</v>
      </c>
      <c r="O16" s="23" t="s">
        <v>4878</v>
      </c>
      <c r="P16" s="22">
        <v>43051101</v>
      </c>
      <c r="Q16" s="19" t="s">
        <v>2578</v>
      </c>
      <c r="R16" s="23" t="s">
        <v>2586</v>
      </c>
      <c r="S16" s="38">
        <f>IFERROR(VLOOKUP(R16,[47]conductor_pz_summary_hftd_23_re!$B$2:$Q$3636,8,FALSE),0)</f>
        <v>90</v>
      </c>
      <c r="T16" s="38">
        <f>IFERROR(VLOOKUP(R16,[48]conductor_pz_summary_hftd_23_re!$B$2:$H$3636,7,0),0)/1609</f>
        <v>12.095919826489125</v>
      </c>
      <c r="U16" s="23">
        <f>IFERROR(VLOOKUP(R16,[47]conductor_pz_summary_hftd_23_re!$B$2:$Q$3636,14,FALSE),0)</f>
        <v>815</v>
      </c>
      <c r="V16" s="23">
        <f t="shared" si="1"/>
        <v>8.284282375714767</v>
      </c>
      <c r="W16" s="23">
        <f>IFERROR(VLOOKUP(R16,[47]conductor_pz_summary_hftd_23_re!$B$2:$Q$3636,13,FALSE),0)</f>
        <v>9.2047581952386298E-2</v>
      </c>
      <c r="X16" s="73">
        <f>IFERROR(VLOOKUP(R16,conductor_pz_summary_hftd_23_re!$B$2:$N$3636,13,FALSE),0)</f>
        <v>588</v>
      </c>
      <c r="Y16" s="59" t="e">
        <f t="shared" si="2"/>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f t="shared" si="3"/>
        <v>0</v>
      </c>
      <c r="AZ16" s="40">
        <f t="shared" si="4"/>
        <v>0</v>
      </c>
      <c r="BE16" s="23"/>
      <c r="BF16" s="23"/>
      <c r="BG16" s="23"/>
      <c r="BH16" s="23"/>
      <c r="BI16" s="23"/>
      <c r="BJ16" s="23"/>
      <c r="BK16" s="40"/>
      <c r="BL16" s="44"/>
      <c r="BM16" s="41"/>
      <c r="BN16" s="45"/>
    </row>
    <row r="17" spans="1:66" s="19" customFormat="1" hidden="1" x14ac:dyDescent="0.25">
      <c r="A17" s="23">
        <v>35212491</v>
      </c>
      <c r="B17" s="73" t="s">
        <v>5500</v>
      </c>
      <c r="C17" s="23"/>
      <c r="D17" s="23" t="s">
        <v>4869</v>
      </c>
      <c r="E17" s="23"/>
      <c r="F17" s="19">
        <v>2020999</v>
      </c>
      <c r="H17" s="23">
        <v>0.96</v>
      </c>
      <c r="I17" s="37">
        <f t="shared" si="0"/>
        <v>0</v>
      </c>
      <c r="J17" s="23">
        <v>2020</v>
      </c>
      <c r="M17" s="23">
        <v>0.96</v>
      </c>
      <c r="N17" s="21">
        <v>0</v>
      </c>
      <c r="O17" s="23" t="s">
        <v>4878</v>
      </c>
      <c r="P17" s="22">
        <v>252531103</v>
      </c>
      <c r="Q17" s="19" t="s">
        <v>5255</v>
      </c>
      <c r="R17" s="23" t="s">
        <v>3712</v>
      </c>
      <c r="S17" s="38">
        <f>IFERROR(VLOOKUP(R17,[47]conductor_pz_summary_hftd_23_re!$B$2:$Q$3636,8,FALSE),0)</f>
        <v>204</v>
      </c>
      <c r="T17" s="38">
        <f>IFERROR(VLOOKUP(R17,[48]conductor_pz_summary_hftd_23_re!$B$2:$H$3636,7,0),0)/1609</f>
        <v>21.333986559359914</v>
      </c>
      <c r="U17" s="23">
        <f>IFERROR(VLOOKUP(R17,[47]conductor_pz_summary_hftd_23_re!$B$2:$Q$3636,14,FALSE),0)</f>
        <v>829</v>
      </c>
      <c r="V17" s="23">
        <f t="shared" si="1"/>
        <v>18.200417129192271</v>
      </c>
      <c r="W17" s="23">
        <f>IFERROR(VLOOKUP(R17,[47]conductor_pz_summary_hftd_23_re!$B$2:$Q$3636,13,FALSE),0)</f>
        <v>8.9217731025452301E-2</v>
      </c>
      <c r="X17" s="73">
        <f>IFERROR(VLOOKUP(R17,conductor_pz_summary_hftd_23_re!$B$2:$N$3636,13,FALSE),0)</f>
        <v>667</v>
      </c>
      <c r="Y17" s="59" t="e">
        <f t="shared" si="2"/>
        <v>#VALUE!</v>
      </c>
      <c r="AA17" s="23"/>
      <c r="AB17" s="23" t="s">
        <v>5171</v>
      </c>
      <c r="AC17" s="19" t="s">
        <v>5445</v>
      </c>
      <c r="AD17" s="19" t="s">
        <v>5446</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f t="shared" si="3"/>
        <v>0</v>
      </c>
      <c r="AZ17" s="40">
        <f t="shared" si="4"/>
        <v>0</v>
      </c>
    </row>
    <row r="18" spans="1:66" s="19" customFormat="1" hidden="1" x14ac:dyDescent="0.25">
      <c r="A18" s="23">
        <v>35212479</v>
      </c>
      <c r="B18" s="73" t="s">
        <v>5500</v>
      </c>
      <c r="C18" s="23"/>
      <c r="D18" s="23" t="s">
        <v>4869</v>
      </c>
      <c r="E18" s="23"/>
      <c r="F18" s="19">
        <v>2020999</v>
      </c>
      <c r="H18" s="23">
        <v>7</v>
      </c>
      <c r="I18" s="37">
        <f t="shared" si="0"/>
        <v>3.84</v>
      </c>
      <c r="J18" s="23">
        <v>2020</v>
      </c>
      <c r="M18" s="23">
        <v>3.16</v>
      </c>
      <c r="N18" s="21">
        <v>0</v>
      </c>
      <c r="O18" s="23" t="s">
        <v>4878</v>
      </c>
      <c r="P18" s="22">
        <v>103751102</v>
      </c>
      <c r="Q18" s="19" t="s">
        <v>354</v>
      </c>
      <c r="R18" s="23" t="s">
        <v>355</v>
      </c>
      <c r="S18" s="38">
        <f>IFERROR(VLOOKUP(R18,[47]conductor_pz_summary_hftd_23_re!$B$2:$Q$3636,8,FALSE),0)</f>
        <v>139</v>
      </c>
      <c r="T18" s="38">
        <f>IFERROR(VLOOKUP(R18,[48]conductor_pz_summary_hftd_23_re!$B$2:$H$3636,7,0),0)/1609</f>
        <v>17.036562646713051</v>
      </c>
      <c r="U18" s="23">
        <f>IFERROR(VLOOKUP(R18,[47]conductor_pz_summary_hftd_23_re!$B$2:$Q$3636,14,FALSE),0)</f>
        <v>865</v>
      </c>
      <c r="V18" s="23">
        <f t="shared" si="1"/>
        <v>11.799437451030199</v>
      </c>
      <c r="W18" s="23">
        <f>IFERROR(VLOOKUP(R18,[47]conductor_pz_summary_hftd_23_re!$B$2:$Q$3636,13,FALSE),0)</f>
        <v>8.4888039216044597E-2</v>
      </c>
      <c r="X18" s="73">
        <f>IFERROR(VLOOKUP(R18,conductor_pz_summary_hftd_23_re!$B$2:$N$3636,13,FALSE),0)</f>
        <v>1081</v>
      </c>
      <c r="Y18" s="59" t="e">
        <f t="shared" si="2"/>
        <v>#VALUE!</v>
      </c>
      <c r="AA18" s="23"/>
      <c r="AB18" s="23" t="s">
        <v>5171</v>
      </c>
      <c r="AC18" s="19" t="s">
        <v>5436</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f t="shared" si="3"/>
        <v>0</v>
      </c>
      <c r="AZ18" s="40">
        <f t="shared" si="4"/>
        <v>0</v>
      </c>
    </row>
    <row r="19" spans="1:66" s="19" customFormat="1" hidden="1" x14ac:dyDescent="0.25">
      <c r="A19" s="23">
        <v>35212405</v>
      </c>
      <c r="B19" s="73" t="s">
        <v>5500</v>
      </c>
      <c r="C19" s="23"/>
      <c r="D19" s="23" t="s">
        <v>4869</v>
      </c>
      <c r="E19" s="23"/>
      <c r="F19" s="19">
        <v>2020999</v>
      </c>
      <c r="H19" s="23">
        <v>11.9</v>
      </c>
      <c r="I19" s="37">
        <f t="shared" si="0"/>
        <v>0</v>
      </c>
      <c r="J19" s="23">
        <v>2020</v>
      </c>
      <c r="K19" s="37"/>
      <c r="L19" s="37"/>
      <c r="M19" s="23">
        <v>11.9</v>
      </c>
      <c r="N19" s="21">
        <v>0</v>
      </c>
      <c r="O19" s="23" t="s">
        <v>4878</v>
      </c>
      <c r="P19" s="22">
        <v>43051101</v>
      </c>
      <c r="Q19" s="19" t="s">
        <v>2578</v>
      </c>
      <c r="R19" s="23" t="s">
        <v>2589</v>
      </c>
      <c r="S19" s="38">
        <f>IFERROR(VLOOKUP(R19,[47]conductor_pz_summary_hftd_23_re!$B$2:$Q$3636,8,FALSE),0)</f>
        <v>101</v>
      </c>
      <c r="T19" s="38">
        <f>IFERROR(VLOOKUP(R19,[48]conductor_pz_summary_hftd_23_re!$B$2:$H$3636,7,0),0)/1609</f>
        <v>16.138731975478247</v>
      </c>
      <c r="U19" s="23">
        <f>IFERROR(VLOOKUP(R19,[47]conductor_pz_summary_hftd_23_re!$B$2:$Q$3636,14,FALSE),0)</f>
        <v>914</v>
      </c>
      <c r="V19" s="23">
        <f t="shared" si="1"/>
        <v>7.9369143511933347</v>
      </c>
      <c r="W19" s="23">
        <f>IFERROR(VLOOKUP(R19,[47]conductor_pz_summary_hftd_23_re!$B$2:$Q$3636,13,FALSE),0)</f>
        <v>7.8583310407854795E-2</v>
      </c>
      <c r="X19" s="73">
        <f>IFERROR(VLOOKUP(R19,conductor_pz_summary_hftd_23_re!$B$2:$N$3636,13,FALSE),0)</f>
        <v>632</v>
      </c>
      <c r="Y19" s="59" t="e">
        <f t="shared" si="2"/>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f t="shared" si="3"/>
        <v>0</v>
      </c>
      <c r="AZ19" s="40">
        <f t="shared" si="4"/>
        <v>0</v>
      </c>
      <c r="BE19" s="23"/>
      <c r="BF19" s="23"/>
      <c r="BG19" s="23"/>
      <c r="BH19" s="23"/>
      <c r="BI19" s="23"/>
      <c r="BJ19" s="23"/>
      <c r="BK19" s="40"/>
      <c r="BL19" s="44"/>
      <c r="BM19" s="41"/>
      <c r="BN19" s="45"/>
    </row>
    <row r="20" spans="1:66" s="19" customFormat="1" hidden="1" x14ac:dyDescent="0.25">
      <c r="A20" s="23">
        <v>35212494</v>
      </c>
      <c r="B20" s="73" t="s">
        <v>5500</v>
      </c>
      <c r="C20" s="23"/>
      <c r="D20" s="23" t="s">
        <v>4869</v>
      </c>
      <c r="E20" s="23"/>
      <c r="F20" s="19">
        <v>2020999</v>
      </c>
      <c r="H20" s="23">
        <v>1.38</v>
      </c>
      <c r="I20" s="37">
        <f t="shared" si="0"/>
        <v>0</v>
      </c>
      <c r="J20" s="23">
        <v>2020</v>
      </c>
      <c r="M20" s="23">
        <v>1.38</v>
      </c>
      <c r="N20" s="21">
        <v>0</v>
      </c>
      <c r="O20" s="23" t="s">
        <v>4878</v>
      </c>
      <c r="P20" s="22">
        <v>254151101</v>
      </c>
      <c r="Q20" s="19" t="s">
        <v>176</v>
      </c>
      <c r="R20" s="23" t="s">
        <v>177</v>
      </c>
      <c r="S20" s="38">
        <f>IFERROR(VLOOKUP(R20,[47]conductor_pz_summary_hftd_23_re!$B$2:$Q$3636,8,FALSE),0)</f>
        <v>60</v>
      </c>
      <c r="T20" s="38">
        <f>IFERROR(VLOOKUP(R20,[48]conductor_pz_summary_hftd_23_re!$B$2:$H$3636,7,0),0)/1609</f>
        <v>5.3994348850088434</v>
      </c>
      <c r="U20" s="23">
        <f>IFERROR(VLOOKUP(R20,[47]conductor_pz_summary_hftd_23_re!$B$2:$Q$3636,14,FALSE),0)</f>
        <v>934</v>
      </c>
      <c r="V20" s="23">
        <f t="shared" si="1"/>
        <v>4.5308999597406538</v>
      </c>
      <c r="W20" s="23">
        <f>IFERROR(VLOOKUP(R20,[47]conductor_pz_summary_hftd_23_re!$B$2:$Q$3636,13,FALSE),0)</f>
        <v>7.5514999329010901E-2</v>
      </c>
      <c r="X20" s="73">
        <f>IFERROR(VLOOKUP(R20,conductor_pz_summary_hftd_23_re!$B$2:$N$3636,13,FALSE),0)</f>
        <v>511</v>
      </c>
      <c r="Y20" s="59" t="e">
        <f t="shared" si="2"/>
        <v>#VALUE!</v>
      </c>
      <c r="AA20" s="23"/>
      <c r="AB20" s="23" t="s">
        <v>5171</v>
      </c>
      <c r="AC20" s="19" t="s">
        <v>5476</v>
      </c>
      <c r="AD20" s="19" t="s">
        <v>5477</v>
      </c>
      <c r="AE20" s="19" t="s">
        <v>5477</v>
      </c>
      <c r="AF20" s="19" t="s">
        <v>4939</v>
      </c>
      <c r="AG20" s="23">
        <v>5793921</v>
      </c>
      <c r="AH20" s="23" t="s">
        <v>5176</v>
      </c>
      <c r="AI20" s="23">
        <v>119984007</v>
      </c>
      <c r="AJ20" s="23">
        <v>35212494</v>
      </c>
      <c r="AK20" s="23" t="s">
        <v>5177</v>
      </c>
      <c r="AL20" s="23" t="s">
        <v>4883</v>
      </c>
      <c r="AM20" s="23" t="s">
        <v>4883</v>
      </c>
      <c r="AN20" s="23" t="s">
        <v>4883</v>
      </c>
      <c r="AO20" s="23" t="s">
        <v>4883</v>
      </c>
      <c r="AR20" s="23"/>
      <c r="AY20" s="23">
        <f t="shared" si="3"/>
        <v>0</v>
      </c>
      <c r="AZ20" s="40">
        <f t="shared" si="4"/>
        <v>0</v>
      </c>
    </row>
    <row r="21" spans="1:66" s="19" customFormat="1" hidden="1" x14ac:dyDescent="0.25">
      <c r="A21" s="23">
        <v>35212418</v>
      </c>
      <c r="B21" s="73" t="s">
        <v>5500</v>
      </c>
      <c r="C21" s="23"/>
      <c r="D21" s="23" t="s">
        <v>4869</v>
      </c>
      <c r="E21" s="23"/>
      <c r="F21" s="19">
        <v>2020999</v>
      </c>
      <c r="H21" s="23">
        <v>13.7</v>
      </c>
      <c r="I21" s="37">
        <f t="shared" si="0"/>
        <v>0</v>
      </c>
      <c r="J21" s="23">
        <v>2020</v>
      </c>
      <c r="M21" s="23">
        <v>13.7</v>
      </c>
      <c r="N21" s="21">
        <v>0</v>
      </c>
      <c r="O21" s="23" t="s">
        <v>4878</v>
      </c>
      <c r="P21" s="22">
        <v>42751113</v>
      </c>
      <c r="Q21" s="19" t="s">
        <v>1398</v>
      </c>
      <c r="R21" s="23" t="s">
        <v>1406</v>
      </c>
      <c r="S21" s="38">
        <f>IFERROR(VLOOKUP(R21,[47]conductor_pz_summary_hftd_23_re!$B$2:$Q$3636,8,FALSE),0)</f>
        <v>139</v>
      </c>
      <c r="T21" s="38">
        <f>IFERROR(VLOOKUP(R21,[48]conductor_pz_summary_hftd_23_re!$B$2:$H$3636,7,0),0)/1609</f>
        <v>22.674903809589495</v>
      </c>
      <c r="U21" s="23">
        <f>IFERROR(VLOOKUP(R21,[47]conductor_pz_summary_hftd_23_re!$B$2:$Q$3636,14,FALSE),0)</f>
        <v>945</v>
      </c>
      <c r="V21" s="23">
        <f t="shared" si="1"/>
        <v>10.27590572253238</v>
      </c>
      <c r="W21" s="23">
        <f>IFERROR(VLOOKUP(R21,[47]conductor_pz_summary_hftd_23_re!$B$2:$Q$3636,13,FALSE),0)</f>
        <v>7.3927379298794102E-2</v>
      </c>
      <c r="X21" s="73">
        <f>IFERROR(VLOOKUP(R21,conductor_pz_summary_hftd_23_re!$B$2:$N$3636,13,FALSE),0)</f>
        <v>1284</v>
      </c>
      <c r="Y21" s="59" t="e">
        <f t="shared" si="2"/>
        <v>#VALUE!</v>
      </c>
      <c r="AA21" s="23"/>
      <c r="AB21" s="23" t="s">
        <v>5171</v>
      </c>
      <c r="AC21" s="19" t="s">
        <v>5433</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f t="shared" si="3"/>
        <v>0</v>
      </c>
      <c r="AZ21" s="40">
        <f t="shared" si="4"/>
        <v>0</v>
      </c>
    </row>
    <row r="22" spans="1:66" s="19" customFormat="1" hidden="1" x14ac:dyDescent="0.25">
      <c r="A22" s="23">
        <v>35212481</v>
      </c>
      <c r="B22" s="73" t="s">
        <v>5500</v>
      </c>
      <c r="C22" s="23"/>
      <c r="D22" s="23" t="s">
        <v>4869</v>
      </c>
      <c r="E22" s="23"/>
      <c r="F22" s="19">
        <v>2020999</v>
      </c>
      <c r="H22" s="23">
        <v>11.52</v>
      </c>
      <c r="I22" s="37">
        <f t="shared" si="0"/>
        <v>0.86999999999999922</v>
      </c>
      <c r="J22" s="23">
        <v>2020</v>
      </c>
      <c r="M22" s="23">
        <v>10.65</v>
      </c>
      <c r="N22" s="21">
        <v>0</v>
      </c>
      <c r="O22" s="23" t="s">
        <v>4878</v>
      </c>
      <c r="P22" s="22">
        <v>102911103</v>
      </c>
      <c r="Q22" s="19" t="s">
        <v>4762</v>
      </c>
      <c r="R22" s="23" t="s">
        <v>4764</v>
      </c>
      <c r="S22" s="38">
        <f>IFERROR(VLOOKUP(R22,[47]conductor_pz_summary_hftd_23_re!$B$2:$Q$3636,8,FALSE),0)</f>
        <v>249</v>
      </c>
      <c r="T22" s="38">
        <f>IFERROR(VLOOKUP(R22,[48]conductor_pz_summary_hftd_23_re!$B$2:$H$3636,7,0),0)/1609</f>
        <v>27.217261193432378</v>
      </c>
      <c r="U22" s="23">
        <f>IFERROR(VLOOKUP(R22,[47]conductor_pz_summary_hftd_23_re!$B$2:$Q$3636,14,FALSE),0)</f>
        <v>1176</v>
      </c>
      <c r="V22" s="23">
        <f t="shared" si="1"/>
        <v>12.465553341185188</v>
      </c>
      <c r="W22" s="23">
        <f>IFERROR(VLOOKUP(R22,[47]conductor_pz_summary_hftd_23_re!$B$2:$Q$3636,13,FALSE),0)</f>
        <v>5.0062463217611201E-2</v>
      </c>
      <c r="X22" s="73">
        <f>IFERROR(VLOOKUP(R22,conductor_pz_summary_hftd_23_re!$B$2:$N$3636,13,FALSE),0)</f>
        <v>1498</v>
      </c>
      <c r="Y22" s="59" t="e">
        <f t="shared" si="2"/>
        <v>#VALUE!</v>
      </c>
      <c r="AA22" s="23"/>
      <c r="AB22" s="23" t="s">
        <v>5171</v>
      </c>
      <c r="AC22" s="19" t="s">
        <v>5436</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f t="shared" si="3"/>
        <v>0</v>
      </c>
      <c r="AZ22" s="40">
        <f t="shared" si="4"/>
        <v>0</v>
      </c>
    </row>
    <row r="23" spans="1:66" s="19" customFormat="1" hidden="1" x14ac:dyDescent="0.25">
      <c r="A23" s="23">
        <v>35212492</v>
      </c>
      <c r="B23" s="73" t="s">
        <v>5500</v>
      </c>
      <c r="C23" s="23"/>
      <c r="D23" s="23" t="s">
        <v>4869</v>
      </c>
      <c r="E23" s="23"/>
      <c r="F23" s="19">
        <v>2020999</v>
      </c>
      <c r="H23" s="23">
        <v>3.05</v>
      </c>
      <c r="I23" s="37">
        <f t="shared" si="0"/>
        <v>0</v>
      </c>
      <c r="J23" s="23">
        <v>2020</v>
      </c>
      <c r="M23" s="23">
        <v>3.05</v>
      </c>
      <c r="N23" s="21">
        <v>0</v>
      </c>
      <c r="O23" s="23" t="s">
        <v>4878</v>
      </c>
      <c r="P23" s="22">
        <v>254151101</v>
      </c>
      <c r="Q23" s="19" t="s">
        <v>176</v>
      </c>
      <c r="R23" s="23" t="s">
        <v>190</v>
      </c>
      <c r="S23" s="38">
        <f>IFERROR(VLOOKUP(R23,[47]conductor_pz_summary_hftd_23_re!$B$2:$Q$3636,8,FALSE),0)</f>
        <v>172</v>
      </c>
      <c r="T23" s="38">
        <f>IFERROR(VLOOKUP(R23,[48]conductor_pz_summary_hftd_23_re!$B$2:$H$3636,7,0),0)/1609</f>
        <v>17.824772694883841</v>
      </c>
      <c r="U23" s="23">
        <f>IFERROR(VLOOKUP(R23,[47]conductor_pz_summary_hftd_23_re!$B$2:$Q$3636,14,FALSE),0)</f>
        <v>1209</v>
      </c>
      <c r="V23" s="23">
        <f t="shared" si="1"/>
        <v>8.1153517635304375</v>
      </c>
      <c r="W23" s="23">
        <f>IFERROR(VLOOKUP(R23,[47]conductor_pz_summary_hftd_23_re!$B$2:$Q$3636,13,FALSE),0)</f>
        <v>4.7182277694944402E-2</v>
      </c>
      <c r="X23" s="73">
        <f>IFERROR(VLOOKUP(R23,conductor_pz_summary_hftd_23_re!$B$2:$N$3636,13,FALSE),0)</f>
        <v>811</v>
      </c>
      <c r="Y23" s="59" t="e">
        <f t="shared" si="2"/>
        <v>#VALUE!</v>
      </c>
      <c r="AA23" s="23"/>
      <c r="AB23" s="23" t="s">
        <v>5171</v>
      </c>
      <c r="AC23" s="19" t="s">
        <v>5476</v>
      </c>
      <c r="AD23" s="19" t="s">
        <v>5477</v>
      </c>
      <c r="AE23" s="19" t="s">
        <v>5477</v>
      </c>
      <c r="AF23" s="19" t="s">
        <v>4939</v>
      </c>
      <c r="AG23" s="23">
        <v>5793921</v>
      </c>
      <c r="AH23" s="23" t="s">
        <v>5178</v>
      </c>
      <c r="AI23" s="23">
        <v>119933735</v>
      </c>
      <c r="AJ23" s="23">
        <v>35212492</v>
      </c>
      <c r="AK23" s="23" t="s">
        <v>5179</v>
      </c>
      <c r="AL23" s="23" t="s">
        <v>4883</v>
      </c>
      <c r="AM23" s="23" t="s">
        <v>4883</v>
      </c>
      <c r="AN23" s="23" t="s">
        <v>4883</v>
      </c>
      <c r="AO23" s="23" t="s">
        <v>4883</v>
      </c>
      <c r="AR23" s="23"/>
      <c r="AY23" s="23">
        <f t="shared" si="3"/>
        <v>0</v>
      </c>
      <c r="AZ23" s="40">
        <f t="shared" si="4"/>
        <v>0</v>
      </c>
    </row>
    <row r="24" spans="1:66" s="19" customFormat="1" hidden="1" x14ac:dyDescent="0.25">
      <c r="A24" s="23">
        <v>35212403</v>
      </c>
      <c r="B24" s="73" t="s">
        <v>5500</v>
      </c>
      <c r="C24" s="23"/>
      <c r="D24" s="23" t="s">
        <v>4869</v>
      </c>
      <c r="E24" s="23"/>
      <c r="F24" s="19">
        <v>2020999</v>
      </c>
      <c r="H24" s="23">
        <v>3.58</v>
      </c>
      <c r="I24" s="37">
        <f t="shared" si="0"/>
        <v>0</v>
      </c>
      <c r="J24" s="23">
        <v>2020</v>
      </c>
      <c r="K24" s="37"/>
      <c r="L24" s="37"/>
      <c r="M24" s="23">
        <v>3.58</v>
      </c>
      <c r="N24" s="21">
        <v>0</v>
      </c>
      <c r="O24" s="23" t="s">
        <v>4878</v>
      </c>
      <c r="P24" s="22">
        <v>43051101</v>
      </c>
      <c r="Q24" s="19" t="s">
        <v>2578</v>
      </c>
      <c r="R24" s="23" t="s">
        <v>2584</v>
      </c>
      <c r="S24" s="38">
        <f>IFERROR(VLOOKUP(R24,[47]conductor_pz_summary_hftd_23_re!$B$2:$Q$3636,8,FALSE),0)</f>
        <v>71</v>
      </c>
      <c r="T24" s="38">
        <f>IFERROR(VLOOKUP(R24,[48]conductor_pz_summary_hftd_23_re!$B$2:$H$3636,7,0),0)/1609</f>
        <v>8.2163812588699816</v>
      </c>
      <c r="U24" s="23">
        <f>IFERROR(VLOOKUP(R24,[47]conductor_pz_summary_hftd_23_re!$B$2:$Q$3636,14,FALSE),0)</f>
        <v>1227</v>
      </c>
      <c r="V24" s="23">
        <f t="shared" si="1"/>
        <v>3.2338033050652126</v>
      </c>
      <c r="W24" s="23">
        <f>IFERROR(VLOOKUP(R24,[47]conductor_pz_summary_hftd_23_re!$B$2:$Q$3636,13,FALSE),0)</f>
        <v>4.55465254234537E-2</v>
      </c>
      <c r="X24" s="73">
        <f>IFERROR(VLOOKUP(R24,conductor_pz_summary_hftd_23_re!$B$2:$N$3636,13,FALSE),0)</f>
        <v>1126</v>
      </c>
      <c r="Y24" s="59" t="e">
        <f t="shared" si="2"/>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f t="shared" si="3"/>
        <v>0</v>
      </c>
      <c r="AZ24" s="40">
        <f t="shared" si="4"/>
        <v>0</v>
      </c>
      <c r="BE24" s="23"/>
      <c r="BF24" s="23"/>
      <c r="BG24" s="23"/>
      <c r="BH24" s="23"/>
      <c r="BI24" s="23"/>
      <c r="BJ24" s="23"/>
      <c r="BK24" s="40"/>
      <c r="BL24" s="44"/>
      <c r="BM24" s="41"/>
      <c r="BN24" s="45"/>
    </row>
    <row r="25" spans="1:66" s="19" customFormat="1" hidden="1" x14ac:dyDescent="0.25">
      <c r="A25" s="23">
        <v>35212412</v>
      </c>
      <c r="B25" s="73" t="s">
        <v>5500</v>
      </c>
      <c r="C25" s="23"/>
      <c r="D25" s="23" t="s">
        <v>4869</v>
      </c>
      <c r="E25" s="23"/>
      <c r="F25" s="19">
        <v>2020999</v>
      </c>
      <c r="H25" s="23">
        <v>4.13</v>
      </c>
      <c r="I25" s="37">
        <f t="shared" si="0"/>
        <v>-0.58000000000000007</v>
      </c>
      <c r="J25" s="23">
        <v>2020</v>
      </c>
      <c r="K25" s="37"/>
      <c r="L25" s="37"/>
      <c r="M25" s="23">
        <v>4.71</v>
      </c>
      <c r="N25" s="21">
        <v>0</v>
      </c>
      <c r="O25" s="23" t="s">
        <v>4878</v>
      </c>
      <c r="P25" s="22">
        <v>43432104</v>
      </c>
      <c r="Q25" s="19" t="s">
        <v>4061</v>
      </c>
      <c r="R25" s="23" t="s">
        <v>4062</v>
      </c>
      <c r="S25" s="38">
        <f>IFERROR(VLOOKUP(R25,[47]conductor_pz_summary_hftd_23_re!$B$2:$Q$3636,8,FALSE),0)</f>
        <v>304</v>
      </c>
      <c r="T25" s="38">
        <f>IFERROR(VLOOKUP(R25,[48]conductor_pz_summary_hftd_23_re!$B$2:$H$3636,7,0),0)/1609</f>
        <v>26.581910608612056</v>
      </c>
      <c r="U25" s="23">
        <f>IFERROR(VLOOKUP(R25,[47]conductor_pz_summary_hftd_23_re!$B$2:$Q$3636,14,FALSE),0)</f>
        <v>1235</v>
      </c>
      <c r="V25" s="23">
        <f t="shared" si="1"/>
        <v>13.55876429471178</v>
      </c>
      <c r="W25" s="23">
        <f>IFERROR(VLOOKUP(R25,[47]conductor_pz_summary_hftd_23_re!$B$2:$Q$3636,13,FALSE),0)</f>
        <v>4.4601198337867701E-2</v>
      </c>
      <c r="X25" s="73">
        <f>IFERROR(VLOOKUP(R25,conductor_pz_summary_hftd_23_re!$B$2:$N$3636,13,FALSE),0)</f>
        <v>1426</v>
      </c>
      <c r="Y25" s="59" t="e">
        <f t="shared" si="2"/>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f t="shared" si="3"/>
        <v>0</v>
      </c>
      <c r="AZ25" s="40">
        <f t="shared" si="4"/>
        <v>0</v>
      </c>
      <c r="BE25" s="73"/>
      <c r="BF25" s="73"/>
      <c r="BG25" s="23"/>
      <c r="BH25" s="23"/>
      <c r="BI25" s="23"/>
      <c r="BJ25" s="23"/>
      <c r="BK25" s="40"/>
      <c r="BL25" s="44"/>
      <c r="BM25" s="41"/>
      <c r="BN25" s="45"/>
    </row>
    <row r="26" spans="1:66" s="19" customFormat="1" hidden="1" x14ac:dyDescent="0.25">
      <c r="A26" s="23">
        <v>35212480</v>
      </c>
      <c r="B26" s="73" t="s">
        <v>5500</v>
      </c>
      <c r="C26" s="23"/>
      <c r="D26" s="23" t="s">
        <v>4869</v>
      </c>
      <c r="E26" s="23"/>
      <c r="F26" s="19">
        <v>2020999</v>
      </c>
      <c r="H26" s="23">
        <v>6.12</v>
      </c>
      <c r="I26" s="37">
        <f t="shared" si="0"/>
        <v>3.74</v>
      </c>
      <c r="J26" s="23">
        <v>2020</v>
      </c>
      <c r="M26" s="23">
        <v>2.38</v>
      </c>
      <c r="N26" s="21">
        <v>0</v>
      </c>
      <c r="O26" s="23" t="s">
        <v>4878</v>
      </c>
      <c r="P26" s="22">
        <v>103751102</v>
      </c>
      <c r="Q26" s="19" t="s">
        <v>354</v>
      </c>
      <c r="R26" s="23" t="s">
        <v>353</v>
      </c>
      <c r="S26" s="38">
        <f>IFERROR(VLOOKUP(R26,[47]conductor_pz_summary_hftd_23_re!$B$2:$Q$3636,8,FALSE),0)</f>
        <v>177</v>
      </c>
      <c r="T26" s="38">
        <f>IFERROR(VLOOKUP(R26,[48]conductor_pz_summary_hftd_23_re!$B$2:$H$3636,7,0),0)/1609</f>
        <v>21.29644667592169</v>
      </c>
      <c r="U26" s="23">
        <f>IFERROR(VLOOKUP(R26,[47]conductor_pz_summary_hftd_23_re!$B$2:$Q$3636,14,FALSE),0)</f>
        <v>1288</v>
      </c>
      <c r="V26" s="23">
        <f t="shared" si="1"/>
        <v>7.2500155067644982</v>
      </c>
      <c r="W26" s="23">
        <f>IFERROR(VLOOKUP(R26,[47]conductor_pz_summary_hftd_23_re!$B$2:$Q$3636,13,FALSE),0)</f>
        <v>4.0960539586240102E-2</v>
      </c>
      <c r="X26" s="73">
        <f>IFERROR(VLOOKUP(R26,conductor_pz_summary_hftd_23_re!$B$2:$N$3636,13,FALSE),0)</f>
        <v>1326</v>
      </c>
      <c r="Y26" s="59" t="e">
        <f t="shared" si="2"/>
        <v>#VALUE!</v>
      </c>
      <c r="AA26" s="23"/>
      <c r="AB26" s="23" t="s">
        <v>5171</v>
      </c>
      <c r="AC26" s="19" t="s">
        <v>5455</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f t="shared" si="3"/>
        <v>0</v>
      </c>
      <c r="AZ26" s="40">
        <f t="shared" si="4"/>
        <v>0</v>
      </c>
    </row>
    <row r="27" spans="1:66" s="19" customFormat="1" hidden="1" x14ac:dyDescent="0.25">
      <c r="A27" s="23">
        <v>35212463</v>
      </c>
      <c r="B27" s="73" t="s">
        <v>5500</v>
      </c>
      <c r="C27" s="23"/>
      <c r="D27" s="23" t="s">
        <v>4869</v>
      </c>
      <c r="E27" s="23"/>
      <c r="F27" s="19">
        <v>2020999</v>
      </c>
      <c r="H27" s="23">
        <v>7.5</v>
      </c>
      <c r="I27" s="37">
        <f t="shared" si="0"/>
        <v>0</v>
      </c>
      <c r="J27" s="23">
        <v>2020</v>
      </c>
      <c r="M27" s="23">
        <v>7.5</v>
      </c>
      <c r="N27" s="21">
        <v>0</v>
      </c>
      <c r="O27" s="23" t="s">
        <v>4878</v>
      </c>
      <c r="P27" s="22">
        <v>43321103</v>
      </c>
      <c r="Q27" s="19" t="s">
        <v>3575</v>
      </c>
      <c r="R27" s="23" t="s">
        <v>3577</v>
      </c>
      <c r="S27" s="38">
        <f>IFERROR(VLOOKUP(R27,[47]conductor_pz_summary_hftd_23_re!$B$2:$Q$3636,8,FALSE),0)</f>
        <v>174</v>
      </c>
      <c r="T27" s="38">
        <f>IFERROR(VLOOKUP(R27,[48]conductor_pz_summary_hftd_23_re!$B$2:$H$3636,7,0),0)/1609</f>
        <v>18.335080654338224</v>
      </c>
      <c r="U27" s="23">
        <f>IFERROR(VLOOKUP(R27,[47]conductor_pz_summary_hftd_23_re!$B$2:$Q$3636,14,FALSE),0)</f>
        <v>1342</v>
      </c>
      <c r="V27" s="23">
        <f t="shared" si="1"/>
        <v>6.4055049040724112</v>
      </c>
      <c r="W27" s="23">
        <f>IFERROR(VLOOKUP(R27,[47]conductor_pz_summary_hftd_23_re!$B$2:$Q$3636,13,FALSE),0)</f>
        <v>3.68132465751288E-2</v>
      </c>
      <c r="X27" s="73">
        <f>IFERROR(VLOOKUP(R27,conductor_pz_summary_hftd_23_re!$B$2:$N$3636,13,FALSE),0)</f>
        <v>1399</v>
      </c>
      <c r="Y27" s="59" t="e">
        <f t="shared" si="2"/>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f t="shared" si="3"/>
        <v>0</v>
      </c>
      <c r="AZ27" s="40">
        <f t="shared" si="4"/>
        <v>0</v>
      </c>
    </row>
    <row r="28" spans="1:66" s="19" customFormat="1" hidden="1" x14ac:dyDescent="0.25">
      <c r="A28" s="23">
        <v>35212413</v>
      </c>
      <c r="B28" s="73" t="s">
        <v>5500</v>
      </c>
      <c r="C28" s="23"/>
      <c r="D28" s="23" t="s">
        <v>4869</v>
      </c>
      <c r="E28" s="23"/>
      <c r="F28" s="19">
        <v>2020999</v>
      </c>
      <c r="H28" s="23">
        <v>1.38</v>
      </c>
      <c r="I28" s="37">
        <f t="shared" si="0"/>
        <v>-2.25</v>
      </c>
      <c r="J28" s="23">
        <v>2020</v>
      </c>
      <c r="K28" s="37"/>
      <c r="L28" s="37"/>
      <c r="M28" s="23">
        <v>3.63</v>
      </c>
      <c r="N28" s="21">
        <v>0</v>
      </c>
      <c r="O28" s="23" t="s">
        <v>4878</v>
      </c>
      <c r="P28" s="22">
        <v>43432105</v>
      </c>
      <c r="Q28" s="19" t="s">
        <v>4071</v>
      </c>
      <c r="R28" s="23" t="s">
        <v>4080</v>
      </c>
      <c r="S28" s="38">
        <f>IFERROR(VLOOKUP(R28,[47]conductor_pz_summary_hftd_23_re!$B$2:$Q$3636,8,FALSE),0)</f>
        <v>151</v>
      </c>
      <c r="T28" s="38">
        <f>IFERROR(VLOOKUP(R28,[48]conductor_pz_summary_hftd_23_re!$B$2:$H$3636,7,0),0)/1609</f>
        <v>17.173684235426602</v>
      </c>
      <c r="U28" s="23">
        <f>IFERROR(VLOOKUP(R28,[47]conductor_pz_summary_hftd_23_re!$B$2:$Q$3636,14,FALSE),0)</f>
        <v>1361</v>
      </c>
      <c r="V28" s="23">
        <f t="shared" si="1"/>
        <v>5.4002355090536405</v>
      </c>
      <c r="W28" s="23">
        <f>IFERROR(VLOOKUP(R28,[47]conductor_pz_summary_hftd_23_re!$B$2:$Q$3636,13,FALSE),0)</f>
        <v>3.5763149066580402E-2</v>
      </c>
      <c r="X28" s="73">
        <f>IFERROR(VLOOKUP(R28,conductor_pz_summary_hftd_23_re!$B$2:$N$3636,13,FALSE),0)</f>
        <v>1546</v>
      </c>
      <c r="Y28" s="59" t="e">
        <f t="shared" si="2"/>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f t="shared" si="3"/>
        <v>0</v>
      </c>
      <c r="AZ28" s="40">
        <f t="shared" si="4"/>
        <v>0</v>
      </c>
      <c r="BE28" s="73"/>
      <c r="BF28" s="73"/>
      <c r="BG28" s="23"/>
      <c r="BH28" s="23"/>
      <c r="BI28" s="23"/>
      <c r="BJ28" s="23"/>
      <c r="BK28" s="40"/>
      <c r="BL28" s="44"/>
      <c r="BM28" s="41"/>
      <c r="BN28" s="45"/>
    </row>
    <row r="29" spans="1:66" s="19" customFormat="1" hidden="1" x14ac:dyDescent="0.25">
      <c r="A29" s="23">
        <v>35212496</v>
      </c>
      <c r="B29" s="73" t="s">
        <v>5500</v>
      </c>
      <c r="C29" s="23"/>
      <c r="D29" s="23" t="s">
        <v>4869</v>
      </c>
      <c r="E29" s="23"/>
      <c r="F29" s="19">
        <v>2020999</v>
      </c>
      <c r="H29" s="23">
        <v>2.2599999999999998</v>
      </c>
      <c r="I29" s="37">
        <f t="shared" si="0"/>
        <v>-0.37000000000000011</v>
      </c>
      <c r="J29" s="23">
        <v>2020</v>
      </c>
      <c r="M29" s="23">
        <v>2.63</v>
      </c>
      <c r="N29" s="21">
        <v>0</v>
      </c>
      <c r="O29" s="23" t="s">
        <v>4878</v>
      </c>
      <c r="P29" s="22">
        <v>192411101</v>
      </c>
      <c r="Q29" s="19" t="s">
        <v>2263</v>
      </c>
      <c r="R29" s="23" t="s">
        <v>2268</v>
      </c>
      <c r="S29" s="38">
        <f>IFERROR(VLOOKUP(R29,[47]conductor_pz_summary_hftd_23_re!$B$2:$Q$3636,8,FALSE),0)</f>
        <v>23</v>
      </c>
      <c r="T29" s="38">
        <f>IFERROR(VLOOKUP(R29,[48]conductor_pz_summary_hftd_23_re!$B$2:$H$3636,7,0),0)/1609</f>
        <v>2.169205025661411</v>
      </c>
      <c r="U29" s="23">
        <f>IFERROR(VLOOKUP(R29,[47]conductor_pz_summary_hftd_23_re!$B$2:$Q$3636,14,FALSE),0)</f>
        <v>1385</v>
      </c>
      <c r="V29" s="23">
        <f t="shared" si="1"/>
        <v>0.78267043593726182</v>
      </c>
      <c r="W29" s="23">
        <f>IFERROR(VLOOKUP(R29,[47]conductor_pz_summary_hftd_23_re!$B$2:$Q$3636,13,FALSE),0)</f>
        <v>3.4029149388576603E-2</v>
      </c>
      <c r="X29" s="73">
        <f>IFERROR(VLOOKUP(R29,conductor_pz_summary_hftd_23_re!$B$2:$N$3636,13,FALSE),0)</f>
        <v>1600</v>
      </c>
      <c r="Y29" s="59" t="e">
        <f t="shared" si="2"/>
        <v>#VALUE!</v>
      </c>
      <c r="AA29" s="23"/>
      <c r="AB29" s="23" t="s">
        <v>5171</v>
      </c>
      <c r="AC29" s="19" t="s">
        <v>5438</v>
      </c>
      <c r="AD29" s="19" t="s">
        <v>5440</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f t="shared" si="3"/>
        <v>0</v>
      </c>
      <c r="AZ29" s="40">
        <f t="shared" si="4"/>
        <v>0</v>
      </c>
    </row>
    <row r="30" spans="1:66" s="19" customFormat="1" hidden="1" x14ac:dyDescent="0.25">
      <c r="A30" s="23">
        <v>35212471</v>
      </c>
      <c r="B30" s="73" t="s">
        <v>5500</v>
      </c>
      <c r="C30" s="23"/>
      <c r="D30" s="23" t="s">
        <v>4869</v>
      </c>
      <c r="E30" s="23"/>
      <c r="F30" s="19">
        <v>2020999</v>
      </c>
      <c r="H30" s="23">
        <v>1.83</v>
      </c>
      <c r="I30" s="37">
        <f t="shared" si="0"/>
        <v>0</v>
      </c>
      <c r="J30" s="23">
        <v>2020</v>
      </c>
      <c r="M30" s="23">
        <v>1.83</v>
      </c>
      <c r="N30" s="21">
        <v>0</v>
      </c>
      <c r="O30" s="23" t="s">
        <v>4878</v>
      </c>
      <c r="P30" s="22">
        <v>82931101</v>
      </c>
      <c r="Q30" s="19" t="s">
        <v>3390</v>
      </c>
      <c r="R30" s="23" t="s">
        <v>3398</v>
      </c>
      <c r="S30" s="38">
        <f>IFERROR(VLOOKUP(R30,[47]conductor_pz_summary_hftd_23_re!$B$2:$Q$3636,8,FALSE),0)</f>
        <v>67</v>
      </c>
      <c r="T30" s="38">
        <f>IFERROR(VLOOKUP(R30,[48]conductor_pz_summary_hftd_23_re!$B$2:$H$3636,7,0),0)/1609</f>
        <v>7.4948084681539466</v>
      </c>
      <c r="U30" s="23">
        <f>IFERROR(VLOOKUP(R30,[47]conductor_pz_summary_hftd_23_re!$B$2:$Q$3636,14,FALSE),0)</f>
        <v>1393</v>
      </c>
      <c r="V30" s="23">
        <f t="shared" si="1"/>
        <v>2.2617862537038751</v>
      </c>
      <c r="W30" s="23">
        <f>IFERROR(VLOOKUP(R30,[47]conductor_pz_summary_hftd_23_re!$B$2:$Q$3636,13,FALSE),0)</f>
        <v>3.3758003786625003E-2</v>
      </c>
      <c r="X30" s="73">
        <f>IFERROR(VLOOKUP(R30,conductor_pz_summary_hftd_23_re!$B$2:$N$3636,13,FALSE),0)</f>
        <v>1508</v>
      </c>
      <c r="Y30" s="59" t="e">
        <f t="shared" si="2"/>
        <v>#VALUE!</v>
      </c>
      <c r="AA30" s="23"/>
      <c r="AB30" s="23" t="s">
        <v>5171</v>
      </c>
      <c r="AC30" s="19" t="s">
        <v>5444</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f t="shared" si="3"/>
        <v>0</v>
      </c>
      <c r="AZ30" s="40">
        <f t="shared" si="4"/>
        <v>0</v>
      </c>
    </row>
    <row r="31" spans="1:66" s="19" customFormat="1" hidden="1" x14ac:dyDescent="0.25">
      <c r="A31" s="23">
        <v>35212473</v>
      </c>
      <c r="B31" s="73" t="s">
        <v>5500</v>
      </c>
      <c r="C31" s="23"/>
      <c r="D31" s="23" t="s">
        <v>4869</v>
      </c>
      <c r="E31" s="23"/>
      <c r="F31" s="19">
        <v>2020999</v>
      </c>
      <c r="H31" s="23">
        <v>2.21</v>
      </c>
      <c r="I31" s="37">
        <f t="shared" si="0"/>
        <v>0</v>
      </c>
      <c r="J31" s="23">
        <v>2020</v>
      </c>
      <c r="M31" s="23">
        <v>2.21</v>
      </c>
      <c r="N31" s="21">
        <v>0</v>
      </c>
      <c r="O31" s="23" t="s">
        <v>4878</v>
      </c>
      <c r="P31" s="22">
        <v>82841102</v>
      </c>
      <c r="Q31" s="19" t="s">
        <v>335</v>
      </c>
      <c r="R31" s="23" t="s">
        <v>334</v>
      </c>
      <c r="S31" s="38">
        <f>IFERROR(VLOOKUP(R31,[47]conductor_pz_summary_hftd_23_re!$B$2:$Q$3636,8,FALSE),0)</f>
        <v>11</v>
      </c>
      <c r="T31" s="38">
        <f>IFERROR(VLOOKUP(R31,[48]conductor_pz_summary_hftd_23_re!$B$2:$H$3636,7,0),0)/1609</f>
        <v>2.1440864452358483</v>
      </c>
      <c r="U31" s="23">
        <f>IFERROR(VLOOKUP(R31,[47]conductor_pz_summary_hftd_23_re!$B$2:$Q$3636,14,FALSE),0)</f>
        <v>1421</v>
      </c>
      <c r="V31" s="23">
        <f t="shared" si="1"/>
        <v>0.35552030749036889</v>
      </c>
      <c r="W31" s="23">
        <f>IFERROR(VLOOKUP(R31,[47]conductor_pz_summary_hftd_23_re!$B$2:$Q$3636,13,FALSE),0)</f>
        <v>3.2320027953669901E-2</v>
      </c>
      <c r="X31" s="73">
        <f>IFERROR(VLOOKUP(R31,conductor_pz_summary_hftd_23_re!$B$2:$N$3636,13,FALSE),0)</f>
        <v>1814</v>
      </c>
      <c r="Y31" s="59" t="e">
        <f t="shared" si="2"/>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f t="shared" si="3"/>
        <v>0</v>
      </c>
      <c r="AZ31" s="40">
        <f t="shared" si="4"/>
        <v>0</v>
      </c>
    </row>
    <row r="32" spans="1:66" s="19" customFormat="1" hidden="1" x14ac:dyDescent="0.25">
      <c r="A32" s="23">
        <v>35212416</v>
      </c>
      <c r="B32" s="73" t="s">
        <v>5500</v>
      </c>
      <c r="C32" s="23"/>
      <c r="D32" s="23" t="s">
        <v>4869</v>
      </c>
      <c r="E32" s="23"/>
      <c r="F32" s="19">
        <v>2020999</v>
      </c>
      <c r="H32" s="23">
        <v>1.252</v>
      </c>
      <c r="I32" s="37">
        <f t="shared" si="0"/>
        <v>0</v>
      </c>
      <c r="J32" s="23">
        <v>2020</v>
      </c>
      <c r="M32" s="23">
        <v>1.252</v>
      </c>
      <c r="N32" s="21">
        <v>0</v>
      </c>
      <c r="O32" s="23" t="s">
        <v>4878</v>
      </c>
      <c r="P32" s="22">
        <v>42711102</v>
      </c>
      <c r="Q32" s="19" t="s">
        <v>579</v>
      </c>
      <c r="R32" s="23" t="s">
        <v>581</v>
      </c>
      <c r="S32" s="38">
        <f>IFERROR(VLOOKUP(R32,[47]conductor_pz_summary_hftd_23_re!$B$2:$Q$3636,8,FALSE),0)</f>
        <v>178</v>
      </c>
      <c r="T32" s="38">
        <f>IFERROR(VLOOKUP(R32,[48]conductor_pz_summary_hftd_23_re!$B$2:$H$3636,7,0),0)/1609</f>
        <v>11.216001152655066</v>
      </c>
      <c r="U32" s="23">
        <f>IFERROR(VLOOKUP(R32,[47]conductor_pz_summary_hftd_23_re!$B$2:$Q$3636,14,FALSE),0)</f>
        <v>1477</v>
      </c>
      <c r="V32" s="23">
        <f t="shared" si="1"/>
        <v>5.2283565049877918</v>
      </c>
      <c r="W32" s="23">
        <f>IFERROR(VLOOKUP(R32,[47]conductor_pz_summary_hftd_23_re!$B$2:$Q$3636,13,FALSE),0)</f>
        <v>2.9372789353864E-2</v>
      </c>
      <c r="X32" s="73">
        <f>IFERROR(VLOOKUP(R32,conductor_pz_summary_hftd_23_re!$B$2:$N$3636,13,FALSE),0)</f>
        <v>1599</v>
      </c>
      <c r="Y32" s="59" t="e">
        <f t="shared" si="2"/>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f t="shared" si="3"/>
        <v>0</v>
      </c>
      <c r="AZ32" s="40">
        <f t="shared" si="4"/>
        <v>0</v>
      </c>
    </row>
    <row r="33" spans="1:66" s="19" customFormat="1" hidden="1" x14ac:dyDescent="0.25">
      <c r="A33" s="23">
        <v>35212486</v>
      </c>
      <c r="B33" s="73" t="s">
        <v>5500</v>
      </c>
      <c r="C33" s="23"/>
      <c r="D33" s="23" t="s">
        <v>4869</v>
      </c>
      <c r="E33" s="23"/>
      <c r="F33" s="19">
        <v>2020999</v>
      </c>
      <c r="H33" s="23">
        <v>9.4600000000000009</v>
      </c>
      <c r="I33" s="37">
        <f t="shared" si="0"/>
        <v>5.0200000000000005</v>
      </c>
      <c r="J33" s="23">
        <v>2020</v>
      </c>
      <c r="M33" s="23">
        <v>4.4400000000000004</v>
      </c>
      <c r="N33" s="21">
        <v>0</v>
      </c>
      <c r="O33" s="23" t="s">
        <v>4878</v>
      </c>
      <c r="P33" s="22">
        <v>103221101</v>
      </c>
      <c r="Q33" s="19" t="s">
        <v>2034</v>
      </c>
      <c r="R33" s="23" t="s">
        <v>2040</v>
      </c>
      <c r="S33" s="38">
        <f>IFERROR(VLOOKUP(R33,[47]conductor_pz_summary_hftd_23_re!$B$2:$Q$3636,8,FALSE),0)</f>
        <v>37</v>
      </c>
      <c r="T33" s="38">
        <f>IFERROR(VLOOKUP(R33,[48]conductor_pz_summary_hftd_23_re!$B$2:$H$3636,7,0),0)/1609</f>
        <v>4.7271474818795154</v>
      </c>
      <c r="U33" s="23">
        <f>IFERROR(VLOOKUP(R33,[47]conductor_pz_summary_hftd_23_re!$B$2:$Q$3636,14,FALSE),0)</f>
        <v>1480</v>
      </c>
      <c r="V33" s="23">
        <f t="shared" si="1"/>
        <v>1.0833869066103856</v>
      </c>
      <c r="W33" s="23">
        <f>IFERROR(VLOOKUP(R33,[47]conductor_pz_summary_hftd_23_re!$B$2:$Q$3636,13,FALSE),0)</f>
        <v>2.92807272056861E-2</v>
      </c>
      <c r="X33" s="73">
        <f>IFERROR(VLOOKUP(R33,conductor_pz_summary_hftd_23_re!$B$2:$N$3636,13,FALSE),0)</f>
        <v>1533</v>
      </c>
      <c r="Y33" s="59" t="e">
        <f t="shared" si="2"/>
        <v>#VALUE!</v>
      </c>
      <c r="AA33" s="23"/>
      <c r="AB33" s="23" t="s">
        <v>5171</v>
      </c>
      <c r="AC33" s="19" t="s">
        <v>5436</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f t="shared" si="3"/>
        <v>0</v>
      </c>
      <c r="AZ33" s="40">
        <f t="shared" si="4"/>
        <v>0</v>
      </c>
    </row>
    <row r="34" spans="1:66" s="19" customFormat="1" hidden="1" x14ac:dyDescent="0.25">
      <c r="A34" s="23">
        <v>35212407</v>
      </c>
      <c r="B34" s="73" t="s">
        <v>5500</v>
      </c>
      <c r="C34" s="23"/>
      <c r="D34" s="23" t="s">
        <v>4869</v>
      </c>
      <c r="E34" s="23"/>
      <c r="F34" s="19">
        <v>2020999</v>
      </c>
      <c r="H34" s="23">
        <v>0.96</v>
      </c>
      <c r="I34" s="37">
        <f t="shared" si="0"/>
        <v>-0.18999999999999995</v>
      </c>
      <c r="J34" s="23">
        <v>2020</v>
      </c>
      <c r="K34" s="37"/>
      <c r="L34" s="37"/>
      <c r="M34" s="23">
        <v>1.1499999999999999</v>
      </c>
      <c r="N34" s="21">
        <v>0</v>
      </c>
      <c r="O34" s="23" t="s">
        <v>4878</v>
      </c>
      <c r="P34" s="22">
        <v>43432102</v>
      </c>
      <c r="Q34" s="19" t="s">
        <v>4042</v>
      </c>
      <c r="R34" s="23" t="s">
        <v>4046</v>
      </c>
      <c r="S34" s="38">
        <f>IFERROR(VLOOKUP(R34,[47]conductor_pz_summary_hftd_23_re!$B$2:$Q$3636,8,FALSE),0)</f>
        <v>81</v>
      </c>
      <c r="T34" s="38">
        <f>IFERROR(VLOOKUP(R34,[48]conductor_pz_summary_hftd_23_re!$B$2:$H$3636,7,0),0)/1609</f>
        <v>5.4650388104344314</v>
      </c>
      <c r="U34" s="23">
        <f>IFERROR(VLOOKUP(R34,[47]conductor_pz_summary_hftd_23_re!$B$2:$Q$3636,14,FALSE),0)</f>
        <v>1550</v>
      </c>
      <c r="V34" s="23">
        <f t="shared" si="1"/>
        <v>2.0482867159653759</v>
      </c>
      <c r="W34" s="23">
        <f>IFERROR(VLOOKUP(R34,[47]conductor_pz_summary_hftd_23_re!$B$2:$Q$3636,13,FALSE),0)</f>
        <v>2.5287490320560199E-2</v>
      </c>
      <c r="X34" s="73">
        <f>IFERROR(VLOOKUP(R34,conductor_pz_summary_hftd_23_re!$B$2:$N$3636,13,FALSE),0)</f>
        <v>1827</v>
      </c>
      <c r="Y34" s="59" t="e">
        <f t="shared" si="2"/>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f t="shared" si="3"/>
        <v>0</v>
      </c>
      <c r="AZ34" s="40">
        <f t="shared" si="4"/>
        <v>0</v>
      </c>
      <c r="BE34" s="23"/>
      <c r="BF34" s="23"/>
      <c r="BG34" s="23"/>
      <c r="BH34" s="23"/>
      <c r="BI34" s="23"/>
      <c r="BJ34" s="23"/>
      <c r="BK34" s="40"/>
      <c r="BL34" s="44"/>
      <c r="BM34" s="41"/>
      <c r="BN34" s="45"/>
    </row>
    <row r="35" spans="1:66" s="19" customFormat="1" hidden="1" x14ac:dyDescent="0.25">
      <c r="A35" s="23">
        <v>35212462</v>
      </c>
      <c r="B35" s="73" t="s">
        <v>5500</v>
      </c>
      <c r="C35" s="23"/>
      <c r="D35" s="23" t="s">
        <v>4869</v>
      </c>
      <c r="E35" s="23"/>
      <c r="F35" s="19">
        <v>2020999</v>
      </c>
      <c r="H35" s="23">
        <v>12.16</v>
      </c>
      <c r="I35" s="37">
        <f t="shared" ref="I35:I55" si="5">H35-M35</f>
        <v>-0.34999999999999964</v>
      </c>
      <c r="J35" s="23">
        <v>2020</v>
      </c>
      <c r="M35" s="23">
        <v>12.51</v>
      </c>
      <c r="N35" s="21">
        <v>0</v>
      </c>
      <c r="O35" s="23" t="s">
        <v>4878</v>
      </c>
      <c r="P35" s="22">
        <v>43321103</v>
      </c>
      <c r="Q35" s="19" t="s">
        <v>3575</v>
      </c>
      <c r="R35" s="23" t="s">
        <v>3574</v>
      </c>
      <c r="S35" s="38">
        <f>IFERROR(VLOOKUP(R35,[47]conductor_pz_summary_hftd_23_re!$B$2:$Q$3636,8,FALSE),0)</f>
        <v>62</v>
      </c>
      <c r="T35" s="38">
        <f>IFERROR(VLOOKUP(R35,[48]conductor_pz_summary_hftd_23_re!$B$2:$H$3636,7,0),0)/1609</f>
        <v>6.4237525855656923</v>
      </c>
      <c r="U35" s="23">
        <f>IFERROR(VLOOKUP(R35,[47]conductor_pz_summary_hftd_23_re!$B$2:$Q$3636,14,FALSE),0)</f>
        <v>1618</v>
      </c>
      <c r="V35" s="23">
        <f t="shared" si="1"/>
        <v>1.398703753879259</v>
      </c>
      <c r="W35" s="23">
        <f>IFERROR(VLOOKUP(R35,[47]conductor_pz_summary_hftd_23_re!$B$2:$Q$3636,13,FALSE),0)</f>
        <v>2.25597379657945E-2</v>
      </c>
      <c r="X35" s="73">
        <f>IFERROR(VLOOKUP(R35,conductor_pz_summary_hftd_23_re!$B$2:$N$3636,13,FALSE),0)</f>
        <v>1658</v>
      </c>
      <c r="Y35" s="59" t="e">
        <f t="shared" ref="Y35:Y55" si="6">(AL35*0.67+AM35*0.99+AN35+AO35*0.99)/(SUM(AL35:AO35))*V35*(H35/T35)</f>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f t="shared" ref="AY35:AY55" si="7">AW35+AX35</f>
        <v>0</v>
      </c>
      <c r="AZ35" s="40">
        <f t="shared" ref="AZ35:AZ55" si="8">AY35/5280</f>
        <v>0</v>
      </c>
    </row>
    <row r="36" spans="1:66" s="19" customFormat="1" hidden="1" x14ac:dyDescent="0.25">
      <c r="A36" s="23">
        <v>35212417</v>
      </c>
      <c r="B36" s="73" t="s">
        <v>5500</v>
      </c>
      <c r="C36" s="23"/>
      <c r="D36" s="23" t="s">
        <v>4869</v>
      </c>
      <c r="E36" s="23"/>
      <c r="F36" s="19">
        <v>2020999</v>
      </c>
      <c r="H36" s="23">
        <v>4.2</v>
      </c>
      <c r="I36" s="37">
        <f t="shared" si="5"/>
        <v>0.1800000000000006</v>
      </c>
      <c r="J36" s="23">
        <v>2020</v>
      </c>
      <c r="M36" s="23">
        <v>4.0199999999999996</v>
      </c>
      <c r="N36" s="21">
        <v>0</v>
      </c>
      <c r="O36" s="23" t="s">
        <v>4878</v>
      </c>
      <c r="P36" s="22">
        <v>42711102</v>
      </c>
      <c r="Q36" s="19" t="s">
        <v>579</v>
      </c>
      <c r="R36" s="23" t="s">
        <v>584</v>
      </c>
      <c r="S36" s="38">
        <f>IFERROR(VLOOKUP(R36,[47]conductor_pz_summary_hftd_23_re!$B$2:$Q$3636,8,FALSE),0)</f>
        <v>160</v>
      </c>
      <c r="T36" s="38">
        <f>IFERROR(VLOOKUP(R36,[48]conductor_pz_summary_hftd_23_re!$B$2:$H$3636,7,0),0)/1609</f>
        <v>11.021039144762524</v>
      </c>
      <c r="U36" s="23">
        <f>IFERROR(VLOOKUP(R36,[47]conductor_pz_summary_hftd_23_re!$B$2:$Q$3636,14,FALSE),0)</f>
        <v>1624</v>
      </c>
      <c r="V36" s="23">
        <f t="shared" si="1"/>
        <v>3.574030047632752</v>
      </c>
      <c r="W36" s="23">
        <f>IFERROR(VLOOKUP(R36,[47]conductor_pz_summary_hftd_23_re!$B$2:$Q$3636,13,FALSE),0)</f>
        <v>2.2337687797704699E-2</v>
      </c>
      <c r="X36" s="73">
        <f>IFERROR(VLOOKUP(R36,conductor_pz_summary_hftd_23_re!$B$2:$N$3636,13,FALSE),0)</f>
        <v>1749</v>
      </c>
      <c r="Y36" s="59" t="e">
        <f t="shared" si="6"/>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f t="shared" si="7"/>
        <v>0</v>
      </c>
      <c r="AZ36" s="40">
        <f t="shared" si="8"/>
        <v>0</v>
      </c>
    </row>
    <row r="37" spans="1:66" s="19" customFormat="1" hidden="1" x14ac:dyDescent="0.25">
      <c r="A37" s="23">
        <v>35212410</v>
      </c>
      <c r="B37" s="73" t="s">
        <v>5500</v>
      </c>
      <c r="C37" s="23"/>
      <c r="D37" s="23" t="s">
        <v>4869</v>
      </c>
      <c r="E37" s="23"/>
      <c r="F37" s="19">
        <v>2020999</v>
      </c>
      <c r="H37" s="23">
        <v>0.41</v>
      </c>
      <c r="I37" s="37">
        <f t="shared" si="5"/>
        <v>0</v>
      </c>
      <c r="J37" s="23">
        <v>2020</v>
      </c>
      <c r="K37" s="37"/>
      <c r="L37" s="37"/>
      <c r="M37" s="23">
        <v>0.41</v>
      </c>
      <c r="N37" s="21">
        <v>0</v>
      </c>
      <c r="O37" s="23" t="s">
        <v>4878</v>
      </c>
      <c r="P37" s="22">
        <v>43432104</v>
      </c>
      <c r="Q37" s="19" t="s">
        <v>4061</v>
      </c>
      <c r="R37" s="23" t="s">
        <v>4065</v>
      </c>
      <c r="S37" s="38">
        <f>IFERROR(VLOOKUP(R37,[47]conductor_pz_summary_hftd_23_re!$B$2:$Q$3636,8,FALSE),0)</f>
        <v>61</v>
      </c>
      <c r="T37" s="38">
        <f>IFERROR(VLOOKUP(R37,[48]conductor_pz_summary_hftd_23_re!$B$2:$H$3636,7,0),0)/1609</f>
        <v>3.7544168859633253</v>
      </c>
      <c r="U37" s="23">
        <f>IFERROR(VLOOKUP(R37,[47]conductor_pz_summary_hftd_23_re!$B$2:$Q$3636,14,FALSE),0)</f>
        <v>1648</v>
      </c>
      <c r="V37" s="23">
        <f t="shared" si="1"/>
        <v>1.2919795624367154</v>
      </c>
      <c r="W37" s="23">
        <f>IFERROR(VLOOKUP(R37,[47]conductor_pz_summary_hftd_23_re!$B$2:$Q$3636,13,FALSE),0)</f>
        <v>2.11799928268314E-2</v>
      </c>
      <c r="X37" s="73">
        <f>IFERROR(VLOOKUP(R37,conductor_pz_summary_hftd_23_re!$B$2:$N$3636,13,FALSE),0)</f>
        <v>1771</v>
      </c>
      <c r="Y37" s="59" t="e">
        <f t="shared" si="6"/>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f t="shared" si="7"/>
        <v>0</v>
      </c>
      <c r="AZ37" s="40">
        <f t="shared" si="8"/>
        <v>0</v>
      </c>
      <c r="BE37" s="73"/>
      <c r="BF37" s="73"/>
      <c r="BG37" s="23"/>
      <c r="BH37" s="23"/>
      <c r="BI37" s="23"/>
      <c r="BJ37" s="23"/>
      <c r="BK37" s="40"/>
      <c r="BL37" s="44"/>
      <c r="BM37" s="41"/>
      <c r="BN37" s="45"/>
    </row>
    <row r="38" spans="1:66" s="19" customFormat="1" hidden="1" x14ac:dyDescent="0.25">
      <c r="A38" s="23">
        <v>35212419</v>
      </c>
      <c r="B38" s="73" t="s">
        <v>5500</v>
      </c>
      <c r="C38" s="23"/>
      <c r="D38" s="23" t="s">
        <v>4869</v>
      </c>
      <c r="E38" s="23"/>
      <c r="F38" s="19">
        <v>2020999</v>
      </c>
      <c r="H38" s="23"/>
      <c r="I38" s="37">
        <f t="shared" si="5"/>
        <v>0</v>
      </c>
      <c r="J38" s="23">
        <v>2020</v>
      </c>
      <c r="M38" s="23"/>
      <c r="N38" s="21">
        <v>0</v>
      </c>
      <c r="O38" s="23" t="s">
        <v>4878</v>
      </c>
      <c r="P38" s="22">
        <v>43071101</v>
      </c>
      <c r="Q38" s="19" t="s">
        <v>1190</v>
      </c>
      <c r="R38" s="23" t="s">
        <v>1195</v>
      </c>
      <c r="S38" s="38">
        <f>IFERROR(VLOOKUP(R38,[47]conductor_pz_summary_hftd_23_re!$B$2:$Q$3636,8,FALSE),0)</f>
        <v>28</v>
      </c>
      <c r="T38" s="38">
        <f>IFERROR(VLOOKUP(R38,[48]conductor_pz_summary_hftd_23_re!$B$2:$H$3636,7,0),0)/1609</f>
        <v>2.6413834869364385</v>
      </c>
      <c r="U38" s="23">
        <f>IFERROR(VLOOKUP(R38,[47]conductor_pz_summary_hftd_23_re!$B$2:$Q$3636,14,FALSE),0)</f>
        <v>1684</v>
      </c>
      <c r="V38" s="23">
        <f t="shared" si="1"/>
        <v>0.54085030057367678</v>
      </c>
      <c r="W38" s="23">
        <f>IFERROR(VLOOKUP(R38,[47]conductor_pz_summary_hftd_23_re!$B$2:$Q$3636,13,FALSE),0)</f>
        <v>1.9316082163345599E-2</v>
      </c>
      <c r="X38" s="73">
        <f>IFERROR(VLOOKUP(R38,conductor_pz_summary_hftd_23_re!$B$2:$N$3636,13,FALSE),0)</f>
        <v>1689</v>
      </c>
      <c r="Y38" s="59" t="e">
        <f t="shared" si="6"/>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f t="shared" si="7"/>
        <v>0</v>
      </c>
      <c r="AZ38" s="40">
        <f t="shared" si="8"/>
        <v>0</v>
      </c>
    </row>
    <row r="39" spans="1:66" s="19" customFormat="1" hidden="1" x14ac:dyDescent="0.25">
      <c r="A39" s="23">
        <v>35212488</v>
      </c>
      <c r="B39" s="73" t="s">
        <v>5500</v>
      </c>
      <c r="C39" s="23"/>
      <c r="D39" s="23" t="s">
        <v>4869</v>
      </c>
      <c r="E39" s="23"/>
      <c r="F39" s="19">
        <v>2020999</v>
      </c>
      <c r="H39" s="23">
        <v>4.74</v>
      </c>
      <c r="I39" s="37">
        <f t="shared" si="5"/>
        <v>0.33999999999999986</v>
      </c>
      <c r="J39" s="23">
        <v>2020</v>
      </c>
      <c r="M39" s="23">
        <v>4.4000000000000004</v>
      </c>
      <c r="N39" s="21">
        <v>0</v>
      </c>
      <c r="O39" s="23" t="s">
        <v>4878</v>
      </c>
      <c r="P39" s="22">
        <v>103221101</v>
      </c>
      <c r="Q39" s="19" t="s">
        <v>2034</v>
      </c>
      <c r="R39" s="23" t="s">
        <v>2037</v>
      </c>
      <c r="S39" s="38">
        <f>IFERROR(VLOOKUP(R39,[47]conductor_pz_summary_hftd_23_re!$B$2:$Q$3636,8,FALSE),0)</f>
        <v>204</v>
      </c>
      <c r="T39" s="38">
        <f>IFERROR(VLOOKUP(R39,[48]conductor_pz_summary_hftd_23_re!$B$2:$H$3636,7,0),0)/1609</f>
        <v>27.273065196185087</v>
      </c>
      <c r="U39" s="23">
        <f>IFERROR(VLOOKUP(R39,[47]conductor_pz_summary_hftd_23_re!$B$2:$Q$3636,14,FALSE),0)</f>
        <v>1728</v>
      </c>
      <c r="V39" s="23">
        <f t="shared" si="1"/>
        <v>3.5397344424153996</v>
      </c>
      <c r="W39" s="23">
        <f>IFERROR(VLOOKUP(R39,[47]conductor_pz_summary_hftd_23_re!$B$2:$Q$3636,13,FALSE),0)</f>
        <v>1.73516394236049E-2</v>
      </c>
      <c r="X39" s="73">
        <f>IFERROR(VLOOKUP(R39,conductor_pz_summary_hftd_23_re!$B$2:$N$3636,13,FALSE),0)</f>
        <v>1755</v>
      </c>
      <c r="Y39" s="59" t="e">
        <f t="shared" si="6"/>
        <v>#VALUE!</v>
      </c>
      <c r="AA39" s="23"/>
      <c r="AB39" s="23" t="s">
        <v>5171</v>
      </c>
      <c r="AC39" s="19" t="s">
        <v>5436</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f t="shared" si="7"/>
        <v>0</v>
      </c>
      <c r="AZ39" s="40">
        <f t="shared" si="8"/>
        <v>0</v>
      </c>
    </row>
    <row r="40" spans="1:66" s="19" customFormat="1" hidden="1" x14ac:dyDescent="0.25">
      <c r="A40" s="23">
        <v>35212478</v>
      </c>
      <c r="B40" s="73" t="s">
        <v>5500</v>
      </c>
      <c r="C40" s="23"/>
      <c r="D40" s="23" t="s">
        <v>4869</v>
      </c>
      <c r="E40" s="23"/>
      <c r="F40" s="19">
        <v>2020999</v>
      </c>
      <c r="H40" s="23">
        <v>7.99</v>
      </c>
      <c r="I40" s="37">
        <f t="shared" si="5"/>
        <v>0</v>
      </c>
      <c r="J40" s="23">
        <v>2020</v>
      </c>
      <c r="M40" s="23">
        <v>7.99</v>
      </c>
      <c r="N40" s="21">
        <v>0</v>
      </c>
      <c r="O40" s="23" t="s">
        <v>4878</v>
      </c>
      <c r="P40" s="22">
        <v>83392110</v>
      </c>
      <c r="Q40" s="19" t="s">
        <v>4290</v>
      </c>
      <c r="R40" s="23" t="s">
        <v>4293</v>
      </c>
      <c r="S40" s="38">
        <f>IFERROR(VLOOKUP(R40,[47]conductor_pz_summary_hftd_23_re!$B$2:$Q$3636,8,FALSE),0)</f>
        <v>83</v>
      </c>
      <c r="T40" s="38">
        <f>IFERROR(VLOOKUP(R40,[48]conductor_pz_summary_hftd_23_re!$B$2:$H$3636,7,0),0)/1609</f>
        <v>18.458167919300308</v>
      </c>
      <c r="U40" s="23">
        <f>IFERROR(VLOOKUP(R40,[47]conductor_pz_summary_hftd_23_re!$B$2:$Q$3636,14,FALSE),0)</f>
        <v>1769</v>
      </c>
      <c r="V40" s="23">
        <f t="shared" si="1"/>
        <v>1.2891836928184284</v>
      </c>
      <c r="W40" s="23">
        <f>IFERROR(VLOOKUP(R40,[47]conductor_pz_summary_hftd_23_re!$B$2:$Q$3636,13,FALSE),0)</f>
        <v>1.55323336484148E-2</v>
      </c>
      <c r="X40" s="73">
        <f>IFERROR(VLOOKUP(R40,conductor_pz_summary_hftd_23_re!$B$2:$N$3636,13,FALSE),0)</f>
        <v>1452</v>
      </c>
      <c r="Y40" s="59" t="e">
        <f t="shared" si="6"/>
        <v>#VALUE!</v>
      </c>
      <c r="AA40" s="23"/>
      <c r="AB40" s="23" t="s">
        <v>5171</v>
      </c>
      <c r="AC40" s="19" t="s">
        <v>5448</v>
      </c>
      <c r="AD40" s="19" t="s">
        <v>5090</v>
      </c>
      <c r="AE40" s="19" t="s">
        <v>5449</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f t="shared" si="7"/>
        <v>0</v>
      </c>
      <c r="AZ40" s="40">
        <f t="shared" si="8"/>
        <v>0</v>
      </c>
    </row>
    <row r="41" spans="1:66" s="19" customFormat="1" hidden="1" x14ac:dyDescent="0.25">
      <c r="A41" s="23">
        <v>35212483</v>
      </c>
      <c r="B41" s="73" t="s">
        <v>5500</v>
      </c>
      <c r="C41" s="23"/>
      <c r="D41" s="23" t="s">
        <v>4869</v>
      </c>
      <c r="E41" s="23"/>
      <c r="F41" s="19">
        <v>2020999</v>
      </c>
      <c r="H41" s="23">
        <v>12.53</v>
      </c>
      <c r="I41" s="37">
        <f t="shared" si="5"/>
        <v>11</v>
      </c>
      <c r="J41" s="23">
        <v>2020</v>
      </c>
      <c r="M41" s="23">
        <v>1.53</v>
      </c>
      <c r="N41" s="21">
        <v>0</v>
      </c>
      <c r="O41" s="23" t="s">
        <v>4878</v>
      </c>
      <c r="P41" s="22">
        <v>102911103</v>
      </c>
      <c r="Q41" s="19" t="s">
        <v>4762</v>
      </c>
      <c r="R41" s="23" t="s">
        <v>4765</v>
      </c>
      <c r="S41" s="38">
        <f>IFERROR(VLOOKUP(R41,[47]conductor_pz_summary_hftd_23_re!$B$2:$Q$3636,8,FALSE),0)</f>
        <v>259</v>
      </c>
      <c r="T41" s="38">
        <f>IFERROR(VLOOKUP(R41,[48]conductor_pz_summary_hftd_23_re!$B$2:$H$3636,7,0),0)/1609</f>
        <v>22.416802532658608</v>
      </c>
      <c r="U41" s="23">
        <f>IFERROR(VLOOKUP(R41,[47]conductor_pz_summary_hftd_23_re!$B$2:$Q$3636,14,FALSE),0)</f>
        <v>1849</v>
      </c>
      <c r="V41" s="23">
        <f t="shared" si="1"/>
        <v>3.3188150936835816</v>
      </c>
      <c r="W41" s="23">
        <f>IFERROR(VLOOKUP(R41,[47]conductor_pz_summary_hftd_23_re!$B$2:$Q$3636,13,FALSE),0)</f>
        <v>1.28139578906702E-2</v>
      </c>
      <c r="X41" s="73">
        <f>IFERROR(VLOOKUP(R41,conductor_pz_summary_hftd_23_re!$B$2:$N$3636,13,FALSE),0)</f>
        <v>1756</v>
      </c>
      <c r="Y41" s="59" t="e">
        <f t="shared" si="6"/>
        <v>#VALUE!</v>
      </c>
      <c r="AA41" s="23"/>
      <c r="AB41" s="23" t="s">
        <v>5171</v>
      </c>
      <c r="AC41" s="19" t="s">
        <v>5455</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f t="shared" si="7"/>
        <v>0</v>
      </c>
      <c r="AZ41" s="40">
        <f t="shared" si="8"/>
        <v>0</v>
      </c>
    </row>
    <row r="42" spans="1:66" s="19" customFormat="1" hidden="1" x14ac:dyDescent="0.25">
      <c r="A42" s="23">
        <v>35212414</v>
      </c>
      <c r="B42" s="73" t="s">
        <v>5500</v>
      </c>
      <c r="C42" s="23"/>
      <c r="D42" s="23" t="s">
        <v>4869</v>
      </c>
      <c r="E42" s="23"/>
      <c r="F42" s="19">
        <v>2020999</v>
      </c>
      <c r="H42" s="23">
        <v>1.22</v>
      </c>
      <c r="I42" s="37">
        <f t="shared" si="5"/>
        <v>0.24</v>
      </c>
      <c r="J42" s="23">
        <v>2020</v>
      </c>
      <c r="K42" s="37"/>
      <c r="L42" s="37"/>
      <c r="M42" s="23">
        <v>0.98</v>
      </c>
      <c r="N42" s="21">
        <v>0</v>
      </c>
      <c r="O42" s="23" t="s">
        <v>4878</v>
      </c>
      <c r="P42" s="22">
        <v>43432105</v>
      </c>
      <c r="Q42" s="19" t="s">
        <v>4071</v>
      </c>
      <c r="R42" s="23" t="s">
        <v>4073</v>
      </c>
      <c r="S42" s="38">
        <f>IFERROR(VLOOKUP(R42,[47]conductor_pz_summary_hftd_23_re!$B$2:$Q$3636,8,FALSE),0)</f>
        <v>57</v>
      </c>
      <c r="T42" s="38">
        <f>IFERROR(VLOOKUP(R42,[48]conductor_pz_summary_hftd_23_re!$B$2:$H$3636,7,0),0)/1609</f>
        <v>4.1384721342906401</v>
      </c>
      <c r="U42" s="23">
        <f>IFERROR(VLOOKUP(R42,[47]conductor_pz_summary_hftd_23_re!$B$2:$Q$3636,14,FALSE),0)</f>
        <v>1947</v>
      </c>
      <c r="V42" s="23">
        <f t="shared" si="1"/>
        <v>0.5860423734983865</v>
      </c>
      <c r="W42" s="23">
        <f>IFERROR(VLOOKUP(R42,[47]conductor_pz_summary_hftd_23_re!$B$2:$Q$3636,13,FALSE),0)</f>
        <v>1.0281445149094501E-2</v>
      </c>
      <c r="X42" s="73">
        <f>IFERROR(VLOOKUP(R42,conductor_pz_summary_hftd_23_re!$B$2:$N$3636,13,FALSE),0)</f>
        <v>2060</v>
      </c>
      <c r="Y42" s="59" t="e">
        <f t="shared" si="6"/>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f t="shared" si="7"/>
        <v>0</v>
      </c>
      <c r="AZ42" s="40">
        <f t="shared" si="8"/>
        <v>0</v>
      </c>
      <c r="BE42" s="73"/>
      <c r="BF42" s="73"/>
      <c r="BG42" s="23"/>
      <c r="BH42" s="23"/>
      <c r="BI42" s="23"/>
      <c r="BJ42" s="23"/>
      <c r="BK42" s="40"/>
      <c r="BL42" s="44"/>
      <c r="BM42" s="41"/>
      <c r="BN42" s="45"/>
    </row>
    <row r="43" spans="1:66" s="19" customFormat="1" hidden="1" x14ac:dyDescent="0.25">
      <c r="A43" s="23">
        <v>35212409</v>
      </c>
      <c r="B43" s="73" t="s">
        <v>5500</v>
      </c>
      <c r="C43" s="23"/>
      <c r="D43" s="23" t="s">
        <v>4869</v>
      </c>
      <c r="E43" s="23"/>
      <c r="F43" s="19">
        <v>2020999</v>
      </c>
      <c r="H43" s="23">
        <v>0.97</v>
      </c>
      <c r="I43" s="37">
        <f t="shared" si="5"/>
        <v>0</v>
      </c>
      <c r="J43" s="23">
        <v>2020</v>
      </c>
      <c r="K43" s="37"/>
      <c r="L43" s="37"/>
      <c r="M43" s="23">
        <v>0.97</v>
      </c>
      <c r="N43" s="21">
        <v>0</v>
      </c>
      <c r="O43" s="23" t="s">
        <v>4878</v>
      </c>
      <c r="P43" s="22">
        <v>43432104</v>
      </c>
      <c r="Q43" s="19" t="s">
        <v>4061</v>
      </c>
      <c r="R43" s="23" t="s">
        <v>4064</v>
      </c>
      <c r="S43" s="38">
        <f>IFERROR(VLOOKUP(R43,[47]conductor_pz_summary_hftd_23_re!$B$2:$Q$3636,8,FALSE),0)</f>
        <v>13</v>
      </c>
      <c r="T43" s="38">
        <f>IFERROR(VLOOKUP(R43,[48]conductor_pz_summary_hftd_23_re!$B$2:$H$3636,7,0),0)/1609</f>
        <v>1.0111210558354693</v>
      </c>
      <c r="U43" s="23">
        <f>IFERROR(VLOOKUP(R43,[47]conductor_pz_summary_hftd_23_re!$B$2:$Q$3636,14,FALSE),0)</f>
        <v>2117</v>
      </c>
      <c r="V43" s="23">
        <f t="shared" si="1"/>
        <v>8.5284789044406506E-2</v>
      </c>
      <c r="W43" s="23">
        <f>IFERROR(VLOOKUP(R43,[47]conductor_pz_summary_hftd_23_re!$B$2:$Q$3636,13,FALSE),0)</f>
        <v>6.5603683880312699E-3</v>
      </c>
      <c r="X43" s="73">
        <f>IFERROR(VLOOKUP(R43,conductor_pz_summary_hftd_23_re!$B$2:$N$3636,13,FALSE),0)</f>
        <v>2103</v>
      </c>
      <c r="Y43" s="59" t="e">
        <f t="shared" si="6"/>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f t="shared" si="7"/>
        <v>0</v>
      </c>
      <c r="AZ43" s="40">
        <f t="shared" si="8"/>
        <v>0</v>
      </c>
      <c r="BE43" s="73"/>
      <c r="BF43" s="73"/>
      <c r="BG43" s="23"/>
      <c r="BH43" s="23"/>
      <c r="BI43" s="23"/>
      <c r="BJ43" s="23"/>
      <c r="BK43" s="40"/>
      <c r="BL43" s="44"/>
      <c r="BM43" s="41"/>
      <c r="BN43" s="45"/>
    </row>
    <row r="44" spans="1:66" s="19" customFormat="1" hidden="1" x14ac:dyDescent="0.25">
      <c r="A44" s="23">
        <v>35212415</v>
      </c>
      <c r="B44" s="73" t="s">
        <v>5500</v>
      </c>
      <c r="C44" s="23"/>
      <c r="D44" s="23" t="s">
        <v>4869</v>
      </c>
      <c r="E44" s="23"/>
      <c r="F44" s="19">
        <v>2020999</v>
      </c>
      <c r="H44" s="23">
        <v>2.31</v>
      </c>
      <c r="I44" s="37">
        <f t="shared" si="5"/>
        <v>0</v>
      </c>
      <c r="J44" s="23">
        <v>2020</v>
      </c>
      <c r="K44" s="37"/>
      <c r="L44" s="37"/>
      <c r="M44" s="23">
        <v>2.31</v>
      </c>
      <c r="N44" s="21">
        <v>0</v>
      </c>
      <c r="O44" s="23" t="s">
        <v>4878</v>
      </c>
      <c r="P44" s="22">
        <v>43432105</v>
      </c>
      <c r="Q44" s="19" t="s">
        <v>4071</v>
      </c>
      <c r="R44" s="23" t="s">
        <v>4074</v>
      </c>
      <c r="S44" s="38">
        <f>IFERROR(VLOOKUP(R44,[47]conductor_pz_summary_hftd_23_re!$B$2:$Q$3636,8,FALSE),0)</f>
        <v>70</v>
      </c>
      <c r="T44" s="38">
        <f>IFERROR(VLOOKUP(R44,[48]conductor_pz_summary_hftd_23_re!$B$2:$H$3636,7,0),0)/1609</f>
        <v>9.5796090349802974</v>
      </c>
      <c r="U44" s="23">
        <f>IFERROR(VLOOKUP(R44,[47]conductor_pz_summary_hftd_23_re!$B$2:$Q$3636,14,FALSE),0)</f>
        <v>2174</v>
      </c>
      <c r="V44" s="23">
        <f t="shared" si="1"/>
        <v>0.39281086989395442</v>
      </c>
      <c r="W44" s="23">
        <f>IFERROR(VLOOKUP(R44,[47]conductor_pz_summary_hftd_23_re!$B$2:$Q$3636,13,FALSE),0)</f>
        <v>5.6115838556279199E-3</v>
      </c>
      <c r="X44" s="73">
        <f>IFERROR(VLOOKUP(R44,conductor_pz_summary_hftd_23_re!$B$2:$N$3636,13,FALSE),0)</f>
        <v>2203</v>
      </c>
      <c r="Y44" s="59" t="e">
        <f t="shared" si="6"/>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f t="shared" si="7"/>
        <v>0</v>
      </c>
      <c r="AZ44" s="40">
        <f t="shared" si="8"/>
        <v>0</v>
      </c>
      <c r="BE44" s="73"/>
      <c r="BF44" s="73"/>
      <c r="BG44" s="23"/>
      <c r="BH44" s="23"/>
      <c r="BI44" s="23"/>
      <c r="BJ44" s="23"/>
      <c r="BK44" s="40"/>
      <c r="BL44" s="44"/>
      <c r="BM44" s="41"/>
      <c r="BN44" s="45"/>
    </row>
    <row r="45" spans="1:66" s="19" customFormat="1" hidden="1" x14ac:dyDescent="0.25">
      <c r="A45" s="23">
        <v>35212467</v>
      </c>
      <c r="B45" s="73" t="s">
        <v>5500</v>
      </c>
      <c r="C45" s="23"/>
      <c r="D45" s="23" t="s">
        <v>4869</v>
      </c>
      <c r="E45" s="23"/>
      <c r="F45" s="19">
        <v>2020999</v>
      </c>
      <c r="H45" s="23">
        <v>1.22</v>
      </c>
      <c r="I45" s="37">
        <f t="shared" si="5"/>
        <v>0</v>
      </c>
      <c r="J45" s="23">
        <v>2020</v>
      </c>
      <c r="M45" s="23">
        <v>1.22</v>
      </c>
      <c r="N45" s="21">
        <v>0</v>
      </c>
      <c r="O45" s="23" t="s">
        <v>4878</v>
      </c>
      <c r="P45" s="22">
        <v>182371111</v>
      </c>
      <c r="Q45" s="19" t="s">
        <v>2138</v>
      </c>
      <c r="R45" s="23" t="s">
        <v>2139</v>
      </c>
      <c r="S45" s="38">
        <f>IFERROR(VLOOKUP(R45,[47]conductor_pz_summary_hftd_23_re!$B$2:$Q$3636,8,FALSE),0)</f>
        <v>281</v>
      </c>
      <c r="T45" s="38">
        <f>IFERROR(VLOOKUP(R45,[48]conductor_pz_summary_hftd_23_re!$B$2:$H$3636,7,0),0)/1609</f>
        <v>34.353795644140583</v>
      </c>
      <c r="U45" s="23">
        <f>IFERROR(VLOOKUP(R45,[47]conductor_pz_summary_hftd_23_re!$B$2:$Q$3636,14,FALSE),0)</f>
        <v>2187</v>
      </c>
      <c r="V45" s="23">
        <f t="shared" si="1"/>
        <v>1.5106547910657464</v>
      </c>
      <c r="W45" s="23">
        <f>IFERROR(VLOOKUP(R45,[47]conductor_pz_summary_hftd_23_re!$B$2:$Q$3636,13,FALSE),0)</f>
        <v>5.3759956977428702E-3</v>
      </c>
      <c r="X45" s="73">
        <f>IFERROR(VLOOKUP(R45,conductor_pz_summary_hftd_23_re!$B$2:$N$3636,13,FALSE),0)</f>
        <v>2260</v>
      </c>
      <c r="Y45" s="59" t="e">
        <f t="shared" si="6"/>
        <v>#VALUE!</v>
      </c>
      <c r="AA45" s="23"/>
      <c r="AB45" s="23" t="s">
        <v>5171</v>
      </c>
      <c r="AC45" s="19" t="s">
        <v>5439</v>
      </c>
      <c r="AD45" s="19" t="s">
        <v>5437</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f t="shared" si="7"/>
        <v>0</v>
      </c>
      <c r="AZ45" s="40">
        <f t="shared" si="8"/>
        <v>0</v>
      </c>
    </row>
    <row r="46" spans="1:66" s="19" customFormat="1" hidden="1" x14ac:dyDescent="0.25">
      <c r="A46" s="23">
        <v>35212469</v>
      </c>
      <c r="B46" s="73" t="s">
        <v>5500</v>
      </c>
      <c r="C46" s="23"/>
      <c r="D46" s="23" t="s">
        <v>4869</v>
      </c>
      <c r="E46" s="23"/>
      <c r="F46" s="19">
        <v>2020999</v>
      </c>
      <c r="H46" s="23">
        <v>5.23</v>
      </c>
      <c r="I46" s="37">
        <f t="shared" si="5"/>
        <v>2.9500000000000006</v>
      </c>
      <c r="J46" s="23">
        <v>2020</v>
      </c>
      <c r="M46" s="23">
        <v>2.2799999999999998</v>
      </c>
      <c r="N46" s="21">
        <v>0</v>
      </c>
      <c r="O46" s="23" t="s">
        <v>4878</v>
      </c>
      <c r="P46" s="22">
        <v>82931101</v>
      </c>
      <c r="Q46" s="19" t="s">
        <v>3390</v>
      </c>
      <c r="R46" s="23" t="s">
        <v>3392</v>
      </c>
      <c r="S46" s="38">
        <f>IFERROR(VLOOKUP(R46,[47]conductor_pz_summary_hftd_23_re!$B$2:$Q$3636,8,FALSE),0)</f>
        <v>63</v>
      </c>
      <c r="T46" s="38">
        <f>IFERROR(VLOOKUP(R46,[48]conductor_pz_summary_hftd_23_re!$B$2:$H$3636,7,0),0)/1609</f>
        <v>6.5695317636747665</v>
      </c>
      <c r="U46" s="23">
        <f>IFERROR(VLOOKUP(R46,[47]conductor_pz_summary_hftd_23_re!$B$2:$Q$3636,14,FALSE),0)</f>
        <v>2199</v>
      </c>
      <c r="V46" s="23">
        <f t="shared" si="1"/>
        <v>0.32132561964995204</v>
      </c>
      <c r="W46" s="23">
        <f>IFERROR(VLOOKUP(R46,[47]conductor_pz_summary_hftd_23_re!$B$2:$Q$3636,13,FALSE),0)</f>
        <v>5.1004066611103497E-3</v>
      </c>
      <c r="X46" s="73">
        <f>IFERROR(VLOOKUP(R46,conductor_pz_summary_hftd_23_re!$B$2:$N$3636,13,FALSE),0)</f>
        <v>2205</v>
      </c>
      <c r="Y46" s="59" t="e">
        <f t="shared" si="6"/>
        <v>#VALUE!</v>
      </c>
      <c r="AA46" s="23"/>
      <c r="AB46" s="23" t="s">
        <v>5171</v>
      </c>
      <c r="AC46" s="19" t="s">
        <v>5444</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f t="shared" si="7"/>
        <v>0</v>
      </c>
      <c r="AZ46" s="40">
        <f t="shared" si="8"/>
        <v>0</v>
      </c>
    </row>
    <row r="47" spans="1:66" s="19" customFormat="1" hidden="1" x14ac:dyDescent="0.25">
      <c r="A47" s="23">
        <v>35212493</v>
      </c>
      <c r="B47" s="73" t="s">
        <v>5500</v>
      </c>
      <c r="C47" s="23"/>
      <c r="D47" s="23" t="s">
        <v>4869</v>
      </c>
      <c r="E47" s="23"/>
      <c r="F47" s="19">
        <v>2020999</v>
      </c>
      <c r="H47" s="23">
        <v>8.92</v>
      </c>
      <c r="I47" s="37">
        <f t="shared" si="5"/>
        <v>3.5999999999999996</v>
      </c>
      <c r="J47" s="23">
        <v>2020</v>
      </c>
      <c r="M47" s="23">
        <v>5.32</v>
      </c>
      <c r="N47" s="21">
        <v>0</v>
      </c>
      <c r="O47" s="23" t="s">
        <v>4878</v>
      </c>
      <c r="P47" s="22">
        <v>254151101</v>
      </c>
      <c r="Q47" s="19" t="s">
        <v>176</v>
      </c>
      <c r="R47" s="23" t="s">
        <v>196</v>
      </c>
      <c r="S47" s="38">
        <f>IFERROR(VLOOKUP(R47,[47]conductor_pz_summary_hftd_23_re!$B$2:$Q$3636,8,FALSE),0)</f>
        <v>119</v>
      </c>
      <c r="T47" s="38">
        <f>IFERROR(VLOOKUP(R47,[48]conductor_pz_summary_hftd_23_re!$B$2:$H$3636,7,0),0)/1609</f>
        <v>10.713731133552516</v>
      </c>
      <c r="U47" s="23">
        <f>IFERROR(VLOOKUP(R47,[47]conductor_pz_summary_hftd_23_re!$B$2:$Q$3636,14,FALSE),0)</f>
        <v>2209</v>
      </c>
      <c r="V47" s="23">
        <f t="shared" si="1"/>
        <v>0.57989949993830836</v>
      </c>
      <c r="W47" s="23">
        <f>IFERROR(VLOOKUP(R47,[47]conductor_pz_summary_hftd_23_re!$B$2:$Q$3636,13,FALSE),0)</f>
        <v>4.8731050414983898E-3</v>
      </c>
      <c r="X47" s="73">
        <f>IFERROR(VLOOKUP(R47,conductor_pz_summary_hftd_23_re!$B$2:$N$3636,13,FALSE),0)</f>
        <v>1904</v>
      </c>
      <c r="Y47" s="59" t="e">
        <f t="shared" si="6"/>
        <v>#VALUE!</v>
      </c>
      <c r="AA47" s="23"/>
      <c r="AB47" s="23" t="s">
        <v>5171</v>
      </c>
      <c r="AC47" s="19" t="s">
        <v>5476</v>
      </c>
      <c r="AD47" s="19" t="s">
        <v>5477</v>
      </c>
      <c r="AE47" s="19" t="s">
        <v>5477</v>
      </c>
      <c r="AF47" s="19" t="s">
        <v>4939</v>
      </c>
      <c r="AG47" s="23">
        <v>5793921</v>
      </c>
      <c r="AH47" s="23" t="s">
        <v>5180</v>
      </c>
      <c r="AI47" s="23">
        <v>119984006</v>
      </c>
      <c r="AJ47" s="23">
        <v>35212493</v>
      </c>
      <c r="AK47" s="23" t="s">
        <v>5181</v>
      </c>
      <c r="AL47" s="23" t="s">
        <v>4883</v>
      </c>
      <c r="AM47" s="23" t="s">
        <v>4883</v>
      </c>
      <c r="AN47" s="23" t="s">
        <v>4883</v>
      </c>
      <c r="AO47" s="23" t="s">
        <v>4883</v>
      </c>
      <c r="AR47" s="23"/>
      <c r="AY47" s="23">
        <f t="shared" si="7"/>
        <v>0</v>
      </c>
      <c r="AZ47" s="40">
        <f t="shared" si="8"/>
        <v>0</v>
      </c>
    </row>
    <row r="48" spans="1:66" s="19" customFormat="1" hidden="1" x14ac:dyDescent="0.25">
      <c r="A48" s="23">
        <v>35212470</v>
      </c>
      <c r="B48" s="73" t="s">
        <v>5500</v>
      </c>
      <c r="C48" s="23"/>
      <c r="D48" s="23" t="s">
        <v>4869</v>
      </c>
      <c r="E48" s="23"/>
      <c r="F48" s="19">
        <v>2020999</v>
      </c>
      <c r="H48" s="23">
        <v>0.77</v>
      </c>
      <c r="I48" s="37">
        <f t="shared" si="5"/>
        <v>0</v>
      </c>
      <c r="J48" s="23">
        <v>2020</v>
      </c>
      <c r="M48" s="23">
        <v>0.77</v>
      </c>
      <c r="N48" s="21">
        <v>0</v>
      </c>
      <c r="O48" s="23" t="s">
        <v>4878</v>
      </c>
      <c r="P48" s="22">
        <v>82931101</v>
      </c>
      <c r="Q48" s="19" t="s">
        <v>3390</v>
      </c>
      <c r="R48" s="23" t="s">
        <v>3402</v>
      </c>
      <c r="S48" s="38">
        <f>IFERROR(VLOOKUP(R48,[47]conductor_pz_summary_hftd_23_re!$B$2:$Q$3636,8,FALSE),0)</f>
        <v>22</v>
      </c>
      <c r="T48" s="38">
        <f>IFERROR(VLOOKUP(R48,[48]conductor_pz_summary_hftd_23_re!$B$2:$H$3636,7,0),0)/1609</f>
        <v>2.5030252682975389</v>
      </c>
      <c r="U48" s="23">
        <f>IFERROR(VLOOKUP(R48,[47]conductor_pz_summary_hftd_23_re!$B$2:$Q$3636,14,FALSE),0)</f>
        <v>2210</v>
      </c>
      <c r="V48" s="23">
        <f t="shared" si="1"/>
        <v>0.10689285295141443</v>
      </c>
      <c r="W48" s="23">
        <f>IFERROR(VLOOKUP(R48,[47]conductor_pz_summary_hftd_23_re!$B$2:$Q$3636,13,FALSE),0)</f>
        <v>4.8587660432461103E-3</v>
      </c>
      <c r="X48" s="73">
        <f>IFERROR(VLOOKUP(R48,conductor_pz_summary_hftd_23_re!$B$2:$N$3636,13,FALSE),0)</f>
        <v>2187</v>
      </c>
      <c r="Y48" s="59" t="e">
        <f t="shared" si="6"/>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f t="shared" si="7"/>
        <v>0</v>
      </c>
      <c r="AZ48" s="40">
        <f t="shared" si="8"/>
        <v>0</v>
      </c>
    </row>
    <row r="49" spans="1:68" s="19" customFormat="1" hidden="1" x14ac:dyDescent="0.25">
      <c r="A49" s="23">
        <v>35212461</v>
      </c>
      <c r="B49" s="73" t="s">
        <v>5500</v>
      </c>
      <c r="C49" s="23"/>
      <c r="D49" s="23" t="s">
        <v>4869</v>
      </c>
      <c r="E49" s="23"/>
      <c r="F49" s="19">
        <v>2020999</v>
      </c>
      <c r="H49" s="23"/>
      <c r="I49" s="37">
        <f t="shared" si="5"/>
        <v>0</v>
      </c>
      <c r="J49" s="23">
        <v>2020</v>
      </c>
      <c r="M49" s="23"/>
      <c r="N49" s="21">
        <v>0</v>
      </c>
      <c r="O49" s="23" t="s">
        <v>4878</v>
      </c>
      <c r="P49" s="22">
        <v>43321101</v>
      </c>
      <c r="Q49" s="19" t="s">
        <v>3563</v>
      </c>
      <c r="R49" s="23" t="s">
        <v>3567</v>
      </c>
      <c r="S49" s="38">
        <f>IFERROR(VLOOKUP(R49,[47]conductor_pz_summary_hftd_23_re!$B$2:$Q$3636,8,FALSE),0)</f>
        <v>13</v>
      </c>
      <c r="T49" s="38">
        <f>IFERROR(VLOOKUP(R49,[48]conductor_pz_summary_hftd_23_re!$B$2:$H$3636,7,0),0)/1609</f>
        <v>0.72937305920860784</v>
      </c>
      <c r="U49" s="23">
        <f>IFERROR(VLOOKUP(R49,[47]conductor_pz_summary_hftd_23_re!$B$2:$Q$3636,14,FALSE),0)</f>
        <v>2309</v>
      </c>
      <c r="V49" s="23">
        <f t="shared" si="1"/>
        <v>4.3608784433775472E-2</v>
      </c>
      <c r="W49" s="23">
        <f>IFERROR(VLOOKUP(R49,[47]conductor_pz_summary_hftd_23_re!$B$2:$Q$3636,13,FALSE),0)</f>
        <v>3.3545218795211899E-3</v>
      </c>
      <c r="X49" s="73">
        <f>IFERROR(VLOOKUP(R49,conductor_pz_summary_hftd_23_re!$B$2:$N$3636,13,FALSE),0)</f>
        <v>2307</v>
      </c>
      <c r="Y49" s="59" t="e">
        <f t="shared" si="6"/>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f t="shared" si="7"/>
        <v>0</v>
      </c>
      <c r="AZ49" s="40">
        <f t="shared" si="8"/>
        <v>0</v>
      </c>
    </row>
    <row r="50" spans="1:68" s="19" customFormat="1" hidden="1" x14ac:dyDescent="0.25">
      <c r="A50" s="23">
        <v>35212474</v>
      </c>
      <c r="B50" s="73" t="s">
        <v>5500</v>
      </c>
      <c r="C50" s="23"/>
      <c r="D50" s="23" t="s">
        <v>4869</v>
      </c>
      <c r="E50" s="23"/>
      <c r="F50" s="19">
        <v>2020999</v>
      </c>
      <c r="H50" s="23">
        <v>0.52</v>
      </c>
      <c r="I50" s="37">
        <f t="shared" si="5"/>
        <v>0</v>
      </c>
      <c r="J50" s="23">
        <v>2020</v>
      </c>
      <c r="M50" s="23">
        <v>0.52</v>
      </c>
      <c r="N50" s="21">
        <v>0</v>
      </c>
      <c r="O50" s="23" t="s">
        <v>4878</v>
      </c>
      <c r="P50" s="22">
        <v>82841102</v>
      </c>
      <c r="Q50" s="19" t="s">
        <v>335</v>
      </c>
      <c r="R50" s="23" t="s">
        <v>338</v>
      </c>
      <c r="S50" s="38">
        <f>IFERROR(VLOOKUP(R50,[47]conductor_pz_summary_hftd_23_re!$B$2:$Q$3636,8,FALSE),0)</f>
        <v>70</v>
      </c>
      <c r="T50" s="38">
        <f>IFERROR(VLOOKUP(R50,[48]conductor_pz_summary_hftd_23_re!$B$2:$H$3636,7,0),0)/1609</f>
        <v>5.9819729579893846</v>
      </c>
      <c r="U50" s="23">
        <f>IFERROR(VLOOKUP(R50,[47]conductor_pz_summary_hftd_23_re!$B$2:$Q$3636,14,FALSE),0)</f>
        <v>2358</v>
      </c>
      <c r="V50" s="23">
        <f t="shared" si="1"/>
        <v>0.20629250870465721</v>
      </c>
      <c r="W50" s="23">
        <f>IFERROR(VLOOKUP(R50,[47]conductor_pz_summary_hftd_23_re!$B$2:$Q$3636,13,FALSE),0)</f>
        <v>2.9470358386379601E-3</v>
      </c>
      <c r="X50" s="73">
        <f>IFERROR(VLOOKUP(R50,conductor_pz_summary_hftd_23_re!$B$2:$N$3636,13,FALSE),0)</f>
        <v>2611</v>
      </c>
      <c r="Y50" s="59" t="e">
        <f t="shared" si="6"/>
        <v>#VALUE!</v>
      </c>
      <c r="AA50" s="23"/>
      <c r="AB50" s="23" t="s">
        <v>5171</v>
      </c>
      <c r="AC50" s="19" t="s">
        <v>5478</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f t="shared" si="7"/>
        <v>0</v>
      </c>
      <c r="AZ50" s="40">
        <f t="shared" si="8"/>
        <v>0</v>
      </c>
    </row>
    <row r="51" spans="1:68" s="19" customFormat="1" hidden="1" x14ac:dyDescent="0.25">
      <c r="A51" s="23">
        <v>35212472</v>
      </c>
      <c r="B51" s="73" t="s">
        <v>5500</v>
      </c>
      <c r="C51" s="23"/>
      <c r="D51" s="23" t="s">
        <v>4869</v>
      </c>
      <c r="E51" s="23"/>
      <c r="F51" s="19">
        <v>2020999</v>
      </c>
      <c r="H51" s="23">
        <v>2.5099999999999998</v>
      </c>
      <c r="I51" s="37">
        <f t="shared" si="5"/>
        <v>1.3699999999999999</v>
      </c>
      <c r="J51" s="23">
        <v>2020</v>
      </c>
      <c r="M51" s="23">
        <v>1.1399999999999999</v>
      </c>
      <c r="N51" s="21">
        <v>0</v>
      </c>
      <c r="O51" s="23" t="s">
        <v>4878</v>
      </c>
      <c r="P51" s="22">
        <v>82841102</v>
      </c>
      <c r="Q51" s="19" t="s">
        <v>335</v>
      </c>
      <c r="R51" s="23" t="s">
        <v>341</v>
      </c>
      <c r="S51" s="38">
        <f>IFERROR(VLOOKUP(R51,[47]conductor_pz_summary_hftd_23_re!$B$2:$Q$3636,8,FALSE),0)</f>
        <v>121</v>
      </c>
      <c r="T51" s="38">
        <f>IFERROR(VLOOKUP(R51,[48]conductor_pz_summary_hftd_23_re!$B$2:$H$3636,7,0),0)/1609</f>
        <v>13.748144191228279</v>
      </c>
      <c r="U51" s="23">
        <f>IFERROR(VLOOKUP(R51,[47]conductor_pz_summary_hftd_23_re!$B$2:$Q$3636,14,FALSE),0)</f>
        <v>2359</v>
      </c>
      <c r="V51" s="23">
        <f t="shared" si="1"/>
        <v>0.35169274220381369</v>
      </c>
      <c r="W51" s="23">
        <f>IFERROR(VLOOKUP(R51,[47]conductor_pz_summary_hftd_23_re!$B$2:$Q$3636,13,FALSE),0)</f>
        <v>2.90655158846127E-3</v>
      </c>
      <c r="X51" s="73">
        <f>IFERROR(VLOOKUP(R51,conductor_pz_summary_hftd_23_re!$B$2:$N$3636,13,FALSE),0)</f>
        <v>2514</v>
      </c>
      <c r="Y51" s="59" t="e">
        <f t="shared" si="6"/>
        <v>#VALUE!</v>
      </c>
      <c r="AA51" s="23"/>
      <c r="AB51" s="23" t="s">
        <v>5171</v>
      </c>
      <c r="AC51" s="19" t="s">
        <v>5478</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f t="shared" si="7"/>
        <v>0</v>
      </c>
      <c r="AZ51" s="40">
        <f t="shared" si="8"/>
        <v>0</v>
      </c>
    </row>
    <row r="52" spans="1:68" s="19" customFormat="1" hidden="1" x14ac:dyDescent="0.25">
      <c r="A52" s="23">
        <v>35212475</v>
      </c>
      <c r="B52" s="73" t="s">
        <v>5500</v>
      </c>
      <c r="C52" s="23"/>
      <c r="D52" s="23" t="s">
        <v>4869</v>
      </c>
      <c r="E52" s="23"/>
      <c r="F52" s="19">
        <v>2020999</v>
      </c>
      <c r="H52" s="23">
        <v>3.09</v>
      </c>
      <c r="I52" s="37">
        <f t="shared" si="5"/>
        <v>0</v>
      </c>
      <c r="J52" s="23">
        <v>2020</v>
      </c>
      <c r="M52" s="23">
        <v>3.09</v>
      </c>
      <c r="N52" s="21">
        <v>0</v>
      </c>
      <c r="O52" s="23" t="s">
        <v>4878</v>
      </c>
      <c r="P52" s="22">
        <v>82841101</v>
      </c>
      <c r="Q52" s="19" t="s">
        <v>323</v>
      </c>
      <c r="R52" s="23" t="s">
        <v>333</v>
      </c>
      <c r="S52" s="38">
        <f>IFERROR(VLOOKUP(R52,[47]conductor_pz_summary_hftd_23_re!$B$2:$Q$3636,8,FALSE),0)</f>
        <v>45</v>
      </c>
      <c r="T52" s="38">
        <f>IFERROR(VLOOKUP(R52,[48]conductor_pz_summary_hftd_23_re!$B$2:$H$3636,7,0),0)/1609</f>
        <v>4.6530656747940213</v>
      </c>
      <c r="U52" s="23">
        <f>IFERROR(VLOOKUP(R52,[47]conductor_pz_summary_hftd_23_re!$B$2:$Q$3636,14,FALSE),0)</f>
        <v>2398</v>
      </c>
      <c r="V52" s="23">
        <f t="shared" si="1"/>
        <v>0.11631848442210541</v>
      </c>
      <c r="W52" s="23">
        <f>IFERROR(VLOOKUP(R52,[47]conductor_pz_summary_hftd_23_re!$B$2:$Q$3636,13,FALSE),0)</f>
        <v>2.5848552093801201E-3</v>
      </c>
      <c r="X52" s="73">
        <f>IFERROR(VLOOKUP(R52,conductor_pz_summary_hftd_23_re!$B$2:$N$3636,13,FALSE),0)</f>
        <v>2594</v>
      </c>
      <c r="Y52" s="59" t="e">
        <f t="shared" si="6"/>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f t="shared" si="7"/>
        <v>0</v>
      </c>
      <c r="AZ52" s="40">
        <f t="shared" si="8"/>
        <v>0</v>
      </c>
    </row>
    <row r="53" spans="1:68" s="19" customFormat="1" hidden="1" x14ac:dyDescent="0.25">
      <c r="A53" s="23">
        <v>35212477</v>
      </c>
      <c r="B53" s="73" t="s">
        <v>5500</v>
      </c>
      <c r="C53" s="23"/>
      <c r="D53" s="23" t="s">
        <v>4869</v>
      </c>
      <c r="E53" s="23"/>
      <c r="F53" s="19">
        <v>2020999</v>
      </c>
      <c r="H53" s="23">
        <v>0.59</v>
      </c>
      <c r="I53" s="37">
        <f t="shared" si="5"/>
        <v>0</v>
      </c>
      <c r="J53" s="23">
        <v>2020</v>
      </c>
      <c r="M53" s="23">
        <v>0.59</v>
      </c>
      <c r="N53" s="21">
        <v>0</v>
      </c>
      <c r="O53" s="23" t="s">
        <v>4878</v>
      </c>
      <c r="P53" s="22">
        <v>82841101</v>
      </c>
      <c r="Q53" s="19" t="s">
        <v>323</v>
      </c>
      <c r="R53" s="23" t="s">
        <v>324</v>
      </c>
      <c r="S53" s="38">
        <f>IFERROR(VLOOKUP(R53,[47]conductor_pz_summary_hftd_23_re!$B$2:$Q$3636,8,FALSE),0)</f>
        <v>44</v>
      </c>
      <c r="T53" s="38">
        <f>IFERROR(VLOOKUP(R53,[48]conductor_pz_summary_hftd_23_re!$B$2:$H$3636,7,0),0)/1609</f>
        <v>4.7099503757002177</v>
      </c>
      <c r="U53" s="23">
        <f>IFERROR(VLOOKUP(R53,[47]conductor_pz_summary_hftd_23_re!$B$2:$Q$3636,14,FALSE),0)</f>
        <v>2435</v>
      </c>
      <c r="V53" s="23">
        <f t="shared" si="1"/>
        <v>0.10045116346089045</v>
      </c>
      <c r="W53" s="23">
        <f>IFERROR(VLOOKUP(R53,[47]conductor_pz_summary_hftd_23_re!$B$2:$Q$3636,13,FALSE),0)</f>
        <v>2.2829809877475101E-3</v>
      </c>
      <c r="X53" s="73">
        <f>IFERROR(VLOOKUP(R53,conductor_pz_summary_hftd_23_re!$B$2:$N$3636,13,FALSE),0)</f>
        <v>2730</v>
      </c>
      <c r="Y53" s="59" t="e">
        <f t="shared" si="6"/>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f t="shared" si="7"/>
        <v>0</v>
      </c>
      <c r="AZ53" s="40">
        <f t="shared" si="8"/>
        <v>0</v>
      </c>
    </row>
    <row r="54" spans="1:68" s="19" customFormat="1" hidden="1" x14ac:dyDescent="0.25">
      <c r="A54" s="23">
        <v>35212468</v>
      </c>
      <c r="B54" s="73" t="s">
        <v>5500</v>
      </c>
      <c r="C54" s="23"/>
      <c r="D54" s="23" t="s">
        <v>4869</v>
      </c>
      <c r="E54" s="23"/>
      <c r="F54" s="19">
        <v>2020999</v>
      </c>
      <c r="H54" s="23">
        <v>0.89</v>
      </c>
      <c r="I54" s="37">
        <f t="shared" si="5"/>
        <v>0</v>
      </c>
      <c r="J54" s="23">
        <v>2020</v>
      </c>
      <c r="M54" s="23">
        <v>0.89</v>
      </c>
      <c r="N54" s="21">
        <v>0</v>
      </c>
      <c r="O54" s="23" t="s">
        <v>4878</v>
      </c>
      <c r="P54" s="22">
        <v>82931101</v>
      </c>
      <c r="Q54" s="19" t="s">
        <v>3390</v>
      </c>
      <c r="R54" s="23" t="s">
        <v>3395</v>
      </c>
      <c r="S54" s="38">
        <f>IFERROR(VLOOKUP(R54,[47]conductor_pz_summary_hftd_23_re!$B$2:$Q$3636,8,FALSE),0)</f>
        <v>53</v>
      </c>
      <c r="T54" s="38">
        <f>IFERROR(VLOOKUP(R54,[48]conductor_pz_summary_hftd_23_re!$B$2:$H$3636,7,0),0)/1609</f>
        <v>4.1638918216768053</v>
      </c>
      <c r="U54" s="23">
        <f>IFERROR(VLOOKUP(R54,[47]conductor_pz_summary_hftd_23_re!$B$2:$Q$3636,14,FALSE),0)</f>
        <v>2542</v>
      </c>
      <c r="V54" s="23">
        <f t="shared" si="1"/>
        <v>8.431015216259391E-2</v>
      </c>
      <c r="W54" s="23">
        <f>IFERROR(VLOOKUP(R54,[47]conductor_pz_summary_hftd_23_re!$B$2:$Q$3636,13,FALSE),0)</f>
        <v>1.59075758797347E-3</v>
      </c>
      <c r="X54" s="73">
        <f>IFERROR(VLOOKUP(R54,conductor_pz_summary_hftd_23_re!$B$2:$N$3636,13,FALSE),0)</f>
        <v>2704</v>
      </c>
      <c r="Y54" s="59" t="e">
        <f t="shared" si="6"/>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f t="shared" si="7"/>
        <v>0</v>
      </c>
      <c r="AZ54" s="40">
        <f t="shared" si="8"/>
        <v>0</v>
      </c>
    </row>
    <row r="55" spans="1:68" s="19" customFormat="1" hidden="1" x14ac:dyDescent="0.25">
      <c r="A55" s="23">
        <v>35212476</v>
      </c>
      <c r="B55" s="73" t="s">
        <v>5500</v>
      </c>
      <c r="C55" s="23"/>
      <c r="D55" s="23" t="s">
        <v>4869</v>
      </c>
      <c r="E55" s="23"/>
      <c r="F55" s="19">
        <v>2020999</v>
      </c>
      <c r="H55" s="23">
        <v>2.58</v>
      </c>
      <c r="I55" s="37">
        <f t="shared" si="5"/>
        <v>0</v>
      </c>
      <c r="J55" s="23">
        <v>2020</v>
      </c>
      <c r="M55" s="23">
        <v>2.58</v>
      </c>
      <c r="N55" s="21">
        <v>0</v>
      </c>
      <c r="O55" s="23" t="s">
        <v>4878</v>
      </c>
      <c r="P55" s="22">
        <v>82841101</v>
      </c>
      <c r="Q55" s="19" t="s">
        <v>323</v>
      </c>
      <c r="R55" s="23" t="s">
        <v>326</v>
      </c>
      <c r="S55" s="38">
        <f>IFERROR(VLOOKUP(R55,[47]conductor_pz_summary_hftd_23_re!$B$2:$Q$3636,8,FALSE),0)</f>
        <v>23</v>
      </c>
      <c r="T55" s="38">
        <f>IFERROR(VLOOKUP(R55,[48]conductor_pz_summary_hftd_23_re!$B$2:$H$3636,7,0),0)/1609</f>
        <v>1.957127758044189</v>
      </c>
      <c r="U55" s="23">
        <f>IFERROR(VLOOKUP(R55,[47]conductor_pz_summary_hftd_23_re!$B$2:$Q$3636,14,FALSE),0)</f>
        <v>2579</v>
      </c>
      <c r="V55" s="23">
        <f t="shared" si="1"/>
        <v>3.1772294433698542E-2</v>
      </c>
      <c r="W55" s="23">
        <f>IFERROR(VLOOKUP(R55,[47]conductor_pz_summary_hftd_23_re!$B$2:$Q$3636,13,FALSE),0)</f>
        <v>1.38140410581298E-3</v>
      </c>
      <c r="X55" s="73">
        <f>IFERROR(VLOOKUP(R55,conductor_pz_summary_hftd_23_re!$B$2:$N$3636,13,FALSE),0)</f>
        <v>2834</v>
      </c>
      <c r="Y55" s="59" t="e">
        <f t="shared" si="6"/>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f t="shared" si="7"/>
        <v>0</v>
      </c>
      <c r="AZ55" s="40">
        <f t="shared" si="8"/>
        <v>0</v>
      </c>
    </row>
    <row r="56" spans="1:68" s="19" customFormat="1" x14ac:dyDescent="0.25">
      <c r="A56" s="218">
        <v>74022384</v>
      </c>
      <c r="B56" s="116" t="s">
        <v>5412</v>
      </c>
      <c r="C56" s="23">
        <v>20</v>
      </c>
      <c r="D56" s="23" t="str" cm="1">
        <f t="array" ref="D56">IFERROR(_xlfn.IFS(U56&lt;727,"MEET", AB56="FRRB","MEET", AB56="PSPS","MEET"),"No")</f>
        <v>MEET</v>
      </c>
      <c r="E56" s="23" t="str" cm="1">
        <f t="array" ref="E56">IFERROR(_xlfn.IFS(AM56&gt;0,"MEET", AN56="FRRB","MEET"),"No")</f>
        <v>No</v>
      </c>
      <c r="F56" s="100">
        <v>2021001</v>
      </c>
      <c r="G56" s="37">
        <v>5.6</v>
      </c>
      <c r="H56" s="37">
        <f t="shared" ref="H56:H63" si="9">SUM(AL56:AO56)/5280</f>
        <v>5.4458333333333337</v>
      </c>
      <c r="I56" s="37">
        <f t="shared" ref="I56:I83" si="10">H56-M56</f>
        <v>4.4858333333333338</v>
      </c>
      <c r="J56" s="20">
        <v>2020</v>
      </c>
      <c r="K56" s="37">
        <v>0.96</v>
      </c>
      <c r="L56" s="37"/>
      <c r="M56" s="37">
        <f t="shared" ref="M56:M87" si="11">SUM(K56:L56)</f>
        <v>0.96</v>
      </c>
      <c r="N56" s="21">
        <v>7133317.2599999998</v>
      </c>
      <c r="O56" s="23" t="s">
        <v>4941</v>
      </c>
      <c r="P56" s="22">
        <v>42751113</v>
      </c>
      <c r="Q56" s="19" t="s">
        <v>1398</v>
      </c>
      <c r="R56" s="23" t="s">
        <v>1400</v>
      </c>
      <c r="S56" s="38">
        <f>IFERROR(VLOOKUP(R56,[47]conductor_pz_summary_hftd_23_re!$B$2:$Q$3636,8,FALSE),0)</f>
        <v>49</v>
      </c>
      <c r="T56" s="38">
        <f>IFERROR(VLOOKUP(R56,[48]conductor_pz_summary_hftd_23_re!$B$2:$H$3636,7,0),0)/1609</f>
        <v>5.4964920301106721</v>
      </c>
      <c r="U56" s="23">
        <f>IFERROR(VLOOKUP(R56,[47]conductor_pz_summary_hftd_23_re!$B$2:$Q$3636,14,FALSE),0)</f>
        <v>481</v>
      </c>
      <c r="V56" s="23">
        <f t="shared" ref="V56:V119" si="12">IFERROR(W56*S56,0)</f>
        <v>7.7176979971943318</v>
      </c>
      <c r="W56" s="202">
        <f>IFERROR(VLOOKUP(R56,[47]conductor_pz_summary_hftd_23_re!$B$2:$Q$3636,13,FALSE),0)</f>
        <v>0.15750404075906799</v>
      </c>
      <c r="X56" s="73">
        <f>IFERROR(VLOOKUP(R56,conductor_pz_summary_hftd_23_re!$B$2:$N$3636,13,FALSE),0)</f>
        <v>799</v>
      </c>
      <c r="Y56" s="203">
        <f t="shared" ref="Y56:Y119" si="13">(AL56*0.62+AM56*0.99+AN56+AO56*0.99)/(SUM(AL56:AO56))*V56*(H56/T56)</f>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s="56" t="s">
        <v>5164</v>
      </c>
      <c r="AR56" s="23">
        <v>29567.999999999996</v>
      </c>
      <c r="AS56" s="40">
        <v>5.6</v>
      </c>
      <c r="AT56" s="41">
        <v>5959500</v>
      </c>
      <c r="AU56" s="23" t="s">
        <v>4988</v>
      </c>
      <c r="AV56" s="19">
        <v>0</v>
      </c>
      <c r="AW56" s="19">
        <v>0</v>
      </c>
      <c r="AX56" s="19">
        <v>29040</v>
      </c>
      <c r="AY56" s="23">
        <f t="shared" ref="AY56:AY85" si="14">SUM(AV56:AX56)</f>
        <v>29040</v>
      </c>
      <c r="AZ56" s="40">
        <f t="shared" ref="AZ56:AZ83" si="15">AY56/5280</f>
        <v>5.5</v>
      </c>
      <c r="BA56" s="41">
        <v>10560000</v>
      </c>
      <c r="BB56" s="187"/>
      <c r="BC56" s="44"/>
      <c r="BD56" s="191">
        <f t="shared" ref="BD56:BD63" si="16">IFERROR(BC56/BB56,0)</f>
        <v>0</v>
      </c>
      <c r="BE56" s="53" t="s">
        <v>5165</v>
      </c>
      <c r="BF56" s="53" t="s">
        <v>5166</v>
      </c>
      <c r="BG56" s="23">
        <v>0</v>
      </c>
      <c r="BH56" s="23">
        <v>0</v>
      </c>
      <c r="BI56" s="23">
        <v>28754</v>
      </c>
      <c r="BJ56" s="23">
        <v>28754</v>
      </c>
      <c r="BK56" s="40">
        <f>28754/5280</f>
        <v>5.4458333333333337</v>
      </c>
      <c r="BL56" s="44"/>
      <c r="BM56" s="41"/>
      <c r="BN56" s="45"/>
    </row>
    <row r="57" spans="1:68" s="19" customFormat="1" x14ac:dyDescent="0.25">
      <c r="A57" s="218">
        <v>35157845</v>
      </c>
      <c r="B57" s="116" t="s">
        <v>5412</v>
      </c>
      <c r="C57" s="23">
        <v>20</v>
      </c>
      <c r="D57" s="23" t="str" cm="1">
        <f t="array" ref="D57">IFERROR(_xlfn.IFS(U57&lt;727,"MEET", AB57="FRRB","MEET", AB57="PSPS","MEET"),"No")</f>
        <v>No</v>
      </c>
      <c r="E57" s="23" t="str" cm="1">
        <f t="array" ref="E57">IFERROR(_xlfn.IFS(AM57&gt;0,"MEET", AN57="FRRB","MEET"),"No")</f>
        <v>No</v>
      </c>
      <c r="F57" s="100">
        <v>2021002</v>
      </c>
      <c r="G57" s="37">
        <v>1.27</v>
      </c>
      <c r="H57" s="37">
        <f t="shared" si="9"/>
        <v>1.2676136363636363</v>
      </c>
      <c r="I57" s="37">
        <f t="shared" si="10"/>
        <v>1.2676136363636363</v>
      </c>
      <c r="J57" s="20">
        <v>2020</v>
      </c>
      <c r="K57" s="37">
        <v>0</v>
      </c>
      <c r="L57" s="37"/>
      <c r="M57" s="37">
        <f t="shared" si="11"/>
        <v>0</v>
      </c>
      <c r="N57" s="21">
        <v>431041.62</v>
      </c>
      <c r="O57" s="23" t="s">
        <v>4941</v>
      </c>
      <c r="P57" s="22">
        <v>43432105</v>
      </c>
      <c r="Q57" s="19" t="s">
        <v>4071</v>
      </c>
      <c r="R57" s="23" t="s">
        <v>4080</v>
      </c>
      <c r="S57" s="38">
        <f>IFERROR(VLOOKUP(R57,[47]conductor_pz_summary_hftd_23_re!$B$2:$Q$3636,8,FALSE),0)</f>
        <v>151</v>
      </c>
      <c r="T57" s="38">
        <f>IFERROR(VLOOKUP(R57,[48]conductor_pz_summary_hftd_23_re!$B$2:$H$3636,7,0),0)/1609</f>
        <v>17.173684235426602</v>
      </c>
      <c r="U57" s="23">
        <f>IFERROR(VLOOKUP(R57,[47]conductor_pz_summary_hftd_23_re!$B$2:$Q$3636,14,FALSE),0)</f>
        <v>1361</v>
      </c>
      <c r="V57" s="23">
        <f t="shared" si="12"/>
        <v>5.4002355090536405</v>
      </c>
      <c r="W57" s="202">
        <f>IFERROR(VLOOKUP(R57,[47]conductor_pz_summary_hftd_23_re!$B$2:$Q$3636,13,FALSE),0)</f>
        <v>3.5763149066580402E-2</v>
      </c>
      <c r="X57" s="73">
        <f>IFERROR(VLOOKUP(R57,conductor_pz_summary_hftd_23_re!$B$2:$N$3636,13,FALSE),0)</f>
        <v>1546</v>
      </c>
      <c r="Y57" s="203">
        <f t="shared" si="1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v>
      </c>
      <c r="AY57" s="23">
        <f t="shared" si="14"/>
        <v>6705.6</v>
      </c>
      <c r="AZ57" s="40">
        <f t="shared" si="15"/>
        <v>1.27</v>
      </c>
      <c r="BA57" s="41">
        <v>2438400</v>
      </c>
      <c r="BB57" s="187"/>
      <c r="BC57" s="44"/>
      <c r="BD57" s="191">
        <f t="shared" si="16"/>
        <v>0</v>
      </c>
      <c r="BE57" s="39" t="s">
        <v>5100</v>
      </c>
      <c r="BF57" s="57" t="s">
        <v>5101</v>
      </c>
      <c r="BG57" s="23">
        <v>0</v>
      </c>
      <c r="BH57" s="23">
        <v>0</v>
      </c>
      <c r="BI57" s="23">
        <v>6693</v>
      </c>
      <c r="BJ57" s="23">
        <v>6693</v>
      </c>
      <c r="BK57" s="40">
        <v>1.2676136363636363</v>
      </c>
      <c r="BL57" s="44">
        <v>1404334</v>
      </c>
      <c r="BM57" s="41">
        <v>1800634</v>
      </c>
      <c r="BN57" s="45">
        <v>209.82130584192439</v>
      </c>
    </row>
    <row r="58" spans="1:68" s="19" customFormat="1" x14ac:dyDescent="0.25">
      <c r="A58" s="218">
        <v>35119965</v>
      </c>
      <c r="B58" s="116" t="s">
        <v>5412</v>
      </c>
      <c r="C58" s="23">
        <v>18</v>
      </c>
      <c r="D58" s="23" t="str" cm="1">
        <f t="array" ref="D58">IFERROR(_xlfn.IFS(U58&lt;727,"MEET", AB58="FRRB","MEET", AB58="PSPS","MEET"),"No")</f>
        <v>No</v>
      </c>
      <c r="E58" s="23" t="str" cm="1">
        <f t="array" ref="E58">IFERROR(_xlfn.IFS(AM58&gt;0,"MEET", AN58&gt;0,"MEET"),"No")</f>
        <v>No</v>
      </c>
      <c r="F58" s="100">
        <v>2021003</v>
      </c>
      <c r="G58" s="37">
        <f>4593.6/5280</f>
        <v>0.87000000000000011</v>
      </c>
      <c r="H58" s="37">
        <f t="shared" si="9"/>
        <v>0.84905303030303025</v>
      </c>
      <c r="I58" s="37">
        <f t="shared" si="10"/>
        <v>0.84905303030303025</v>
      </c>
      <c r="J58" s="20">
        <v>2020</v>
      </c>
      <c r="K58" s="37">
        <v>0</v>
      </c>
      <c r="L58" s="37"/>
      <c r="M58" s="37">
        <f t="shared" si="11"/>
        <v>0</v>
      </c>
      <c r="N58" s="21">
        <v>764949.39</v>
      </c>
      <c r="O58" s="217" t="s">
        <v>5103</v>
      </c>
      <c r="P58" s="22">
        <v>82021106</v>
      </c>
      <c r="Q58" s="19" t="s">
        <v>2224</v>
      </c>
      <c r="R58" s="23" t="s">
        <v>2233</v>
      </c>
      <c r="S58" s="38">
        <f>IFERROR(VLOOKUP(R58,[47]conductor_pz_summary_hftd_23_re!$B$2:$Q$3636,8,FALSE),0)</f>
        <v>213</v>
      </c>
      <c r="T58" s="201">
        <f>IFERROR(VLOOKUP(R58,[48]conductor_pz_summary_hftd_23_re!$B$2:$H$3636,7,0),0)/1609</f>
        <v>19.353556626695898</v>
      </c>
      <c r="U58" s="23">
        <f>IFERROR(VLOOKUP(R58,[47]conductor_pz_summary_hftd_23_re!$B$2:$Q$3636,14,FALSE),0)</f>
        <v>1864</v>
      </c>
      <c r="V58" s="37">
        <f t="shared" si="12"/>
        <v>2.6622696084535109</v>
      </c>
      <c r="W58" s="202">
        <f>IFERROR(VLOOKUP(R58,[47]conductor_pz_summary_hftd_23_re!$B$2:$Q$3636,13,FALSE),0)</f>
        <v>1.2498918349547E-2</v>
      </c>
      <c r="X58" s="73">
        <f>IFERROR(VLOOKUP(R58,conductor_pz_summary_hftd_23_re!$B$2:$N$3636,13,FALSE),0)</f>
        <v>1950</v>
      </c>
      <c r="Y58" s="203">
        <f t="shared" si="13"/>
        <v>7.2413202168864196E-2</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s="56" t="s">
        <v>5094</v>
      </c>
      <c r="AR58" s="23">
        <v>8077</v>
      </c>
      <c r="AS58" s="40">
        <v>1.5297348484848485</v>
      </c>
      <c r="AT58" s="41">
        <v>903333</v>
      </c>
      <c r="AU58" s="56" t="s">
        <v>5095</v>
      </c>
      <c r="AV58" s="19">
        <v>0</v>
      </c>
      <c r="AW58" s="19">
        <v>0</v>
      </c>
      <c r="AX58" s="19">
        <v>1584</v>
      </c>
      <c r="AY58" s="23">
        <f t="shared" si="14"/>
        <v>1584</v>
      </c>
      <c r="AZ58" s="40">
        <f t="shared" si="15"/>
        <v>0.3</v>
      </c>
      <c r="BA58" s="41">
        <v>576000</v>
      </c>
      <c r="BB58" s="187"/>
      <c r="BC58" s="44"/>
      <c r="BD58" s="191">
        <f t="shared" si="16"/>
        <v>0</v>
      </c>
      <c r="BE58" s="54" t="s">
        <v>5096</v>
      </c>
      <c r="BF58" s="54" t="s">
        <v>5097</v>
      </c>
      <c r="BG58" s="23">
        <v>4483</v>
      </c>
      <c r="BH58" s="23">
        <v>0</v>
      </c>
      <c r="BI58" s="23">
        <v>4483</v>
      </c>
      <c r="BJ58" s="23">
        <v>4483</v>
      </c>
      <c r="BK58" s="40">
        <v>0.84905303030303025</v>
      </c>
      <c r="BL58" s="44">
        <v>1435425</v>
      </c>
      <c r="BM58" s="41">
        <v>1924210</v>
      </c>
      <c r="BN58" s="45">
        <v>320.19295114878429</v>
      </c>
    </row>
    <row r="59" spans="1:68" s="19" customFormat="1" x14ac:dyDescent="0.25">
      <c r="A59" s="218">
        <v>35094397</v>
      </c>
      <c r="B59" s="116" t="s">
        <v>5412</v>
      </c>
      <c r="C59" s="23">
        <v>20</v>
      </c>
      <c r="D59" s="23" t="str" cm="1">
        <f t="array" ref="D59">IFERROR(_xlfn.IFS(U59&lt;727,"MEET", AB59="FRRB","MEET", AB59="PSPS","MEET"),"No")</f>
        <v>No</v>
      </c>
      <c r="E59" s="23" t="str" cm="1">
        <f t="array" ref="E59">IFERROR(_xlfn.IFS(AM59&gt;0,"MEET", AN59&gt;0,"MEET"),"No")</f>
        <v>No</v>
      </c>
      <c r="F59" s="100">
        <v>2021004</v>
      </c>
      <c r="G59" s="37">
        <v>0.87000000000000011</v>
      </c>
      <c r="H59" s="37">
        <f t="shared" si="9"/>
        <v>1.0645833333333334</v>
      </c>
      <c r="I59" s="37">
        <f t="shared" si="10"/>
        <v>1.0645833333333334</v>
      </c>
      <c r="J59" s="20">
        <v>2020</v>
      </c>
      <c r="K59" s="37">
        <v>0</v>
      </c>
      <c r="L59" s="37"/>
      <c r="M59" s="37">
        <f t="shared" si="11"/>
        <v>0</v>
      </c>
      <c r="N59" s="21">
        <v>1301754.83</v>
      </c>
      <c r="O59" s="23" t="s">
        <v>5511</v>
      </c>
      <c r="P59" s="22">
        <v>43311102</v>
      </c>
      <c r="Q59" s="19" t="s">
        <v>2063</v>
      </c>
      <c r="R59" s="23" t="s">
        <v>2067</v>
      </c>
      <c r="S59" s="38">
        <f>IFERROR(VLOOKUP(R59,[47]conductor_pz_summary_hftd_23_re!$B$2:$Q$3636,8,FALSE),0)</f>
        <v>124</v>
      </c>
      <c r="T59" s="201">
        <f>IFERROR(VLOOKUP(R59,[48]conductor_pz_summary_hftd_23_re!$B$2:$H$3636,7,0),0)/1609</f>
        <v>9.7315112335888756</v>
      </c>
      <c r="U59" s="23">
        <f>IFERROR(VLOOKUP(R59,[47]conductor_pz_summary_hftd_23_re!$B$2:$Q$3636,14,FALSE),0)</f>
        <v>1999</v>
      </c>
      <c r="V59" s="37">
        <f t="shared" si="12"/>
        <v>1.1233747228367175</v>
      </c>
      <c r="W59" s="202">
        <f>IFERROR(VLOOKUP(R59,[47]conductor_pz_summary_hftd_23_re!$B$2:$Q$3636,13,FALSE),0)</f>
        <v>9.0594735712638506E-3</v>
      </c>
      <c r="X59" s="183">
        <f>IFERROR(VLOOKUP(R59,conductor_pz_summary_hftd_23_re!$B$2:$N$3636,13,FALSE),0)</f>
        <v>2215</v>
      </c>
      <c r="Y59" s="203">
        <f t="shared" si="13"/>
        <v>7.6193111897472909E-2</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s="56" t="s">
        <v>4987</v>
      </c>
      <c r="AR59" s="23">
        <v>4593.6000000000004</v>
      </c>
      <c r="AS59" s="40">
        <v>0.87</v>
      </c>
      <c r="AT59" s="41">
        <v>930690</v>
      </c>
      <c r="AU59" s="23" t="s">
        <v>4988</v>
      </c>
      <c r="AV59" s="19">
        <v>0</v>
      </c>
      <c r="AW59" s="19">
        <v>0</v>
      </c>
      <c r="AX59" s="19">
        <v>5649.6</v>
      </c>
      <c r="AY59" s="23">
        <f t="shared" si="14"/>
        <v>5649.6</v>
      </c>
      <c r="AZ59" s="40">
        <f t="shared" si="15"/>
        <v>1.07</v>
      </c>
      <c r="BA59" s="41">
        <v>2054400.0000000002</v>
      </c>
      <c r="BB59" s="187"/>
      <c r="BC59" s="44"/>
      <c r="BD59" s="191">
        <f t="shared" si="16"/>
        <v>0</v>
      </c>
      <c r="BE59" s="54" t="s">
        <v>4989</v>
      </c>
      <c r="BF59" s="54" t="s">
        <v>4990</v>
      </c>
      <c r="BG59" s="23">
        <v>0</v>
      </c>
      <c r="BH59" s="23">
        <v>0</v>
      </c>
      <c r="BI59" s="23">
        <v>5621</v>
      </c>
      <c r="BJ59" s="23">
        <v>5621</v>
      </c>
      <c r="BK59" s="40">
        <v>1.0645833333333334</v>
      </c>
      <c r="BL59" s="44">
        <v>1438986</v>
      </c>
      <c r="BM59" s="41">
        <v>1733017</v>
      </c>
      <c r="BN59" s="45">
        <v>256.00177904287494</v>
      </c>
    </row>
    <row r="60" spans="1:68" s="19" customFormat="1" x14ac:dyDescent="0.25">
      <c r="A60" s="218">
        <v>35061206</v>
      </c>
      <c r="B60" s="116" t="s">
        <v>5412</v>
      </c>
      <c r="C60" s="23">
        <v>20</v>
      </c>
      <c r="D60" s="23" t="str" cm="1">
        <f t="array" ref="D60">IFERROR(_xlfn.IFS(U60&lt;727,"MEET", AB60="FRRB","MEET", AB60="PSPS","MEET"),"No")</f>
        <v>No</v>
      </c>
      <c r="E60" s="23" t="str" cm="1">
        <f t="array" ref="E60">IFERROR(_xlfn.IFS(AM60&gt;0,"MEET", AN60&gt;0,"MEET"),"No")</f>
        <v>No</v>
      </c>
      <c r="F60" s="100">
        <v>2021005</v>
      </c>
      <c r="G60" s="37">
        <v>1.966</v>
      </c>
      <c r="H60" s="37">
        <f t="shared" si="9"/>
        <v>1.7651515151515151</v>
      </c>
      <c r="I60" s="37">
        <f t="shared" si="10"/>
        <v>1.7651515151515151</v>
      </c>
      <c r="J60" s="20">
        <v>2020</v>
      </c>
      <c r="K60" s="37">
        <v>0</v>
      </c>
      <c r="L60" s="37"/>
      <c r="M60" s="37">
        <f t="shared" si="11"/>
        <v>0</v>
      </c>
      <c r="N60" s="21">
        <v>2046932.97</v>
      </c>
      <c r="O60" s="23" t="s">
        <v>4941</v>
      </c>
      <c r="P60" s="22">
        <v>152481103</v>
      </c>
      <c r="Q60" s="19" t="s">
        <v>433</v>
      </c>
      <c r="R60" s="23" t="s">
        <v>438</v>
      </c>
      <c r="S60" s="38">
        <f>IFERROR(VLOOKUP(R60,[47]conductor_pz_summary_hftd_23_re!$B$2:$Q$3636,8,FALSE),0)</f>
        <v>201</v>
      </c>
      <c r="T60" s="201">
        <f>IFERROR(VLOOKUP(R60,[48]conductor_pz_summary_hftd_23_re!$B$2:$H$3636,7,0),0)/1609</f>
        <v>17.747259940771038</v>
      </c>
      <c r="U60" s="23">
        <f>IFERROR(VLOOKUP(R60,[47]conductor_pz_summary_hftd_23_re!$B$2:$Q$3636,14,FALSE),0)</f>
        <v>2144</v>
      </c>
      <c r="V60" s="37">
        <f t="shared" si="12"/>
        <v>1.2469265010419446</v>
      </c>
      <c r="W60" s="202">
        <f>IFERROR(VLOOKUP(R60,[47]conductor_pz_summary_hftd_23_re!$B$2:$Q$3636,13,FALSE),0)</f>
        <v>6.2036144330445001E-3</v>
      </c>
      <c r="X60" s="73">
        <f>IFERROR(VLOOKUP(R60,conductor_pz_summary_hftd_23_re!$B$2:$N$3636,13,FALSE),0)</f>
        <v>2255</v>
      </c>
      <c r="Y60" s="203">
        <f t="shared" si="13"/>
        <v>7.6892365929402615E-2</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s="56" t="s">
        <v>4966</v>
      </c>
      <c r="AR60" s="23">
        <v>10380.48</v>
      </c>
      <c r="AS60" s="40">
        <v>1.966</v>
      </c>
      <c r="AT60" s="41">
        <v>2108720</v>
      </c>
      <c r="AU60" s="56" t="s">
        <v>4967</v>
      </c>
      <c r="AV60" s="19">
        <v>0</v>
      </c>
      <c r="AW60" s="19">
        <v>0</v>
      </c>
      <c r="AX60" s="19">
        <v>9320</v>
      </c>
      <c r="AY60" s="23">
        <f t="shared" si="14"/>
        <v>9320</v>
      </c>
      <c r="AZ60" s="40">
        <f t="shared" si="15"/>
        <v>1.7651515151515151</v>
      </c>
      <c r="BA60" s="41">
        <v>3389090.9090909092</v>
      </c>
      <c r="BB60" s="187"/>
      <c r="BC60" s="44"/>
      <c r="BD60" s="191">
        <f t="shared" si="16"/>
        <v>0</v>
      </c>
      <c r="BE60" s="54" t="s">
        <v>4968</v>
      </c>
      <c r="BF60" s="54" t="s">
        <v>4969</v>
      </c>
      <c r="BG60" s="23">
        <v>0</v>
      </c>
      <c r="BH60" s="23">
        <v>0</v>
      </c>
      <c r="BI60" s="23">
        <v>9320</v>
      </c>
      <c r="BJ60" s="23">
        <v>9320</v>
      </c>
      <c r="BK60" s="40">
        <v>1.7651515151515151</v>
      </c>
      <c r="BL60" s="44">
        <v>3459498</v>
      </c>
      <c r="BM60" s="41">
        <v>4711641</v>
      </c>
      <c r="BN60" s="45">
        <v>371.19077253218882</v>
      </c>
    </row>
    <row r="61" spans="1:68" s="19" customFormat="1" x14ac:dyDescent="0.25">
      <c r="A61" s="218">
        <v>35117443</v>
      </c>
      <c r="B61" s="116" t="s">
        <v>5412</v>
      </c>
      <c r="C61" s="23">
        <v>20</v>
      </c>
      <c r="D61" s="23" t="str" cm="1">
        <f t="array" ref="D61">IFERROR(_xlfn.IFS(U61&lt;727,"MEET", AB61="FRRB","MEET", AB61="PSPS","MEET"),"No")</f>
        <v>No</v>
      </c>
      <c r="E61" s="23" t="str" cm="1">
        <f t="array" ref="E61">IFERROR(_xlfn.IFS(AM61&gt;0,"MEET", AN61&gt;0,"MEET"),"No")</f>
        <v>No</v>
      </c>
      <c r="F61" s="100">
        <v>2021006</v>
      </c>
      <c r="G61" s="37">
        <v>1.5429999999999999</v>
      </c>
      <c r="H61" s="37">
        <f t="shared" si="9"/>
        <v>2.1581439393939394</v>
      </c>
      <c r="I61" s="37">
        <f t="shared" si="10"/>
        <v>2.1581439393939394</v>
      </c>
      <c r="J61" s="20">
        <v>2020</v>
      </c>
      <c r="K61" s="37">
        <v>0</v>
      </c>
      <c r="L61" s="37"/>
      <c r="M61" s="37">
        <f t="shared" si="11"/>
        <v>0</v>
      </c>
      <c r="N61" s="21">
        <v>2018722.86</v>
      </c>
      <c r="O61" s="23" t="s">
        <v>4941</v>
      </c>
      <c r="P61" s="22">
        <v>152481103</v>
      </c>
      <c r="Q61" s="19" t="s">
        <v>433</v>
      </c>
      <c r="R61" s="23" t="s">
        <v>438</v>
      </c>
      <c r="S61" s="38">
        <f>IFERROR(VLOOKUP(R61,[47]conductor_pz_summary_hftd_23_re!$B$2:$Q$3636,8,FALSE),0)</f>
        <v>201</v>
      </c>
      <c r="T61" s="201">
        <f>IFERROR(VLOOKUP(R61,[48]conductor_pz_summary_hftd_23_re!$B$2:$H$3636,7,0),0)/1609</f>
        <v>17.747259940771038</v>
      </c>
      <c r="U61" s="23">
        <f>IFERROR(VLOOKUP(R61,[47]conductor_pz_summary_hftd_23_re!$B$2:$Q$3636,14,FALSE),0)</f>
        <v>2144</v>
      </c>
      <c r="V61" s="37">
        <f t="shared" si="12"/>
        <v>1.2469265010419446</v>
      </c>
      <c r="W61" s="202">
        <f>IFERROR(VLOOKUP(R61,[47]conductor_pz_summary_hftd_23_re!$B$2:$Q$3636,13,FALSE),0)</f>
        <v>6.2036144330445001E-3</v>
      </c>
      <c r="X61" s="73">
        <f>IFERROR(VLOOKUP(R61,conductor_pz_summary_hftd_23_re!$B$2:$N$3636,13,FALSE),0)</f>
        <v>2255</v>
      </c>
      <c r="Y61" s="203">
        <f t="shared" si="13"/>
        <v>9.4011642678706306E-2</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s="56" t="s">
        <v>5081</v>
      </c>
      <c r="AR61" s="23">
        <v>8147.04</v>
      </c>
      <c r="AS61" s="40">
        <v>1.5429999999999999</v>
      </c>
      <c r="AT61" s="41">
        <v>1630650</v>
      </c>
      <c r="AU61" s="56" t="s">
        <v>5082</v>
      </c>
      <c r="AV61" s="19">
        <v>0</v>
      </c>
      <c r="AW61" s="19">
        <v>0</v>
      </c>
      <c r="AX61" s="19">
        <v>11395</v>
      </c>
      <c r="AY61" s="23">
        <f t="shared" si="14"/>
        <v>11395</v>
      </c>
      <c r="AZ61" s="40">
        <f t="shared" si="15"/>
        <v>2.1581439393939394</v>
      </c>
      <c r="BA61" s="41">
        <v>4143636.3636363638</v>
      </c>
      <c r="BB61" s="187"/>
      <c r="BC61" s="44"/>
      <c r="BD61" s="191">
        <f t="shared" si="16"/>
        <v>0</v>
      </c>
      <c r="BE61" s="39" t="s">
        <v>5083</v>
      </c>
      <c r="BF61" s="54" t="s">
        <v>5084</v>
      </c>
      <c r="BG61" s="23">
        <v>0</v>
      </c>
      <c r="BH61" s="23">
        <v>0</v>
      </c>
      <c r="BI61" s="23">
        <v>11395</v>
      </c>
      <c r="BJ61" s="23">
        <v>11395</v>
      </c>
      <c r="BK61" s="40">
        <v>2.1581439393939394</v>
      </c>
      <c r="BL61" s="44">
        <v>4475708</v>
      </c>
      <c r="BM61" s="41">
        <v>5778810</v>
      </c>
      <c r="BN61" s="45">
        <v>392.77823606845106</v>
      </c>
    </row>
    <row r="62" spans="1:68" s="19" customFormat="1" x14ac:dyDescent="0.25">
      <c r="A62" s="218">
        <v>35061212</v>
      </c>
      <c r="B62" s="116" t="s">
        <v>5412</v>
      </c>
      <c r="C62" s="23">
        <v>20</v>
      </c>
      <c r="D62" s="23" t="str" cm="1">
        <f t="array" ref="D62">IFERROR(_xlfn.IFS(U62&lt;727,"MEET", AB62="FRRB","MEET", AB62="PSPS","MEET"),"No")</f>
        <v>No</v>
      </c>
      <c r="E62" s="23" t="str" cm="1">
        <f t="array" ref="E62">IFERROR(_xlfn.IFS(AM62&gt;0,"MEET", AN62&gt;0,"MEET"),"No")</f>
        <v>No</v>
      </c>
      <c r="F62" s="100">
        <v>2021007</v>
      </c>
      <c r="G62" s="37">
        <v>9</v>
      </c>
      <c r="H62" s="37">
        <f t="shared" si="9"/>
        <v>1.7888257575757576</v>
      </c>
      <c r="I62" s="37">
        <f t="shared" si="10"/>
        <v>1.7888257575757576</v>
      </c>
      <c r="J62" s="20">
        <v>2020</v>
      </c>
      <c r="K62" s="37">
        <v>0</v>
      </c>
      <c r="L62" s="37"/>
      <c r="M62" s="37">
        <f t="shared" si="11"/>
        <v>0</v>
      </c>
      <c r="N62" s="21">
        <v>1548567.12</v>
      </c>
      <c r="O62" s="23" t="s">
        <v>4941</v>
      </c>
      <c r="P62" s="22">
        <v>152481103</v>
      </c>
      <c r="Q62" s="19" t="s">
        <v>433</v>
      </c>
      <c r="R62" s="23" t="s">
        <v>438</v>
      </c>
      <c r="S62" s="38">
        <f>IFERROR(VLOOKUP(R62,[47]conductor_pz_summary_hftd_23_re!$B$2:$Q$3636,8,FALSE),0)</f>
        <v>201</v>
      </c>
      <c r="T62" s="201">
        <f>IFERROR(VLOOKUP(R62,[48]conductor_pz_summary_hftd_23_re!$B$2:$H$3636,7,0),0)/1609</f>
        <v>17.747259940771038</v>
      </c>
      <c r="U62" s="23">
        <f>IFERROR(VLOOKUP(R62,[47]conductor_pz_summary_hftd_23_re!$B$2:$Q$3636,14,FALSE),0)</f>
        <v>2144</v>
      </c>
      <c r="V62" s="37">
        <f t="shared" si="12"/>
        <v>1.2469265010419446</v>
      </c>
      <c r="W62" s="202">
        <f>IFERROR(VLOOKUP(R62,[47]conductor_pz_summary_hftd_23_re!$B$2:$Q$3636,13,FALSE),0)</f>
        <v>6.2036144330445001E-3</v>
      </c>
      <c r="X62" s="73">
        <f>IFERROR(VLOOKUP(R62,conductor_pz_summary_hftd_23_re!$B$2:$N$3636,13,FALSE),0)</f>
        <v>2255</v>
      </c>
      <c r="Y62" s="203">
        <f t="shared" si="13"/>
        <v>7.792364766128837E-2</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s="39" t="s">
        <v>4972</v>
      </c>
      <c r="AR62" s="23">
        <v>47520</v>
      </c>
      <c r="AS62" s="40">
        <v>9</v>
      </c>
      <c r="AT62" s="41">
        <v>9533800</v>
      </c>
      <c r="AU62" s="56" t="s">
        <v>4973</v>
      </c>
      <c r="AV62" s="19">
        <v>0</v>
      </c>
      <c r="AW62" s="19">
        <v>0</v>
      </c>
      <c r="AX62" s="19">
        <v>9445</v>
      </c>
      <c r="AY62" s="23">
        <f t="shared" si="14"/>
        <v>9445</v>
      </c>
      <c r="AZ62" s="40">
        <f t="shared" si="15"/>
        <v>1.7888257575757576</v>
      </c>
      <c r="BA62" s="41">
        <v>3434545.4545454546</v>
      </c>
      <c r="BB62" s="187"/>
      <c r="BC62" s="44"/>
      <c r="BD62" s="191">
        <f t="shared" si="16"/>
        <v>0</v>
      </c>
      <c r="BE62" s="53" t="s">
        <v>4974</v>
      </c>
      <c r="BF62" s="54" t="s">
        <v>4975</v>
      </c>
      <c r="BG62" s="23">
        <v>0</v>
      </c>
      <c r="BH62" s="23">
        <v>0</v>
      </c>
      <c r="BI62" s="23">
        <v>9445</v>
      </c>
      <c r="BJ62" s="23">
        <v>9445</v>
      </c>
      <c r="BK62" s="40">
        <v>1.7888257575757576</v>
      </c>
      <c r="BL62" s="44">
        <v>3890031</v>
      </c>
      <c r="BM62" s="41">
        <v>4913095</v>
      </c>
      <c r="BN62" s="45">
        <v>411.86140815246159</v>
      </c>
      <c r="BP62" s="48" t="s">
        <v>4976</v>
      </c>
    </row>
    <row r="63" spans="1:68" s="19" customFormat="1" x14ac:dyDescent="0.25">
      <c r="A63" s="218">
        <v>35115151</v>
      </c>
      <c r="B63" s="116" t="s">
        <v>5412</v>
      </c>
      <c r="C63" s="23">
        <v>20</v>
      </c>
      <c r="D63" s="23" t="str" cm="1">
        <f t="array" ref="D63">IFERROR(_xlfn.IFS(U63&lt;727,"MEET", AB63="FRRB","MEET", AB63="PSPS","MEET"),"No")</f>
        <v>No</v>
      </c>
      <c r="E63" s="23" t="str" cm="1">
        <f t="array" ref="E63">IFERROR(_xlfn.IFS(AM63&gt;0,"MEET", AN63&gt;0,"MEET"),"No")</f>
        <v>No</v>
      </c>
      <c r="F63" s="100">
        <v>2021008</v>
      </c>
      <c r="G63" s="37">
        <v>2.25</v>
      </c>
      <c r="H63" s="37">
        <f t="shared" si="9"/>
        <v>1.8964015151515152</v>
      </c>
      <c r="I63" s="37">
        <f t="shared" si="10"/>
        <v>1.8964015151515152</v>
      </c>
      <c r="J63" s="20">
        <v>2020</v>
      </c>
      <c r="K63" s="37">
        <v>0</v>
      </c>
      <c r="L63" s="37"/>
      <c r="M63" s="37">
        <f t="shared" si="11"/>
        <v>0</v>
      </c>
      <c r="N63" s="21">
        <v>1293779.94</v>
      </c>
      <c r="O63" s="23" t="s">
        <v>4941</v>
      </c>
      <c r="P63" s="22">
        <v>152481103</v>
      </c>
      <c r="Q63" s="19" t="s">
        <v>433</v>
      </c>
      <c r="R63" s="23" t="s">
        <v>438</v>
      </c>
      <c r="S63" s="38">
        <f>IFERROR(VLOOKUP(R63,[47]conductor_pz_summary_hftd_23_re!$B$2:$Q$3636,8,FALSE),0)</f>
        <v>201</v>
      </c>
      <c r="T63" s="201">
        <f>IFERROR(VLOOKUP(R63,[48]conductor_pz_summary_hftd_23_re!$B$2:$H$3636,7,0),0)/1609</f>
        <v>17.747259940771038</v>
      </c>
      <c r="U63" s="23">
        <f>IFERROR(VLOOKUP(R63,[47]conductor_pz_summary_hftd_23_re!$B$2:$Q$3636,14,FALSE),0)</f>
        <v>2144</v>
      </c>
      <c r="V63" s="37">
        <f t="shared" si="12"/>
        <v>1.2469265010419446</v>
      </c>
      <c r="W63" s="202">
        <f>IFERROR(VLOOKUP(R63,[47]conductor_pz_summary_hftd_23_re!$B$2:$Q$3636,13,FALSE),0)</f>
        <v>6.2036144330445001E-3</v>
      </c>
      <c r="X63" s="73">
        <f>IFERROR(VLOOKUP(R63,conductor_pz_summary_hftd_23_re!$B$2:$N$3636,13,FALSE),0)</f>
        <v>2255</v>
      </c>
      <c r="Y63" s="203">
        <f t="shared" si="13"/>
        <v>8.260979185097729E-2</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s="56" t="s">
        <v>4972</v>
      </c>
      <c r="AR63" s="23">
        <v>11880</v>
      </c>
      <c r="AS63" s="40">
        <v>2.25</v>
      </c>
      <c r="AT63" s="41">
        <v>2383450</v>
      </c>
      <c r="AU63" s="56" t="s">
        <v>4973</v>
      </c>
      <c r="AV63" s="19">
        <v>0</v>
      </c>
      <c r="AW63" s="19">
        <v>0</v>
      </c>
      <c r="AX63" s="19">
        <v>10013</v>
      </c>
      <c r="AY63" s="23">
        <f t="shared" si="14"/>
        <v>10013</v>
      </c>
      <c r="AZ63" s="40">
        <f t="shared" si="15"/>
        <v>1.8964015151515152</v>
      </c>
      <c r="BA63" s="41">
        <v>3641090.9090909092</v>
      </c>
      <c r="BB63" s="187"/>
      <c r="BC63" s="44"/>
      <c r="BD63" s="191">
        <f t="shared" si="16"/>
        <v>0</v>
      </c>
      <c r="BE63" s="39" t="s">
        <v>5038</v>
      </c>
      <c r="BF63" s="54" t="s">
        <v>5039</v>
      </c>
      <c r="BG63" s="23">
        <v>0</v>
      </c>
      <c r="BH63" s="23">
        <v>0</v>
      </c>
      <c r="BI63" s="23">
        <v>10013</v>
      </c>
      <c r="BJ63" s="23">
        <v>10013</v>
      </c>
      <c r="BK63" s="40">
        <v>1.8964015151515152</v>
      </c>
      <c r="BL63" s="44">
        <v>4025667</v>
      </c>
      <c r="BM63" s="41">
        <v>5273989</v>
      </c>
      <c r="BN63" s="45">
        <v>402.04404274443226</v>
      </c>
      <c r="BP63" s="48" t="s">
        <v>5040</v>
      </c>
    </row>
    <row r="64" spans="1:68" s="19" customFormat="1" x14ac:dyDescent="0.25">
      <c r="A64" s="218">
        <v>35115152</v>
      </c>
      <c r="B64" s="116" t="s">
        <v>6625</v>
      </c>
      <c r="C64" s="23">
        <v>20</v>
      </c>
      <c r="D64" s="23" t="str" cm="1">
        <f t="array" ref="D64">IFERROR(_xlfn.IFS(U64&lt;727,"MEET", AB64="FRRB","MEET", AB64="PSPS","MEET"),"No")</f>
        <v>No</v>
      </c>
      <c r="E64" s="23" t="str" cm="1">
        <f t="array" ref="E64">IFERROR(_xlfn.IFS(AM64&gt;0,"MEET", AN64&gt;0,"MEET"),"No")</f>
        <v>No</v>
      </c>
      <c r="F64" s="100">
        <v>2021009</v>
      </c>
      <c r="G64" s="37"/>
      <c r="H64" s="37">
        <v>1.57</v>
      </c>
      <c r="I64" s="37">
        <f t="shared" si="10"/>
        <v>1.57</v>
      </c>
      <c r="J64" s="20">
        <v>2021</v>
      </c>
      <c r="K64" s="37"/>
      <c r="L64" s="37"/>
      <c r="M64" s="37">
        <f t="shared" si="11"/>
        <v>0</v>
      </c>
      <c r="N64" s="21">
        <v>444280.95</v>
      </c>
      <c r="O64" s="23" t="s">
        <v>4941</v>
      </c>
      <c r="P64" s="22">
        <v>152481103</v>
      </c>
      <c r="Q64" s="19" t="s">
        <v>433</v>
      </c>
      <c r="R64" s="23" t="s">
        <v>438</v>
      </c>
      <c r="S64" s="38">
        <f>IFERROR(VLOOKUP(R64,[47]conductor_pz_summary_hftd_23_re!$B$2:$Q$3636,8,FALSE),0)</f>
        <v>201</v>
      </c>
      <c r="T64" s="201">
        <f>IFERROR(VLOOKUP(R64,[48]conductor_pz_summary_hftd_23_re!$B$2:$H$3636,7,0),0)/1609</f>
        <v>17.747259940771038</v>
      </c>
      <c r="U64" s="23">
        <f>IFERROR(VLOOKUP(R64,[47]conductor_pz_summary_hftd_23_re!$B$2:$Q$3636,14,FALSE),0)</f>
        <v>2144</v>
      </c>
      <c r="V64" s="37">
        <f t="shared" si="12"/>
        <v>1.2469265010419446</v>
      </c>
      <c r="W64" s="202">
        <f>IFERROR(VLOOKUP(R64,[47]conductor_pz_summary_hftd_23_re!$B$2:$Q$3636,13,FALSE),0)</f>
        <v>6.2036144330445001E-3</v>
      </c>
      <c r="X64" s="183">
        <f>IFERROR(VLOOKUP(R64,conductor_pz_summary_hftd_23_re!$B$2:$N$3636,13,FALSE),0)</f>
        <v>2255</v>
      </c>
      <c r="Y64" s="203">
        <f t="shared" si="13"/>
        <v>6.8391304357121888E-2</v>
      </c>
      <c r="Z64" s="23">
        <v>7</v>
      </c>
      <c r="AA64" s="23" t="s">
        <v>4871</v>
      </c>
      <c r="AB64" s="23" t="s">
        <v>4884</v>
      </c>
      <c r="AC64" s="19" t="s">
        <v>4921</v>
      </c>
      <c r="AD64" s="19" t="s">
        <v>4922</v>
      </c>
      <c r="AE64" s="19" t="s">
        <v>4887</v>
      </c>
      <c r="AF64" s="19" t="s">
        <v>4875</v>
      </c>
      <c r="AG64" s="23">
        <v>5785722</v>
      </c>
      <c r="AH64" s="23" t="s">
        <v>6636</v>
      </c>
      <c r="AI64" s="23">
        <v>117495855</v>
      </c>
      <c r="AJ64" s="47">
        <v>35115152</v>
      </c>
      <c r="AK64" s="23" t="s">
        <v>6637</v>
      </c>
      <c r="AL64" s="23">
        <v>8271</v>
      </c>
      <c r="AM64" s="23">
        <v>0</v>
      </c>
      <c r="AN64" s="23">
        <v>0</v>
      </c>
      <c r="AO64" s="23">
        <v>0</v>
      </c>
      <c r="AQ64" s="56" t="s">
        <v>4972</v>
      </c>
      <c r="AR64" s="23">
        <f>AS64*5280</f>
        <v>11880</v>
      </c>
      <c r="AS64" s="40">
        <v>2.25</v>
      </c>
      <c r="AT64" s="41">
        <v>2383450</v>
      </c>
      <c r="AU64" s="56" t="s">
        <v>4973</v>
      </c>
      <c r="AY64" s="23">
        <f t="shared" si="14"/>
        <v>0</v>
      </c>
      <c r="AZ64" s="40">
        <f t="shared" si="15"/>
        <v>0</v>
      </c>
      <c r="BA64" s="43">
        <f>AZ64*1920000</f>
        <v>0</v>
      </c>
      <c r="BB64" s="187"/>
      <c r="BC64" s="44"/>
      <c r="BD64" s="191"/>
      <c r="BE64" s="39" t="s">
        <v>6638</v>
      </c>
      <c r="BF64" s="39" t="s">
        <v>6639</v>
      </c>
      <c r="BG64" s="23">
        <v>0</v>
      </c>
      <c r="BH64" s="23">
        <v>0</v>
      </c>
      <c r="BI64" s="23">
        <v>8271</v>
      </c>
      <c r="BJ64" s="23">
        <v>8271</v>
      </c>
      <c r="BK64" s="40">
        <f>BJ64/5280</f>
        <v>1.5664772727272727</v>
      </c>
      <c r="BL64" s="44">
        <v>2679486</v>
      </c>
      <c r="BM64" s="41">
        <v>3591121</v>
      </c>
      <c r="BN64" s="45">
        <f>BL64/BJ64</f>
        <v>323.96155241204207</v>
      </c>
      <c r="BP64" s="48"/>
    </row>
    <row r="65" spans="1:66" s="19" customFormat="1" x14ac:dyDescent="0.25">
      <c r="A65" s="218">
        <v>35116383</v>
      </c>
      <c r="B65" s="116" t="s">
        <v>5412</v>
      </c>
      <c r="C65" s="23">
        <v>20</v>
      </c>
      <c r="D65" s="23" t="str" cm="1">
        <f t="array" ref="D65">IFERROR(_xlfn.IFS(U65&lt;727,"MEET", AB65="FRRB","MEET", AB65="PSPS","MEET"),"No")</f>
        <v>No</v>
      </c>
      <c r="E65" s="23" t="str" cm="1">
        <f t="array" ref="E65">IFERROR(_xlfn.IFS(AM65&gt;0,"MEET", AN65&gt;0,"MEET"),"No")</f>
        <v>No</v>
      </c>
      <c r="F65" s="100">
        <v>2021010</v>
      </c>
      <c r="G65" s="37">
        <v>1.97</v>
      </c>
      <c r="H65" s="37">
        <f>SUM(AL65:AO65)/5280</f>
        <v>1.3861742424242425</v>
      </c>
      <c r="I65" s="37">
        <f t="shared" si="10"/>
        <v>1.3861742424242425</v>
      </c>
      <c r="J65" s="20">
        <v>2020</v>
      </c>
      <c r="K65" s="37">
        <v>0</v>
      </c>
      <c r="L65" s="37"/>
      <c r="M65" s="37">
        <f t="shared" si="11"/>
        <v>0</v>
      </c>
      <c r="N65" s="21">
        <v>991398.25</v>
      </c>
      <c r="O65" s="23" t="s">
        <v>4941</v>
      </c>
      <c r="P65" s="22">
        <v>163661701</v>
      </c>
      <c r="Q65" s="19" t="s">
        <v>2475</v>
      </c>
      <c r="R65" s="23" t="s">
        <v>2481</v>
      </c>
      <c r="S65" s="38">
        <f>IFERROR(VLOOKUP(R65,[47]conductor_pz_summary_hftd_23_re!$B$2:$Q$3636,8,FALSE),0)</f>
        <v>132</v>
      </c>
      <c r="T65" s="201">
        <f>IFERROR(VLOOKUP(R65,[48]conductor_pz_summary_hftd_23_re!$B$2:$H$3636,7,0),0)/1609</f>
        <v>11.858056951620696</v>
      </c>
      <c r="U65" s="23">
        <f>IFERROR(VLOOKUP(R65,[47]conductor_pz_summary_hftd_23_re!$B$2:$Q$3636,14,FALSE),0)</f>
        <v>2267</v>
      </c>
      <c r="V65" s="37">
        <f t="shared" si="12"/>
        <v>0.50381102520239307</v>
      </c>
      <c r="W65" s="202">
        <f>IFERROR(VLOOKUP(R65,[47]conductor_pz_summary_hftd_23_re!$B$2:$Q$3636,13,FALSE),0)</f>
        <v>3.81675019092722E-3</v>
      </c>
      <c r="X65" s="73">
        <f>IFERROR(VLOOKUP(R65,conductor_pz_summary_hftd_23_re!$B$2:$N$3636,13,FALSE),0)</f>
        <v>2336</v>
      </c>
      <c r="Y65" s="203">
        <f t="shared" si="13"/>
        <v>3.6514356340265716E-2</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s="56" t="s">
        <v>5043</v>
      </c>
      <c r="AR65" s="23">
        <v>10401.6</v>
      </c>
      <c r="AS65" s="40">
        <v>1.97</v>
      </c>
      <c r="AT65" s="41">
        <v>2126216</v>
      </c>
      <c r="AU65" s="56" t="s">
        <v>5044</v>
      </c>
      <c r="AV65" s="19">
        <v>0</v>
      </c>
      <c r="AW65" s="19">
        <v>0</v>
      </c>
      <c r="AX65" s="19">
        <v>7080</v>
      </c>
      <c r="AY65" s="23">
        <f t="shared" si="14"/>
        <v>7080</v>
      </c>
      <c r="AZ65" s="40">
        <f t="shared" si="15"/>
        <v>1.3409090909090908</v>
      </c>
      <c r="BA65" s="41">
        <v>2574545.4545454546</v>
      </c>
      <c r="BB65" s="187"/>
      <c r="BC65" s="44"/>
      <c r="BD65" s="191">
        <f>IFERROR(BC65/BB65,0)</f>
        <v>0</v>
      </c>
      <c r="BE65" s="56" t="s">
        <v>5045</v>
      </c>
      <c r="BF65" s="54" t="s">
        <v>5046</v>
      </c>
      <c r="BG65" s="23">
        <v>0</v>
      </c>
      <c r="BH65" s="23">
        <v>0</v>
      </c>
      <c r="BI65" s="23">
        <v>7319</v>
      </c>
      <c r="BJ65" s="23">
        <v>7319</v>
      </c>
      <c r="BK65" s="40">
        <v>1.3861742424242425</v>
      </c>
      <c r="BL65" s="44">
        <v>2547023</v>
      </c>
      <c r="BM65" s="41">
        <v>3758449</v>
      </c>
      <c r="BN65" s="45">
        <v>348.00150293755979</v>
      </c>
    </row>
    <row r="66" spans="1:66" s="19" customFormat="1" ht="15.75" customHeight="1" x14ac:dyDescent="0.25">
      <c r="A66" s="218">
        <v>35116384</v>
      </c>
      <c r="B66" s="116" t="s">
        <v>5412</v>
      </c>
      <c r="C66" s="23">
        <v>20</v>
      </c>
      <c r="D66" s="23" t="str" cm="1">
        <f t="array" ref="D66">IFERROR(_xlfn.IFS(U66&lt;727,"MEET", AB66="FRRB","MEET", AB66="PSPS","MEET"),"No")</f>
        <v>No</v>
      </c>
      <c r="E66" s="23" t="str" cm="1">
        <f t="array" ref="E66">IFERROR(_xlfn.IFS(AM66&gt;0,"MEET", AN66&gt;0,"MEET"),"No")</f>
        <v>No</v>
      </c>
      <c r="F66" s="100">
        <v>2021011</v>
      </c>
      <c r="G66" s="37">
        <v>1.97</v>
      </c>
      <c r="H66" s="37">
        <f>SUM(AL66:AO66)/5280</f>
        <v>1.8371212121212122</v>
      </c>
      <c r="I66" s="37">
        <f t="shared" si="10"/>
        <v>1.6671212121212122</v>
      </c>
      <c r="J66" s="20">
        <v>2020</v>
      </c>
      <c r="K66" s="37">
        <v>0.17</v>
      </c>
      <c r="L66" s="37"/>
      <c r="M66" s="37">
        <f t="shared" si="11"/>
        <v>0.17</v>
      </c>
      <c r="N66" s="21">
        <v>121782.96</v>
      </c>
      <c r="O66" s="23" t="s">
        <v>4941</v>
      </c>
      <c r="P66" s="22">
        <v>163661701</v>
      </c>
      <c r="Q66" s="19" t="s">
        <v>2475</v>
      </c>
      <c r="R66" s="23" t="s">
        <v>2481</v>
      </c>
      <c r="S66" s="38">
        <f>IFERROR(VLOOKUP(R66,[47]conductor_pz_summary_hftd_23_re!$B$2:$Q$3636,8,FALSE),0)</f>
        <v>132</v>
      </c>
      <c r="T66" s="201">
        <f>IFERROR(VLOOKUP(R66,[48]conductor_pz_summary_hftd_23_re!$B$2:$H$3636,7,0),0)/1609</f>
        <v>11.858056951620696</v>
      </c>
      <c r="U66" s="23">
        <f>IFERROR(VLOOKUP(R66,[47]conductor_pz_summary_hftd_23_re!$B$2:$Q$3636,14,FALSE),0)</f>
        <v>2267</v>
      </c>
      <c r="V66" s="37">
        <f t="shared" si="12"/>
        <v>0.50381102520239307</v>
      </c>
      <c r="W66" s="202">
        <f>IFERROR(VLOOKUP(R66,[47]conductor_pz_summary_hftd_23_re!$B$2:$Q$3636,13,FALSE),0)</f>
        <v>3.81675019092722E-3</v>
      </c>
      <c r="X66" s="73">
        <f>IFERROR(VLOOKUP(R66,conductor_pz_summary_hftd_23_re!$B$2:$N$3636,13,FALSE),0)</f>
        <v>2336</v>
      </c>
      <c r="Y66" s="203">
        <f t="shared" si="13"/>
        <v>4.8393121533075199E-2</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s="56" t="s">
        <v>5043</v>
      </c>
      <c r="AR66" s="23">
        <v>10401.6</v>
      </c>
      <c r="AS66" s="40">
        <v>1.97</v>
      </c>
      <c r="AT66" s="41">
        <v>2126216</v>
      </c>
      <c r="AU66" s="56" t="s">
        <v>5044</v>
      </c>
      <c r="AV66" s="19">
        <v>0</v>
      </c>
      <c r="AW66" s="19">
        <v>0</v>
      </c>
      <c r="AX66" s="19">
        <v>9715</v>
      </c>
      <c r="AY66" s="23">
        <f t="shared" si="14"/>
        <v>9715</v>
      </c>
      <c r="AZ66" s="40">
        <f t="shared" si="15"/>
        <v>1.8399621212121211</v>
      </c>
      <c r="BA66" s="41">
        <v>3532727.2727272725</v>
      </c>
      <c r="BB66" s="187"/>
      <c r="BC66" s="44"/>
      <c r="BD66" s="191">
        <f>IFERROR(BC66/BB66,0)</f>
        <v>0</v>
      </c>
      <c r="BE66" s="54" t="s">
        <v>5049</v>
      </c>
      <c r="BF66" s="54" t="s">
        <v>5050</v>
      </c>
      <c r="BG66" s="23">
        <v>0</v>
      </c>
      <c r="BH66" s="23">
        <v>0</v>
      </c>
      <c r="BI66" s="23">
        <v>9700</v>
      </c>
      <c r="BJ66" s="23">
        <v>9700</v>
      </c>
      <c r="BK66" s="40">
        <v>1.8371212121212122</v>
      </c>
      <c r="BL66" s="44">
        <v>3239382</v>
      </c>
      <c r="BM66" s="41">
        <v>4624169</v>
      </c>
      <c r="BN66" s="45">
        <v>333.95690721649487</v>
      </c>
    </row>
    <row r="67" spans="1:66" s="19" customFormat="1" x14ac:dyDescent="0.25">
      <c r="A67" s="218">
        <v>35114040</v>
      </c>
      <c r="B67" s="116" t="s">
        <v>5412</v>
      </c>
      <c r="C67" s="23">
        <v>20</v>
      </c>
      <c r="D67" s="23" t="str" cm="1">
        <f t="array" ref="D67">IFERROR(_xlfn.IFS(U67&lt;727,"MEET", AB67="FRRB","MEET", AB67="PSPS","MEET"),"No")</f>
        <v>No</v>
      </c>
      <c r="E67" s="23" t="str" cm="1">
        <f t="array" ref="E67">IFERROR(_xlfn.IFS(AM67&gt;0,"MEET", AN67&gt;0,"MEET"),"No")</f>
        <v>No</v>
      </c>
      <c r="F67" s="100">
        <v>2021012</v>
      </c>
      <c r="G67" s="37">
        <v>5.2</v>
      </c>
      <c r="H67" s="37">
        <f>SUM(AL67:AO67)/5280</f>
        <v>1.4846590909090909</v>
      </c>
      <c r="I67" s="37">
        <f t="shared" si="10"/>
        <v>1.4846590909090909</v>
      </c>
      <c r="J67" s="20">
        <v>2020</v>
      </c>
      <c r="K67" s="37">
        <v>0</v>
      </c>
      <c r="L67" s="37"/>
      <c r="M67" s="37">
        <f t="shared" si="11"/>
        <v>0</v>
      </c>
      <c r="N67" s="21">
        <v>1168946.77</v>
      </c>
      <c r="O67" s="23" t="s">
        <v>4941</v>
      </c>
      <c r="P67" s="22">
        <v>163751102</v>
      </c>
      <c r="Q67" s="19" t="s">
        <v>3301</v>
      </c>
      <c r="R67" s="23" t="s">
        <v>3300</v>
      </c>
      <c r="S67" s="38">
        <f>IFERROR(VLOOKUP(R67,[47]conductor_pz_summary_hftd_23_re!$B$2:$Q$3636,8,FALSE),0)</f>
        <v>218</v>
      </c>
      <c r="T67" s="201">
        <f>IFERROR(VLOOKUP(R67,[48]conductor_pz_summary_hftd_23_re!$B$2:$H$3636,7,0),0)/1609</f>
        <v>17.259798184577253</v>
      </c>
      <c r="U67" s="23">
        <f>IFERROR(VLOOKUP(R67,[47]conductor_pz_summary_hftd_23_re!$B$2:$Q$3636,14,FALSE),0)</f>
        <v>2271</v>
      </c>
      <c r="V67" s="37">
        <f t="shared" si="12"/>
        <v>0.81904811310262859</v>
      </c>
      <c r="W67" s="202">
        <f>IFERROR(VLOOKUP(R67,[47]conductor_pz_summary_hftd_23_re!$B$2:$Q$3636,13,FALSE),0)</f>
        <v>3.75710143625059E-3</v>
      </c>
      <c r="X67" s="73">
        <f>IFERROR(VLOOKUP(R67,conductor_pz_summary_hftd_23_re!$B$2:$N$3636,13,FALSE),0)</f>
        <v>2414</v>
      </c>
      <c r="Y67" s="203">
        <f t="shared" si="13"/>
        <v>4.3680955749513237E-2</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s="56" t="s">
        <v>5002</v>
      </c>
      <c r="AR67" s="23">
        <v>27456</v>
      </c>
      <c r="AS67" s="40">
        <v>5.2</v>
      </c>
      <c r="AT67" s="41">
        <v>5674800</v>
      </c>
      <c r="AU67" s="56" t="s">
        <v>5003</v>
      </c>
      <c r="AV67" s="19">
        <v>0</v>
      </c>
      <c r="AW67" s="19">
        <v>0</v>
      </c>
      <c r="AX67" s="19">
        <v>7188</v>
      </c>
      <c r="AY67" s="23">
        <f t="shared" si="14"/>
        <v>7188</v>
      </c>
      <c r="AZ67" s="40">
        <f t="shared" si="15"/>
        <v>1.3613636363636363</v>
      </c>
      <c r="BA67" s="41">
        <v>2613818.1818181816</v>
      </c>
      <c r="BB67" s="187"/>
      <c r="BC67" s="44"/>
      <c r="BD67" s="191">
        <f>IFERROR(BC67/BB67,0)</f>
        <v>0</v>
      </c>
      <c r="BE67" s="39" t="s">
        <v>5004</v>
      </c>
      <c r="BF67" s="54" t="s">
        <v>5005</v>
      </c>
      <c r="BG67" s="23">
        <v>0</v>
      </c>
      <c r="BH67" s="23">
        <v>0</v>
      </c>
      <c r="BI67" s="23">
        <v>7839</v>
      </c>
      <c r="BJ67" s="23">
        <v>7839</v>
      </c>
      <c r="BK67" s="40">
        <v>1.4846590909090909</v>
      </c>
      <c r="BL67" s="44">
        <v>3107232</v>
      </c>
      <c r="BM67" s="41">
        <v>4232854</v>
      </c>
      <c r="BN67" s="45">
        <v>396.38117106773825</v>
      </c>
    </row>
    <row r="68" spans="1:66" s="19" customFormat="1" x14ac:dyDescent="0.25">
      <c r="A68" s="218">
        <v>35114048</v>
      </c>
      <c r="B68" s="116" t="s">
        <v>5412</v>
      </c>
      <c r="C68" s="23">
        <v>20</v>
      </c>
      <c r="D68" s="23" t="str" cm="1">
        <f t="array" ref="D68">IFERROR(_xlfn.IFS(U68&lt;727,"MEET", AB68="FRRB","MEET", AB68="PSPS","MEET"),"No")</f>
        <v>No</v>
      </c>
      <c r="E68" s="23" t="str" cm="1">
        <f t="array" ref="E68">IFERROR(_xlfn.IFS(AM68&gt;0,"MEET", AN68&gt;0,"MEET"),"No")</f>
        <v>No</v>
      </c>
      <c r="F68" s="100">
        <v>2021013</v>
      </c>
      <c r="G68" s="37">
        <v>15.90240909090909</v>
      </c>
      <c r="H68" s="37">
        <f>SUM(AL68:AO68)/5280</f>
        <v>1.3909090909090909</v>
      </c>
      <c r="I68" s="37">
        <f t="shared" si="10"/>
        <v>1.3909090909090909</v>
      </c>
      <c r="J68" s="20">
        <v>2020</v>
      </c>
      <c r="K68" s="37">
        <v>0</v>
      </c>
      <c r="L68" s="37"/>
      <c r="M68" s="37">
        <f t="shared" si="11"/>
        <v>0</v>
      </c>
      <c r="N68" s="21">
        <v>889880.15</v>
      </c>
      <c r="O68" s="23" t="s">
        <v>4941</v>
      </c>
      <c r="P68" s="22">
        <v>163751102</v>
      </c>
      <c r="Q68" s="19" t="s">
        <v>3301</v>
      </c>
      <c r="R68" s="23" t="s">
        <v>3300</v>
      </c>
      <c r="S68" s="38">
        <f>IFERROR(VLOOKUP(R68,[47]conductor_pz_summary_hftd_23_re!$B$2:$Q$3636,8,FALSE),0)</f>
        <v>218</v>
      </c>
      <c r="T68" s="201">
        <f>IFERROR(VLOOKUP(R68,[48]conductor_pz_summary_hftd_23_re!$B$2:$H$3636,7,0),0)/1609</f>
        <v>17.259798184577253</v>
      </c>
      <c r="U68" s="23">
        <f>IFERROR(VLOOKUP(R68,[47]conductor_pz_summary_hftd_23_re!$B$2:$Q$3636,14,FALSE),0)</f>
        <v>2271</v>
      </c>
      <c r="V68" s="37">
        <f t="shared" si="12"/>
        <v>0.81904811310262859</v>
      </c>
      <c r="W68" s="202">
        <f>IFERROR(VLOOKUP(R68,[47]conductor_pz_summary_hftd_23_re!$B$2:$Q$3636,13,FALSE),0)</f>
        <v>3.75710143625059E-3</v>
      </c>
      <c r="X68" s="73">
        <f>IFERROR(VLOOKUP(R68,conductor_pz_summary_hftd_23_re!$B$2:$N$3636,13,FALSE),0)</f>
        <v>2414</v>
      </c>
      <c r="Y68" s="203">
        <f t="shared" si="13"/>
        <v>4.0922686442712741E-2</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s="56" t="s">
        <v>5008</v>
      </c>
      <c r="AR68" s="23">
        <v>83964.72</v>
      </c>
      <c r="AS68" s="40">
        <v>1.59</v>
      </c>
      <c r="AT68" s="41">
        <v>1718171.43</v>
      </c>
      <c r="AU68" s="56" t="s">
        <v>5009</v>
      </c>
      <c r="AV68" s="19">
        <v>0</v>
      </c>
      <c r="AW68" s="19">
        <v>0</v>
      </c>
      <c r="AX68" s="19">
        <v>7382</v>
      </c>
      <c r="AY68" s="23">
        <f t="shared" si="14"/>
        <v>7382</v>
      </c>
      <c r="AZ68" s="40">
        <f t="shared" si="15"/>
        <v>1.3981060606060607</v>
      </c>
      <c r="BA68" s="41">
        <v>2684363.6363636367</v>
      </c>
      <c r="BB68" s="187"/>
      <c r="BC68" s="44"/>
      <c r="BD68" s="191">
        <f>IFERROR(BC68/BB68,0)</f>
        <v>0</v>
      </c>
      <c r="BE68" s="56" t="s">
        <v>5010</v>
      </c>
      <c r="BF68" s="56" t="s">
        <v>5011</v>
      </c>
      <c r="BG68" s="23">
        <v>0</v>
      </c>
      <c r="BH68" s="23">
        <v>0</v>
      </c>
      <c r="BI68" s="23">
        <v>7344</v>
      </c>
      <c r="BJ68" s="23">
        <v>7344</v>
      </c>
      <c r="BK68" s="40">
        <v>1.3909090909090909</v>
      </c>
      <c r="BL68" s="44">
        <v>3133899</v>
      </c>
      <c r="BM68" s="41">
        <v>4178929</v>
      </c>
      <c r="BN68" s="45">
        <v>426.72916666666669</v>
      </c>
    </row>
    <row r="69" spans="1:66" s="19" customFormat="1" x14ac:dyDescent="0.25">
      <c r="A69" s="218">
        <v>35114051</v>
      </c>
      <c r="B69" s="116" t="s">
        <v>6625</v>
      </c>
      <c r="C69" s="23">
        <v>20</v>
      </c>
      <c r="D69" s="23" t="str" cm="1">
        <f t="array" ref="D69">IFERROR(_xlfn.IFS(U69&lt;727,"MEET", AB69="FRRB","MEET", AB69="PSPS","MEET"),"No")</f>
        <v>No</v>
      </c>
      <c r="E69" s="23" t="str" cm="1">
        <f t="array" ref="E69">IFERROR(_xlfn.IFS(AM69&gt;0,"MEET", AN69&gt;0,"MEET"),"No")</f>
        <v>No</v>
      </c>
      <c r="F69" s="100">
        <v>2021014</v>
      </c>
      <c r="G69" s="37"/>
      <c r="H69" s="37">
        <v>1.44</v>
      </c>
      <c r="I69" s="37">
        <f t="shared" si="10"/>
        <v>1.44</v>
      </c>
      <c r="J69" s="20">
        <v>2021</v>
      </c>
      <c r="K69" s="37"/>
      <c r="L69" s="37"/>
      <c r="M69" s="37">
        <f t="shared" si="11"/>
        <v>0</v>
      </c>
      <c r="N69" s="21">
        <v>558652.56999999995</v>
      </c>
      <c r="O69" s="23" t="s">
        <v>4941</v>
      </c>
      <c r="P69" s="22">
        <v>163751102</v>
      </c>
      <c r="Q69" s="19" t="s">
        <v>3301</v>
      </c>
      <c r="R69" s="23" t="s">
        <v>3300</v>
      </c>
      <c r="S69" s="38">
        <f>IFERROR(VLOOKUP(R69,[47]conductor_pz_summary_hftd_23_re!$B$2:$Q$3636,8,FALSE),0)</f>
        <v>218</v>
      </c>
      <c r="T69" s="201">
        <f>IFERROR(VLOOKUP(R69,[48]conductor_pz_summary_hftd_23_re!$B$2:$H$3636,7,0),0)/1609</f>
        <v>17.259798184577253</v>
      </c>
      <c r="U69" s="23">
        <f>IFERROR(VLOOKUP(R69,[47]conductor_pz_summary_hftd_23_re!$B$2:$Q$3636,14,FALSE),0)</f>
        <v>2271</v>
      </c>
      <c r="V69" s="37">
        <f t="shared" si="12"/>
        <v>0.81904811310262859</v>
      </c>
      <c r="W69" s="202">
        <f>IFERROR(VLOOKUP(R69,[47]conductor_pz_summary_hftd_23_re!$B$2:$Q$3636,13,FALSE),0)</f>
        <v>3.75710143625059E-3</v>
      </c>
      <c r="X69" s="73">
        <f>IFERROR(VLOOKUP(R69,conductor_pz_summary_hftd_23_re!$B$2:$N$3636,13,FALSE),0)</f>
        <v>2414</v>
      </c>
      <c r="Y69" s="203">
        <f t="shared" si="13"/>
        <v>4.2367016552455547E-2</v>
      </c>
      <c r="Z69" s="23">
        <v>2</v>
      </c>
      <c r="AA69" s="23" t="s">
        <v>4871</v>
      </c>
      <c r="AB69" s="23" t="s">
        <v>4884</v>
      </c>
      <c r="AC69" s="19" t="s">
        <v>4998</v>
      </c>
      <c r="AD69" s="19" t="s">
        <v>4999</v>
      </c>
      <c r="AE69" s="19" t="s">
        <v>4938</v>
      </c>
      <c r="AF69" s="19" t="s">
        <v>4939</v>
      </c>
      <c r="AG69" s="23">
        <v>5786000</v>
      </c>
      <c r="AH69" s="23" t="s">
        <v>6626</v>
      </c>
      <c r="AI69" s="23">
        <v>117502234</v>
      </c>
      <c r="AJ69" s="120">
        <v>35114051</v>
      </c>
      <c r="AK69" s="23" t="s">
        <v>6627</v>
      </c>
      <c r="AL69" s="20">
        <v>7698</v>
      </c>
      <c r="AM69" s="20">
        <v>0</v>
      </c>
      <c r="AN69" s="20">
        <v>0</v>
      </c>
      <c r="AO69" s="20">
        <v>0</v>
      </c>
      <c r="AQ69" s="56" t="s">
        <v>5008</v>
      </c>
      <c r="AR69" s="23">
        <f>AS69*52808</f>
        <v>83964.72</v>
      </c>
      <c r="AS69" s="40">
        <v>1.59</v>
      </c>
      <c r="AT69" s="41">
        <v>1718171.43</v>
      </c>
      <c r="AU69" s="56" t="s">
        <v>5009</v>
      </c>
      <c r="AV69" s="19">
        <v>0</v>
      </c>
      <c r="AW69" s="19">
        <v>0</v>
      </c>
      <c r="AX69" s="19">
        <v>7628</v>
      </c>
      <c r="AY69" s="23">
        <f t="shared" si="14"/>
        <v>7628</v>
      </c>
      <c r="AZ69" s="40">
        <f t="shared" si="15"/>
        <v>1.4446969696969696</v>
      </c>
      <c r="BA69" s="43">
        <f>AZ69*1920000</f>
        <v>2773818.1818181816</v>
      </c>
      <c r="BB69" s="187"/>
      <c r="BC69" s="44"/>
      <c r="BD69" s="191"/>
      <c r="BE69" s="56" t="s">
        <v>6628</v>
      </c>
      <c r="BF69" s="56" t="s">
        <v>6629</v>
      </c>
      <c r="BG69" s="23">
        <v>0</v>
      </c>
      <c r="BH69" s="23">
        <v>0</v>
      </c>
      <c r="BI69" s="23">
        <v>7698</v>
      </c>
      <c r="BJ69" s="23">
        <v>7698</v>
      </c>
      <c r="BK69" s="40">
        <f>BJ69/5280</f>
        <v>1.4579545454545455</v>
      </c>
      <c r="BL69" s="44">
        <v>3949678</v>
      </c>
      <c r="BM69" s="41">
        <v>5342998</v>
      </c>
      <c r="BN69" s="45">
        <f>BL69/BJ69</f>
        <v>513.07846193816579</v>
      </c>
    </row>
    <row r="70" spans="1:66" s="19" customFormat="1" x14ac:dyDescent="0.25">
      <c r="A70" s="218">
        <v>35115054</v>
      </c>
      <c r="B70" s="116" t="s">
        <v>5412</v>
      </c>
      <c r="C70" s="23">
        <v>20</v>
      </c>
      <c r="D70" s="23" t="str" cm="1">
        <f t="array" ref="D70">IFERROR(_xlfn.IFS(U70&lt;727,"MEET", AB70="FRRB","MEET", AB70="PSPS","MEET"),"No")</f>
        <v>No</v>
      </c>
      <c r="E70" s="23" t="str" cm="1">
        <f t="array" ref="E70">IFERROR(_xlfn.IFS(AM70&gt;0,"MEET", AN70&gt;0,"MEET"),"No")</f>
        <v>No</v>
      </c>
      <c r="F70" s="100">
        <v>2021015</v>
      </c>
      <c r="G70" s="37">
        <v>1.96</v>
      </c>
      <c r="H70" s="37">
        <f t="shared" ref="H70:H82" si="17">SUM(AL70:AO70)/5280</f>
        <v>1.4259469696969698</v>
      </c>
      <c r="I70" s="37">
        <f t="shared" si="10"/>
        <v>1.3959469696969697</v>
      </c>
      <c r="J70" s="20">
        <v>2020</v>
      </c>
      <c r="K70" s="37">
        <v>0.03</v>
      </c>
      <c r="L70" s="37"/>
      <c r="M70" s="37">
        <f t="shared" si="11"/>
        <v>0.03</v>
      </c>
      <c r="N70" s="21">
        <v>1016834.07</v>
      </c>
      <c r="O70" s="23" t="s">
        <v>4941</v>
      </c>
      <c r="P70" s="22">
        <v>163661701</v>
      </c>
      <c r="Q70" s="19" t="s">
        <v>2475</v>
      </c>
      <c r="R70" s="23" t="s">
        <v>2482</v>
      </c>
      <c r="S70" s="38">
        <f>IFERROR(VLOOKUP(R70,[47]conductor_pz_summary_hftd_23_re!$B$2:$Q$3636,8,FALSE),0)</f>
        <v>187</v>
      </c>
      <c r="T70" s="201">
        <f>IFERROR(VLOOKUP(R70,[48]conductor_pz_summary_hftd_23_re!$B$2:$H$3636,7,0),0)/1609</f>
        <v>16.249408441667743</v>
      </c>
      <c r="U70" s="23">
        <f>IFERROR(VLOOKUP(R70,[47]conductor_pz_summary_hftd_23_re!$B$2:$Q$3636,14,FALSE),0)</f>
        <v>2353</v>
      </c>
      <c r="V70" s="37">
        <f t="shared" si="12"/>
        <v>0.55914274049091306</v>
      </c>
      <c r="W70" s="202">
        <f>IFERROR(VLOOKUP(R70,[47]conductor_pz_summary_hftd_23_re!$B$2:$Q$3636,13,FALSE),0)</f>
        <v>2.9900681309674498E-3</v>
      </c>
      <c r="X70" s="73">
        <f>IFERROR(VLOOKUP(R70,conductor_pz_summary_hftd_23_re!$B$2:$N$3636,13,FALSE),0)</f>
        <v>2128</v>
      </c>
      <c r="Y70" s="203">
        <f t="shared" si="13"/>
        <v>3.0421470268399035E-2</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s="56" t="s">
        <v>4960</v>
      </c>
      <c r="AR70" s="23">
        <v>10348.799999999999</v>
      </c>
      <c r="AS70" s="40">
        <v>1.96</v>
      </c>
      <c r="AT70" s="41">
        <v>2137840</v>
      </c>
      <c r="AU70" s="56" t="s">
        <v>4961</v>
      </c>
      <c r="AV70" s="19">
        <v>0</v>
      </c>
      <c r="AW70" s="19">
        <v>0</v>
      </c>
      <c r="AX70" s="19">
        <v>7255</v>
      </c>
      <c r="AY70" s="23">
        <f t="shared" si="14"/>
        <v>7255</v>
      </c>
      <c r="AZ70" s="40">
        <f t="shared" si="15"/>
        <v>1.3740530303030303</v>
      </c>
      <c r="BA70" s="41">
        <v>2638181.8181818184</v>
      </c>
      <c r="BB70" s="187"/>
      <c r="BC70" s="44"/>
      <c r="BD70" s="191">
        <f t="shared" ref="BD70:BD82" si="18">IFERROR(BC70/BB70,0)</f>
        <v>0</v>
      </c>
      <c r="BE70" s="56" t="s">
        <v>5030</v>
      </c>
      <c r="BF70" s="57" t="s">
        <v>5031</v>
      </c>
      <c r="BG70" s="23">
        <v>0</v>
      </c>
      <c r="BH70" s="23">
        <v>0</v>
      </c>
      <c r="BI70" s="23">
        <v>7529</v>
      </c>
      <c r="BJ70" s="23">
        <v>7529</v>
      </c>
      <c r="BK70" s="40">
        <v>1.4259469696969698</v>
      </c>
      <c r="BL70" s="44">
        <v>2482662</v>
      </c>
      <c r="BM70" s="41">
        <v>3789178</v>
      </c>
      <c r="BN70" s="45">
        <v>329.74657989108778</v>
      </c>
    </row>
    <row r="71" spans="1:66" s="19" customFormat="1" x14ac:dyDescent="0.25">
      <c r="A71" s="218">
        <v>35115050</v>
      </c>
      <c r="B71" s="116" t="s">
        <v>5412</v>
      </c>
      <c r="C71" s="23">
        <v>20</v>
      </c>
      <c r="D71" s="23" t="str" cm="1">
        <f t="array" ref="D71">IFERROR(_xlfn.IFS(U71&lt;727,"MEET", AB71="FRRB","MEET", AB71="PSPS","MEET"),"No")</f>
        <v>No</v>
      </c>
      <c r="E71" s="23" t="str" cm="1">
        <f t="array" ref="E71">IFERROR(_xlfn.IFS(AM71&gt;0,"MEET", AN71&gt;0,"MEET"),"No")</f>
        <v>No</v>
      </c>
      <c r="F71" s="100">
        <v>2021016</v>
      </c>
      <c r="G71" s="37">
        <v>2.3039999999999998</v>
      </c>
      <c r="H71" s="37">
        <f t="shared" si="17"/>
        <v>1.6121212121212121</v>
      </c>
      <c r="I71" s="37">
        <f t="shared" si="10"/>
        <v>1.6121212121212121</v>
      </c>
      <c r="J71" s="20">
        <v>2020</v>
      </c>
      <c r="K71" s="37">
        <v>0</v>
      </c>
      <c r="L71" s="37"/>
      <c r="M71" s="37">
        <f t="shared" si="11"/>
        <v>0</v>
      </c>
      <c r="N71" s="21">
        <v>875800.67</v>
      </c>
      <c r="O71" s="23" t="s">
        <v>4941</v>
      </c>
      <c r="P71" s="22">
        <v>163661701</v>
      </c>
      <c r="Q71" s="19" t="s">
        <v>2475</v>
      </c>
      <c r="R71" s="23" t="s">
        <v>2482</v>
      </c>
      <c r="S71" s="38">
        <f>IFERROR(VLOOKUP(R71,[47]conductor_pz_summary_hftd_23_re!$B$2:$Q$3636,8,FALSE),0)</f>
        <v>187</v>
      </c>
      <c r="T71" s="201">
        <f>IFERROR(VLOOKUP(R71,[48]conductor_pz_summary_hftd_23_re!$B$2:$H$3636,7,0),0)/1609</f>
        <v>16.249408441667743</v>
      </c>
      <c r="U71" s="23">
        <f>IFERROR(VLOOKUP(R71,[47]conductor_pz_summary_hftd_23_re!$B$2:$Q$3636,14,FALSE),0)</f>
        <v>2353</v>
      </c>
      <c r="V71" s="37">
        <f t="shared" si="12"/>
        <v>0.55914274049091306</v>
      </c>
      <c r="W71" s="202">
        <f>IFERROR(VLOOKUP(R71,[47]conductor_pz_summary_hftd_23_re!$B$2:$Q$3636,13,FALSE),0)</f>
        <v>2.9900681309674498E-3</v>
      </c>
      <c r="X71" s="73">
        <f>IFERROR(VLOOKUP(R71,conductor_pz_summary_hftd_23_re!$B$2:$N$3636,13,FALSE),0)</f>
        <v>2128</v>
      </c>
      <c r="Y71" s="203">
        <f t="shared" si="13"/>
        <v>3.4393353024918652E-2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s="56" t="s">
        <v>4947</v>
      </c>
      <c r="AR71" s="23">
        <v>12165.119999999999</v>
      </c>
      <c r="AS71" s="40">
        <v>2.3039999999999998</v>
      </c>
      <c r="AT71" s="41">
        <v>2436520</v>
      </c>
      <c r="AU71" s="56" t="s">
        <v>4948</v>
      </c>
      <c r="AV71" s="19">
        <v>0</v>
      </c>
      <c r="AW71" s="19">
        <v>0</v>
      </c>
      <c r="AX71" s="19">
        <v>8270</v>
      </c>
      <c r="AY71" s="23">
        <f t="shared" si="14"/>
        <v>8270</v>
      </c>
      <c r="AZ71" s="40">
        <f t="shared" si="15"/>
        <v>1.5662878787878789</v>
      </c>
      <c r="BA71" s="41">
        <v>3007272.7272727275</v>
      </c>
      <c r="BB71" s="187"/>
      <c r="BC71" s="44"/>
      <c r="BD71" s="191">
        <f t="shared" si="18"/>
        <v>0</v>
      </c>
      <c r="BE71" s="39" t="s">
        <v>5022</v>
      </c>
      <c r="BF71" s="54" t="s">
        <v>5023</v>
      </c>
      <c r="BG71" s="23">
        <v>0</v>
      </c>
      <c r="BH71" s="23">
        <v>0</v>
      </c>
      <c r="BI71" s="23">
        <v>8512</v>
      </c>
      <c r="BJ71" s="23">
        <v>8512</v>
      </c>
      <c r="BK71" s="40">
        <v>1.6121212121212121</v>
      </c>
      <c r="BL71" s="44">
        <v>2809593</v>
      </c>
      <c r="BM71" s="41">
        <v>4091239</v>
      </c>
      <c r="BN71" s="45">
        <v>330.07436560150376</v>
      </c>
    </row>
    <row r="72" spans="1:66" s="19" customFormat="1" x14ac:dyDescent="0.25">
      <c r="A72" s="218">
        <v>35115055</v>
      </c>
      <c r="B72" s="116" t="s">
        <v>5412</v>
      </c>
      <c r="C72" s="23">
        <v>20</v>
      </c>
      <c r="D72" s="23" t="str" cm="1">
        <f t="array" ref="D72">IFERROR(_xlfn.IFS(U72&lt;727,"MEET", AB72="FRRB","MEET", AB72="PSPS","MEET"),"No")</f>
        <v>No</v>
      </c>
      <c r="E72" s="23" t="str" cm="1">
        <f t="array" ref="E72">IFERROR(_xlfn.IFS(AM72&gt;0,"MEET", AN72&gt;0,"MEET"),"No")</f>
        <v>No</v>
      </c>
      <c r="F72" s="100">
        <v>2021017</v>
      </c>
      <c r="G72" s="37">
        <v>1.96</v>
      </c>
      <c r="H72" s="37">
        <f t="shared" si="17"/>
        <v>2.134280303030303</v>
      </c>
      <c r="I72" s="37">
        <f t="shared" si="10"/>
        <v>2.134280303030303</v>
      </c>
      <c r="J72" s="20">
        <v>2020</v>
      </c>
      <c r="K72" s="37">
        <v>0</v>
      </c>
      <c r="L72" s="37"/>
      <c r="M72" s="37">
        <f t="shared" si="11"/>
        <v>0</v>
      </c>
      <c r="N72" s="21">
        <v>952089.56</v>
      </c>
      <c r="O72" s="23" t="s">
        <v>4941</v>
      </c>
      <c r="P72" s="22">
        <v>163661701</v>
      </c>
      <c r="Q72" s="19" t="s">
        <v>2475</v>
      </c>
      <c r="R72" s="23" t="s">
        <v>2482</v>
      </c>
      <c r="S72" s="38">
        <f>IFERROR(VLOOKUP(R72,[47]conductor_pz_summary_hftd_23_re!$B$2:$Q$3636,8,FALSE),0)</f>
        <v>187</v>
      </c>
      <c r="T72" s="201">
        <f>IFERROR(VLOOKUP(R72,[48]conductor_pz_summary_hftd_23_re!$B$2:$H$3636,7,0),0)/1609</f>
        <v>16.249408441667743</v>
      </c>
      <c r="U72" s="23">
        <f>IFERROR(VLOOKUP(R72,[47]conductor_pz_summary_hftd_23_re!$B$2:$Q$3636,14,FALSE),0)</f>
        <v>2353</v>
      </c>
      <c r="V72" s="37">
        <f t="shared" si="12"/>
        <v>0.55914274049091306</v>
      </c>
      <c r="W72" s="202">
        <f>IFERROR(VLOOKUP(R72,[47]conductor_pz_summary_hftd_23_re!$B$2:$Q$3636,13,FALSE),0)</f>
        <v>2.9900681309674498E-3</v>
      </c>
      <c r="X72" s="73">
        <f>IFERROR(VLOOKUP(R72,conductor_pz_summary_hftd_23_re!$B$2:$N$3636,13,FALSE),0)</f>
        <v>2128</v>
      </c>
      <c r="Y72" s="203">
        <f t="shared" si="13"/>
        <v>4.5533211376622224E-2</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s="56" t="s">
        <v>4960</v>
      </c>
      <c r="AR72" s="23">
        <v>10348.799999999999</v>
      </c>
      <c r="AS72" s="40">
        <v>1.96</v>
      </c>
      <c r="AT72" s="41">
        <v>2137840</v>
      </c>
      <c r="AU72" s="56" t="s">
        <v>4961</v>
      </c>
      <c r="AV72" s="19">
        <v>0</v>
      </c>
      <c r="AW72" s="19">
        <v>0</v>
      </c>
      <c r="AX72" s="19">
        <v>11088</v>
      </c>
      <c r="AY72" s="23">
        <f t="shared" si="14"/>
        <v>11088</v>
      </c>
      <c r="AZ72" s="40">
        <f t="shared" si="15"/>
        <v>2.1</v>
      </c>
      <c r="BA72" s="41">
        <v>4032000</v>
      </c>
      <c r="BB72" s="187"/>
      <c r="BC72" s="44"/>
      <c r="BD72" s="191">
        <f t="shared" si="18"/>
        <v>0</v>
      </c>
      <c r="BE72" s="54" t="s">
        <v>5034</v>
      </c>
      <c r="BF72" s="54" t="s">
        <v>5035</v>
      </c>
      <c r="BG72" s="23">
        <v>0</v>
      </c>
      <c r="BH72" s="23">
        <v>0</v>
      </c>
      <c r="BI72" s="23">
        <v>11269</v>
      </c>
      <c r="BJ72" s="23">
        <v>11269</v>
      </c>
      <c r="BK72" s="40">
        <v>2.134280303030303</v>
      </c>
      <c r="BL72" s="44">
        <v>2901359</v>
      </c>
      <c r="BM72" s="41">
        <v>3784068</v>
      </c>
      <c r="BN72" s="45">
        <v>257.4637501109238</v>
      </c>
    </row>
    <row r="73" spans="1:66" s="19" customFormat="1" x14ac:dyDescent="0.25">
      <c r="A73" s="218">
        <v>35115053</v>
      </c>
      <c r="B73" s="116" t="s">
        <v>5412</v>
      </c>
      <c r="C73" s="23">
        <v>20</v>
      </c>
      <c r="D73" s="23" t="str" cm="1">
        <f t="array" ref="D73">IFERROR(_xlfn.IFS(U73&lt;727,"MEET", AB73="FRRB","MEET", AB73="PSPS","MEET"),"No")</f>
        <v>No</v>
      </c>
      <c r="E73" s="23" t="str" cm="1">
        <f t="array" ref="E73">IFERROR(_xlfn.IFS(AM73&gt;0,"MEET", AN73&gt;0,"MEET"),"No")</f>
        <v>No</v>
      </c>
      <c r="F73" s="100">
        <v>2021018</v>
      </c>
      <c r="G73" s="37">
        <v>2.3039999999999998</v>
      </c>
      <c r="H73" s="37">
        <f t="shared" si="17"/>
        <v>1.7202651515151515</v>
      </c>
      <c r="I73" s="37">
        <f t="shared" si="10"/>
        <v>1.7202651515151515</v>
      </c>
      <c r="J73" s="20">
        <v>2020</v>
      </c>
      <c r="K73" s="37">
        <v>0</v>
      </c>
      <c r="L73" s="37"/>
      <c r="M73" s="37">
        <f t="shared" si="11"/>
        <v>0</v>
      </c>
      <c r="N73" s="21">
        <v>634368.78</v>
      </c>
      <c r="O73" s="23" t="s">
        <v>4941</v>
      </c>
      <c r="P73" s="22">
        <v>163661701</v>
      </c>
      <c r="Q73" s="19" t="s">
        <v>2475</v>
      </c>
      <c r="R73" s="23" t="s">
        <v>2482</v>
      </c>
      <c r="S73" s="38">
        <f>IFERROR(VLOOKUP(R73,[47]conductor_pz_summary_hftd_23_re!$B$2:$Q$3636,8,FALSE),0)</f>
        <v>187</v>
      </c>
      <c r="T73" s="201">
        <f>IFERROR(VLOOKUP(R73,[48]conductor_pz_summary_hftd_23_re!$B$2:$H$3636,7,0),0)/1609</f>
        <v>16.249408441667743</v>
      </c>
      <c r="U73" s="23">
        <f>IFERROR(VLOOKUP(R73,[47]conductor_pz_summary_hftd_23_re!$B$2:$Q$3636,14,FALSE),0)</f>
        <v>2353</v>
      </c>
      <c r="V73" s="37">
        <f t="shared" si="12"/>
        <v>0.55914274049091306</v>
      </c>
      <c r="W73" s="202">
        <f>IFERROR(VLOOKUP(R73,[47]conductor_pz_summary_hftd_23_re!$B$2:$Q$3636,13,FALSE),0)</f>
        <v>2.9900681309674498E-3</v>
      </c>
      <c r="X73" s="73">
        <f>IFERROR(VLOOKUP(R73,conductor_pz_summary_hftd_23_re!$B$2:$N$3636,13,FALSE),0)</f>
        <v>2128</v>
      </c>
      <c r="Y73" s="203">
        <f t="shared" si="13"/>
        <v>3.6700519916040425E-2</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s="56" t="s">
        <v>4947</v>
      </c>
      <c r="AR73" s="23">
        <v>12165.119999999999</v>
      </c>
      <c r="AS73" s="40">
        <v>2.3039999999999998</v>
      </c>
      <c r="AT73" s="41">
        <v>2436520</v>
      </c>
      <c r="AU73" s="56" t="s">
        <v>4948</v>
      </c>
      <c r="AV73" s="19">
        <v>0</v>
      </c>
      <c r="AW73" s="19">
        <v>0</v>
      </c>
      <c r="AX73" s="19">
        <v>9571</v>
      </c>
      <c r="AY73" s="23">
        <f t="shared" si="14"/>
        <v>9571</v>
      </c>
      <c r="AZ73" s="40">
        <f t="shared" si="15"/>
        <v>1.812689393939394</v>
      </c>
      <c r="BA73" s="41">
        <v>3480363.6363636362</v>
      </c>
      <c r="BB73" s="187"/>
      <c r="BC73" s="44"/>
      <c r="BD73" s="191">
        <f t="shared" si="18"/>
        <v>0</v>
      </c>
      <c r="BE73" s="39" t="s">
        <v>5026</v>
      </c>
      <c r="BF73" s="54" t="s">
        <v>5027</v>
      </c>
      <c r="BG73" s="23">
        <v>0</v>
      </c>
      <c r="BH73" s="23">
        <v>0</v>
      </c>
      <c r="BI73" s="23">
        <v>9083</v>
      </c>
      <c r="BJ73" s="23">
        <v>9083</v>
      </c>
      <c r="BK73" s="40">
        <v>1.7202651515151515</v>
      </c>
      <c r="BL73" s="44">
        <v>1670418</v>
      </c>
      <c r="BM73" s="41">
        <v>2296559</v>
      </c>
      <c r="BN73" s="45">
        <v>183.90597820103491</v>
      </c>
    </row>
    <row r="74" spans="1:66" s="19" customFormat="1" x14ac:dyDescent="0.25">
      <c r="A74" s="218">
        <v>35052821</v>
      </c>
      <c r="B74" s="116" t="s">
        <v>5412</v>
      </c>
      <c r="C74" s="23">
        <v>20</v>
      </c>
      <c r="D74" s="23" t="str" cm="1">
        <f t="array" ref="D74">IFERROR(_xlfn.IFS(U74&lt;727,"MEET", AB74="FRRB","MEET", AB74="PSPS","MEET"),"No")</f>
        <v>No</v>
      </c>
      <c r="E74" s="23" t="str" cm="1">
        <f t="array" ref="E74">IFERROR(_xlfn.IFS(AM74&gt;0,"MEET", AN74&gt;0,"MEET"),"No")</f>
        <v>No</v>
      </c>
      <c r="F74" s="100">
        <v>2021019</v>
      </c>
      <c r="G74" s="37">
        <v>2.3039999999999998</v>
      </c>
      <c r="H74" s="37">
        <f t="shared" si="17"/>
        <v>2.074431818181818</v>
      </c>
      <c r="I74" s="37">
        <f t="shared" si="10"/>
        <v>2.074431818181818</v>
      </c>
      <c r="J74" s="20">
        <v>2020</v>
      </c>
      <c r="K74" s="37">
        <v>0</v>
      </c>
      <c r="L74" s="37"/>
      <c r="M74" s="37">
        <f t="shared" si="11"/>
        <v>0</v>
      </c>
      <c r="N74" s="21">
        <v>611371.23</v>
      </c>
      <c r="O74" s="23" t="s">
        <v>4941</v>
      </c>
      <c r="P74" s="22">
        <v>163661701</v>
      </c>
      <c r="Q74" s="19" t="s">
        <v>2475</v>
      </c>
      <c r="R74" s="23" t="s">
        <v>2482</v>
      </c>
      <c r="S74" s="38">
        <f>IFERROR(VLOOKUP(R74,[47]conductor_pz_summary_hftd_23_re!$B$2:$Q$3636,8,FALSE),0)</f>
        <v>187</v>
      </c>
      <c r="T74" s="201">
        <f>IFERROR(VLOOKUP(R74,[48]conductor_pz_summary_hftd_23_re!$B$2:$H$3636,7,0),0)/1609</f>
        <v>16.249408441667743</v>
      </c>
      <c r="U74" s="23">
        <f>IFERROR(VLOOKUP(R74,[47]conductor_pz_summary_hftd_23_re!$B$2:$Q$3636,14,FALSE),0)</f>
        <v>2353</v>
      </c>
      <c r="V74" s="37">
        <f t="shared" si="12"/>
        <v>0.55914274049091306</v>
      </c>
      <c r="W74" s="202">
        <f>IFERROR(VLOOKUP(R74,[47]conductor_pz_summary_hftd_23_re!$B$2:$Q$3636,13,FALSE),0)</f>
        <v>2.9900681309674498E-3</v>
      </c>
      <c r="X74" s="73">
        <f>IFERROR(VLOOKUP(R74,conductor_pz_summary_hftd_23_re!$B$2:$N$3636,13,FALSE),0)</f>
        <v>2128</v>
      </c>
      <c r="Y74" s="203">
        <f t="shared" si="13"/>
        <v>4.4256390470152014E-2</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s="56" t="s">
        <v>4947</v>
      </c>
      <c r="AR74" s="23">
        <v>12165.119999999999</v>
      </c>
      <c r="AS74" s="40">
        <v>2.3039999999999998</v>
      </c>
      <c r="AT74" s="41">
        <v>2436520</v>
      </c>
      <c r="AU74" s="56" t="s">
        <v>4948</v>
      </c>
      <c r="AV74" s="19">
        <v>0</v>
      </c>
      <c r="AW74" s="19">
        <v>0</v>
      </c>
      <c r="AX74" s="19">
        <v>9750</v>
      </c>
      <c r="AY74" s="23">
        <f t="shared" si="14"/>
        <v>9750</v>
      </c>
      <c r="AZ74" s="40">
        <f t="shared" si="15"/>
        <v>1.8465909090909092</v>
      </c>
      <c r="BA74" s="41">
        <v>3545454.5454545454</v>
      </c>
      <c r="BB74" s="187"/>
      <c r="BC74" s="44"/>
      <c r="BD74" s="191">
        <f t="shared" si="18"/>
        <v>0</v>
      </c>
      <c r="BE74" s="56" t="s">
        <v>4949</v>
      </c>
      <c r="BF74" s="54" t="s">
        <v>4950</v>
      </c>
      <c r="BG74" s="23">
        <v>0</v>
      </c>
      <c r="BH74" s="23">
        <v>0</v>
      </c>
      <c r="BI74" s="23">
        <v>10953</v>
      </c>
      <c r="BJ74" s="23">
        <v>10953</v>
      </c>
      <c r="BK74" s="40">
        <v>2.074431818181818</v>
      </c>
      <c r="BL74" s="44">
        <v>3322975</v>
      </c>
      <c r="BM74" s="41">
        <v>4765282</v>
      </c>
      <c r="BN74" s="45">
        <v>303.38491737423539</v>
      </c>
    </row>
    <row r="75" spans="1:66" s="19" customFormat="1" x14ac:dyDescent="0.25">
      <c r="A75" s="218">
        <v>35056746</v>
      </c>
      <c r="B75" s="116" t="s">
        <v>5412</v>
      </c>
      <c r="C75" s="23">
        <v>20</v>
      </c>
      <c r="D75" s="23" t="str" cm="1">
        <f t="array" ref="D75">IFERROR(_xlfn.IFS(U75&lt;727,"MEET", AB75="FRRB","MEET", AB75="PSPS","MEET"),"No")</f>
        <v>No</v>
      </c>
      <c r="E75" s="23" t="str" cm="1">
        <f t="array" ref="E75">IFERROR(_xlfn.IFS(AM75&gt;0,"MEET", AN75&gt;0,"MEET"),"No")</f>
        <v>No</v>
      </c>
      <c r="F75" s="100">
        <v>2021020</v>
      </c>
      <c r="G75" s="37">
        <v>1.96</v>
      </c>
      <c r="H75" s="37">
        <f t="shared" si="17"/>
        <v>2.0335227272727274</v>
      </c>
      <c r="I75" s="37">
        <f t="shared" si="10"/>
        <v>2.0335227272727274</v>
      </c>
      <c r="J75" s="20">
        <v>2020</v>
      </c>
      <c r="K75" s="37">
        <v>0</v>
      </c>
      <c r="L75" s="37"/>
      <c r="M75" s="37">
        <f t="shared" si="11"/>
        <v>0</v>
      </c>
      <c r="N75" s="21">
        <v>372655.58</v>
      </c>
      <c r="O75" s="23" t="s">
        <v>4941</v>
      </c>
      <c r="P75" s="22">
        <v>163661701</v>
      </c>
      <c r="Q75" s="19" t="s">
        <v>2475</v>
      </c>
      <c r="R75" s="23" t="s">
        <v>2482</v>
      </c>
      <c r="S75" s="38">
        <f>IFERROR(VLOOKUP(R75,[47]conductor_pz_summary_hftd_23_re!$B$2:$Q$3636,8,FALSE),0)</f>
        <v>187</v>
      </c>
      <c r="T75" s="201">
        <f>IFERROR(VLOOKUP(R75,[48]conductor_pz_summary_hftd_23_re!$B$2:$H$3636,7,0),0)/1609</f>
        <v>16.249408441667743</v>
      </c>
      <c r="U75" s="23">
        <f>IFERROR(VLOOKUP(R75,[47]conductor_pz_summary_hftd_23_re!$B$2:$Q$3636,14,FALSE),0)</f>
        <v>2353</v>
      </c>
      <c r="V75" s="37">
        <f t="shared" si="12"/>
        <v>0.55914274049091306</v>
      </c>
      <c r="W75" s="202">
        <f>IFERROR(VLOOKUP(R75,[47]conductor_pz_summary_hftd_23_re!$B$2:$Q$3636,13,FALSE),0)</f>
        <v>2.9900681309674498E-3</v>
      </c>
      <c r="X75" s="73">
        <f>IFERROR(VLOOKUP(R75,conductor_pz_summary_hftd_23_re!$B$2:$N$3636,13,FALSE),0)</f>
        <v>2128</v>
      </c>
      <c r="Y75" s="203">
        <f t="shared" si="13"/>
        <v>4.3383626812564802E-2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s="56" t="s">
        <v>4960</v>
      </c>
      <c r="AR75" s="23">
        <v>10348.799999999999</v>
      </c>
      <c r="AS75" s="40">
        <v>1.96</v>
      </c>
      <c r="AT75" s="41">
        <v>2137840</v>
      </c>
      <c r="AU75" s="56" t="s">
        <v>4961</v>
      </c>
      <c r="AV75" s="19">
        <v>0</v>
      </c>
      <c r="AW75" s="19">
        <v>0</v>
      </c>
      <c r="AX75" s="19">
        <v>10615</v>
      </c>
      <c r="AY75" s="23">
        <f t="shared" si="14"/>
        <v>10615</v>
      </c>
      <c r="AZ75" s="40">
        <f t="shared" si="15"/>
        <v>2.0104166666666665</v>
      </c>
      <c r="BA75" s="41">
        <v>3859999.9999999995</v>
      </c>
      <c r="BB75" s="187"/>
      <c r="BC75" s="44"/>
      <c r="BD75" s="191">
        <f t="shared" si="18"/>
        <v>0</v>
      </c>
      <c r="BE75" s="54" t="s">
        <v>4962</v>
      </c>
      <c r="BF75" s="54" t="s">
        <v>4963</v>
      </c>
      <c r="BG75" s="23">
        <v>0</v>
      </c>
      <c r="BH75" s="23">
        <v>0</v>
      </c>
      <c r="BI75" s="23">
        <v>10737</v>
      </c>
      <c r="BJ75" s="23">
        <v>10737</v>
      </c>
      <c r="BK75" s="40">
        <v>2.0335227272727274</v>
      </c>
      <c r="BL75" s="44">
        <v>2950902</v>
      </c>
      <c r="BM75" s="41">
        <v>3642331</v>
      </c>
      <c r="BN75" s="45">
        <v>274.83487007544005</v>
      </c>
    </row>
    <row r="76" spans="1:66" s="19" customFormat="1" x14ac:dyDescent="0.25">
      <c r="A76" s="218">
        <v>35116391</v>
      </c>
      <c r="B76" s="116" t="s">
        <v>5412</v>
      </c>
      <c r="C76" s="23">
        <v>20</v>
      </c>
      <c r="D76" s="23" t="str" cm="1">
        <f t="array" ref="D76">IFERROR(_xlfn.IFS(U76&lt;727,"MEET", AB76="FRRB","MEET", AB76="PSPS","MEET"),"No")</f>
        <v>No</v>
      </c>
      <c r="E76" s="23" t="str" cm="1">
        <f t="array" ref="E76">IFERROR(_xlfn.IFS(AM76&gt;0,"MEET", AN76&gt;0,"MEET"),"No")</f>
        <v>No</v>
      </c>
      <c r="F76" s="100">
        <v>2021021</v>
      </c>
      <c r="G76" s="37">
        <v>2.04</v>
      </c>
      <c r="H76" s="37">
        <f t="shared" si="17"/>
        <v>2.0901515151515153</v>
      </c>
      <c r="I76" s="37">
        <f t="shared" si="10"/>
        <v>0.71015151515151542</v>
      </c>
      <c r="J76" s="20">
        <v>2020</v>
      </c>
      <c r="K76" s="37">
        <v>1.38</v>
      </c>
      <c r="L76" s="37"/>
      <c r="M76" s="37">
        <f t="shared" si="11"/>
        <v>1.38</v>
      </c>
      <c r="N76" s="21">
        <v>1688016.64</v>
      </c>
      <c r="O76" s="217" t="s">
        <v>5511</v>
      </c>
      <c r="P76" s="22">
        <v>163661702</v>
      </c>
      <c r="Q76" s="19" t="s">
        <v>2484</v>
      </c>
      <c r="R76" s="23" t="s">
        <v>2494</v>
      </c>
      <c r="S76" s="38">
        <f>IFERROR(VLOOKUP(R76,[47]conductor_pz_summary_hftd_23_re!$B$2:$Q$3636,8,FALSE),0)</f>
        <v>110</v>
      </c>
      <c r="T76" s="201">
        <f>IFERROR(VLOOKUP(R76,[48]conductor_pz_summary_hftd_23_re!$B$2:$H$3636,7,0),0)/1609</f>
        <v>9.0549841860287135</v>
      </c>
      <c r="U76" s="23">
        <f>IFERROR(VLOOKUP(R76,[47]conductor_pz_summary_hftd_23_re!$B$2:$Q$3636,14,FALSE),0)</f>
        <v>2369</v>
      </c>
      <c r="V76" s="37">
        <f t="shared" si="12"/>
        <v>0.30976900962340631</v>
      </c>
      <c r="W76" s="202">
        <f>IFERROR(VLOOKUP(R76,[47]conductor_pz_summary_hftd_23_re!$B$2:$Q$3636,13,FALSE),0)</f>
        <v>2.81608190566733E-3</v>
      </c>
      <c r="X76" s="73">
        <f>IFERROR(VLOOKUP(R76,conductor_pz_summary_hftd_23_re!$B$2:$N$3636,13,FALSE),0)</f>
        <v>2489</v>
      </c>
      <c r="Y76" s="203">
        <f t="shared" si="13"/>
        <v>4.4332245527542016E-2</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s="56" t="s">
        <v>5055</v>
      </c>
      <c r="AR76" s="23">
        <v>10771.2</v>
      </c>
      <c r="AS76" s="40">
        <v>2.04</v>
      </c>
      <c r="AT76" s="41">
        <v>2205280</v>
      </c>
      <c r="AU76" s="56" t="s">
        <v>5056</v>
      </c>
      <c r="AV76" s="19">
        <v>0</v>
      </c>
      <c r="AW76" s="19">
        <v>0</v>
      </c>
      <c r="AX76" s="19">
        <v>10840</v>
      </c>
      <c r="AY76" s="23">
        <f t="shared" si="14"/>
        <v>10840</v>
      </c>
      <c r="AZ76" s="40">
        <f t="shared" si="15"/>
        <v>2.0530303030303032</v>
      </c>
      <c r="BA76" s="41">
        <v>3941818.1818181821</v>
      </c>
      <c r="BB76" s="187"/>
      <c r="BC76" s="44"/>
      <c r="BD76" s="191">
        <f t="shared" si="18"/>
        <v>0</v>
      </c>
      <c r="BE76" s="54" t="s">
        <v>5057</v>
      </c>
      <c r="BF76" s="54" t="s">
        <v>5058</v>
      </c>
      <c r="BG76" s="23">
        <v>0</v>
      </c>
      <c r="BH76" s="23">
        <v>0</v>
      </c>
      <c r="BI76" s="23">
        <v>11036</v>
      </c>
      <c r="BJ76" s="23">
        <v>11036</v>
      </c>
      <c r="BK76" s="40">
        <v>2.0901515151515153</v>
      </c>
      <c r="BL76" s="44">
        <v>3920204</v>
      </c>
      <c r="BM76" s="41">
        <v>5835429</v>
      </c>
      <c r="BN76" s="45">
        <v>355.21964479884014</v>
      </c>
    </row>
    <row r="77" spans="1:66" s="19" customFormat="1" x14ac:dyDescent="0.25">
      <c r="A77" s="218">
        <v>35116395</v>
      </c>
      <c r="B77" s="116" t="s">
        <v>5412</v>
      </c>
      <c r="C77" s="23">
        <v>20</v>
      </c>
      <c r="D77" s="23" t="str" cm="1">
        <f t="array" ref="D77">IFERROR(_xlfn.IFS(U77&lt;727,"MEET", AB77="FRRB","MEET", AB77="PSPS","MEET"),"No")</f>
        <v>No</v>
      </c>
      <c r="E77" s="23" t="str" cm="1">
        <f t="array" ref="E77">IFERROR(_xlfn.IFS(AM77&gt;0,"MEET", AN77&gt;0,"MEET"),"No")</f>
        <v>No</v>
      </c>
      <c r="F77" s="100">
        <v>2021022</v>
      </c>
      <c r="G77" s="37">
        <v>2.04</v>
      </c>
      <c r="H77" s="37">
        <f t="shared" si="17"/>
        <v>1.7106060606060607</v>
      </c>
      <c r="I77" s="37">
        <f t="shared" si="10"/>
        <v>1.7106060606060607</v>
      </c>
      <c r="J77" s="20">
        <v>2020</v>
      </c>
      <c r="K77" s="37">
        <v>0</v>
      </c>
      <c r="L77" s="37"/>
      <c r="M77" s="37">
        <f t="shared" si="11"/>
        <v>0</v>
      </c>
      <c r="N77" s="21">
        <v>804930.72</v>
      </c>
      <c r="O77" s="23" t="s">
        <v>4941</v>
      </c>
      <c r="P77" s="22">
        <v>163661702</v>
      </c>
      <c r="Q77" s="19" t="s">
        <v>2484</v>
      </c>
      <c r="R77" s="23" t="s">
        <v>2494</v>
      </c>
      <c r="S77" s="38">
        <f>IFERROR(VLOOKUP(R77,[47]conductor_pz_summary_hftd_23_re!$B$2:$Q$3636,8,FALSE),0)</f>
        <v>110</v>
      </c>
      <c r="T77" s="201">
        <f>IFERROR(VLOOKUP(R77,[48]conductor_pz_summary_hftd_23_re!$B$2:$H$3636,7,0),0)/1609</f>
        <v>9.0549841860287135</v>
      </c>
      <c r="U77" s="23">
        <f>IFERROR(VLOOKUP(R77,[47]conductor_pz_summary_hftd_23_re!$B$2:$Q$3636,14,FALSE),0)</f>
        <v>2369</v>
      </c>
      <c r="V77" s="37">
        <f t="shared" si="12"/>
        <v>0.30976900962340631</v>
      </c>
      <c r="W77" s="202">
        <f>IFERROR(VLOOKUP(R77,[47]conductor_pz_summary_hftd_23_re!$B$2:$Q$3636,13,FALSE),0)</f>
        <v>2.81608190566733E-3</v>
      </c>
      <c r="X77" s="73">
        <f>IFERROR(VLOOKUP(R77,conductor_pz_summary_hftd_23_re!$B$2:$N$3636,13,FALSE),0)</f>
        <v>2489</v>
      </c>
      <c r="Y77" s="203">
        <f t="shared" si="13"/>
        <v>3.6282062486839385E-2</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s="56" t="s">
        <v>5055</v>
      </c>
      <c r="AR77" s="23">
        <v>10771.2</v>
      </c>
      <c r="AS77" s="40">
        <v>2.04</v>
      </c>
      <c r="AT77" s="41">
        <v>2205280</v>
      </c>
      <c r="AU77" s="56" t="s">
        <v>5056</v>
      </c>
      <c r="AV77" s="19">
        <v>0</v>
      </c>
      <c r="AW77" s="19">
        <v>0</v>
      </c>
      <c r="AX77" s="19">
        <v>7500</v>
      </c>
      <c r="AY77" s="23">
        <f t="shared" si="14"/>
        <v>7500</v>
      </c>
      <c r="AZ77" s="40">
        <f t="shared" si="15"/>
        <v>1.4204545454545454</v>
      </c>
      <c r="BA77" s="41">
        <v>2727272.7272727271</v>
      </c>
      <c r="BB77" s="187"/>
      <c r="BC77" s="44"/>
      <c r="BD77" s="191">
        <f t="shared" si="18"/>
        <v>0</v>
      </c>
      <c r="BE77" s="56" t="s">
        <v>5061</v>
      </c>
      <c r="BF77" s="54" t="s">
        <v>5062</v>
      </c>
      <c r="BG77" s="23">
        <v>0</v>
      </c>
      <c r="BH77" s="23">
        <v>0</v>
      </c>
      <c r="BI77" s="23">
        <v>9032</v>
      </c>
      <c r="BJ77" s="23">
        <v>9032</v>
      </c>
      <c r="BK77" s="40">
        <v>1.7106060606060607</v>
      </c>
      <c r="BL77" s="44">
        <v>2479935</v>
      </c>
      <c r="BM77" s="41">
        <v>3714853</v>
      </c>
      <c r="BN77" s="45">
        <v>274.57207705934456</v>
      </c>
    </row>
    <row r="78" spans="1:66" s="19" customFormat="1" x14ac:dyDescent="0.25">
      <c r="A78" s="218">
        <v>35116800</v>
      </c>
      <c r="B78" s="116" t="s">
        <v>5412</v>
      </c>
      <c r="C78" s="23">
        <v>20</v>
      </c>
      <c r="D78" s="23" t="str" cm="1">
        <f t="array" ref="D78">IFERROR(_xlfn.IFS(U78&lt;727,"MEET", AB78="FRRB","MEET", AB78="PSPS","MEET"),"No")</f>
        <v>No</v>
      </c>
      <c r="E78" s="23" t="str" cm="1">
        <f t="array" ref="E78">IFERROR(_xlfn.IFS(AM78&gt;0,"MEET", AN78&gt;0,"MEET"),"No")</f>
        <v>No</v>
      </c>
      <c r="F78" s="100">
        <v>2021023</v>
      </c>
      <c r="G78" s="37">
        <v>1.78</v>
      </c>
      <c r="H78" s="37">
        <f t="shared" si="17"/>
        <v>1.425189393939394</v>
      </c>
      <c r="I78" s="37">
        <f t="shared" si="10"/>
        <v>1.175189393939394</v>
      </c>
      <c r="J78" s="20">
        <v>2020</v>
      </c>
      <c r="K78" s="37">
        <v>0.25</v>
      </c>
      <c r="L78" s="37"/>
      <c r="M78" s="37">
        <f t="shared" si="11"/>
        <v>0.25</v>
      </c>
      <c r="N78" s="21">
        <v>1284948.3700000001</v>
      </c>
      <c r="O78" s="217" t="s">
        <v>5511</v>
      </c>
      <c r="P78" s="22">
        <v>163661702</v>
      </c>
      <c r="Q78" s="19" t="s">
        <v>2484</v>
      </c>
      <c r="R78" s="23" t="s">
        <v>2492</v>
      </c>
      <c r="S78" s="38">
        <f>IFERROR(VLOOKUP(R78,[47]conductor_pz_summary_hftd_23_re!$B$2:$Q$3636,8,FALSE),0)</f>
        <v>231</v>
      </c>
      <c r="T78" s="201">
        <f>IFERROR(VLOOKUP(R78,[48]conductor_pz_summary_hftd_23_re!$B$2:$H$3636,7,0),0)/1609</f>
        <v>19.731845806481232</v>
      </c>
      <c r="U78" s="23">
        <f>IFERROR(VLOOKUP(R78,[47]conductor_pz_summary_hftd_23_re!$B$2:$Q$3636,14,FALSE),0)</f>
        <v>2411</v>
      </c>
      <c r="V78" s="37">
        <f t="shared" si="12"/>
        <v>0.57976134322032924</v>
      </c>
      <c r="W78" s="202">
        <f>IFERROR(VLOOKUP(R78,[47]conductor_pz_summary_hftd_23_re!$B$2:$Q$3636,13,FALSE),0)</f>
        <v>2.5097893645901698E-3</v>
      </c>
      <c r="X78" s="73">
        <f>IFERROR(VLOOKUP(R78,conductor_pz_summary_hftd_23_re!$B$2:$N$3636,13,FALSE),0)</f>
        <v>2266</v>
      </c>
      <c r="Y78" s="203">
        <f t="shared" si="13"/>
        <v>2.5962458342513841E-2</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s="54" t="s">
        <v>5075</v>
      </c>
      <c r="AR78" s="23">
        <v>9398.4</v>
      </c>
      <c r="AS78" s="40">
        <v>1.78</v>
      </c>
      <c r="AT78" s="41">
        <v>1921966</v>
      </c>
      <c r="AU78" s="54" t="s">
        <v>5076</v>
      </c>
      <c r="AV78" s="19">
        <v>0</v>
      </c>
      <c r="AW78" s="19">
        <v>0</v>
      </c>
      <c r="AX78" s="19">
        <v>6695</v>
      </c>
      <c r="AY78" s="23">
        <f t="shared" si="14"/>
        <v>6695</v>
      </c>
      <c r="AZ78" s="40">
        <f t="shared" si="15"/>
        <v>1.2679924242424243</v>
      </c>
      <c r="BA78" s="41">
        <v>2434545.4545454546</v>
      </c>
      <c r="BB78" s="187"/>
      <c r="BC78" s="44"/>
      <c r="BD78" s="191">
        <f t="shared" si="18"/>
        <v>0</v>
      </c>
      <c r="BE78" s="56" t="s">
        <v>5077</v>
      </c>
      <c r="BF78" s="54" t="s">
        <v>5078</v>
      </c>
      <c r="BG78" s="23">
        <v>0</v>
      </c>
      <c r="BH78" s="23">
        <v>0</v>
      </c>
      <c r="BI78" s="23">
        <v>7525</v>
      </c>
      <c r="BJ78" s="23">
        <v>7525</v>
      </c>
      <c r="BK78" s="40">
        <v>1.425189393939394</v>
      </c>
      <c r="BL78" s="44">
        <v>2704457</v>
      </c>
      <c r="BM78" s="41">
        <v>4030625</v>
      </c>
      <c r="BN78" s="45">
        <v>359.39627906976744</v>
      </c>
    </row>
    <row r="79" spans="1:66" s="19" customFormat="1" x14ac:dyDescent="0.25">
      <c r="A79" s="218">
        <v>35114100</v>
      </c>
      <c r="B79" s="116" t="s">
        <v>5412</v>
      </c>
      <c r="C79" s="23">
        <v>20</v>
      </c>
      <c r="D79" s="23" t="str" cm="1">
        <f t="array" ref="D79">IFERROR(_xlfn.IFS(U79&lt;727,"MEET", AB79="FRRB","MEET", AB79="PSPS","MEET"),"No")</f>
        <v>No</v>
      </c>
      <c r="E79" s="23" t="str" cm="1">
        <f t="array" ref="E79">IFERROR(_xlfn.IFS(AM79&gt;0,"MEET", AN79&gt;0,"MEET"),"No")</f>
        <v>No</v>
      </c>
      <c r="F79" s="100">
        <v>2021024</v>
      </c>
      <c r="G79" s="37">
        <v>1.61</v>
      </c>
      <c r="H79" s="37">
        <f t="shared" si="17"/>
        <v>1.0392045454545455</v>
      </c>
      <c r="I79" s="37">
        <f t="shared" si="10"/>
        <v>1.0392045454545455</v>
      </c>
      <c r="J79" s="20">
        <v>2020</v>
      </c>
      <c r="K79" s="37">
        <v>0</v>
      </c>
      <c r="L79" s="37"/>
      <c r="M79" s="37">
        <f t="shared" si="11"/>
        <v>0</v>
      </c>
      <c r="N79" s="21">
        <v>413706</v>
      </c>
      <c r="O79" s="23" t="s">
        <v>4941</v>
      </c>
      <c r="P79" s="22">
        <v>83622106</v>
      </c>
      <c r="Q79" s="19" t="s">
        <v>667</v>
      </c>
      <c r="R79" s="23" t="s">
        <v>677</v>
      </c>
      <c r="S79" s="38">
        <f>IFERROR(VLOOKUP(R79,[47]conductor_pz_summary_hftd_23_re!$B$2:$Q$3636,8,FALSE),0)</f>
        <v>185</v>
      </c>
      <c r="T79" s="201">
        <f>IFERROR(VLOOKUP(R79,[48]conductor_pz_summary_hftd_23_re!$B$2:$H$3636,7,0),0)/1609</f>
        <v>15.07341914252194</v>
      </c>
      <c r="U79" s="23">
        <f>IFERROR(VLOOKUP(R79,[47]conductor_pz_summary_hftd_23_re!$B$2:$Q$3636,14,FALSE),0)</f>
        <v>2464</v>
      </c>
      <c r="V79" s="37">
        <f t="shared" si="12"/>
        <v>0.3933956785559482</v>
      </c>
      <c r="W79" s="202">
        <f>IFERROR(VLOOKUP(R79,[47]conductor_pz_summary_hftd_23_re!$B$2:$Q$3636,13,FALSE),0)</f>
        <v>2.1264631273294498E-3</v>
      </c>
      <c r="X79" s="73">
        <f>IFERROR(VLOOKUP(R79,conductor_pz_summary_hftd_23_re!$B$2:$N$3636,13,FALSE),0)</f>
        <v>2540</v>
      </c>
      <c r="Y79" s="203">
        <f t="shared" si="13"/>
        <v>1.6815529080713439E-2</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s="53" t="s">
        <v>5017</v>
      </c>
      <c r="AR79" s="23">
        <v>8500.8000000000011</v>
      </c>
      <c r="AS79" s="40">
        <v>1.61</v>
      </c>
      <c r="AT79" s="41">
        <v>1747200</v>
      </c>
      <c r="AU79" s="23" t="s">
        <v>4988</v>
      </c>
      <c r="AV79" s="19">
        <v>0</v>
      </c>
      <c r="AW79" s="19">
        <v>0</v>
      </c>
      <c r="AX79" s="19">
        <v>5491.2</v>
      </c>
      <c r="AY79" s="23">
        <f t="shared" si="14"/>
        <v>5491.2</v>
      </c>
      <c r="AZ79" s="40">
        <f t="shared" si="15"/>
        <v>1.04</v>
      </c>
      <c r="BA79" s="41">
        <v>1996800</v>
      </c>
      <c r="BB79" s="187"/>
      <c r="BC79" s="44"/>
      <c r="BD79" s="191">
        <f t="shared" si="18"/>
        <v>0</v>
      </c>
      <c r="BE79" s="54" t="s">
        <v>5018</v>
      </c>
      <c r="BF79" s="54" t="s">
        <v>5019</v>
      </c>
      <c r="BG79" s="23">
        <v>0</v>
      </c>
      <c r="BH79" s="23">
        <v>0</v>
      </c>
      <c r="BI79" s="23">
        <v>5487</v>
      </c>
      <c r="BJ79" s="23">
        <v>5487</v>
      </c>
      <c r="BK79" s="40">
        <v>1.0392045454545455</v>
      </c>
      <c r="BL79" s="44">
        <v>2119397</v>
      </c>
      <c r="BM79" s="41">
        <v>2502285</v>
      </c>
      <c r="BN79" s="45">
        <v>386.25788226717697</v>
      </c>
    </row>
    <row r="80" spans="1:66" s="19" customFormat="1" x14ac:dyDescent="0.25">
      <c r="A80" s="218">
        <v>35116442</v>
      </c>
      <c r="B80" s="116" t="s">
        <v>5412</v>
      </c>
      <c r="C80" s="23">
        <v>20</v>
      </c>
      <c r="D80" s="23" t="str" cm="1">
        <f t="array" ref="D80">IFERROR(_xlfn.IFS(U80&lt;727,"MEET", AB80="FRRB","MEET", AB80="PSPS","MEET"),"No")</f>
        <v>No</v>
      </c>
      <c r="E80" s="23" t="str" cm="1">
        <f t="array" ref="E80">IFERROR(_xlfn.IFS(AM80&gt;0,"MEET", AN80&gt;0,"MEET"),"No")</f>
        <v>No</v>
      </c>
      <c r="F80" s="100">
        <v>2021025</v>
      </c>
      <c r="G80" s="37">
        <v>1.85</v>
      </c>
      <c r="H80" s="37">
        <f t="shared" si="17"/>
        <v>2.3458333333333332</v>
      </c>
      <c r="I80" s="37">
        <f t="shared" si="10"/>
        <v>0.55583333333333318</v>
      </c>
      <c r="J80" s="20">
        <v>2020</v>
      </c>
      <c r="K80" s="37">
        <v>1.79</v>
      </c>
      <c r="L80" s="37"/>
      <c r="M80" s="37">
        <f t="shared" si="11"/>
        <v>1.79</v>
      </c>
      <c r="N80" s="21">
        <v>1951346.75</v>
      </c>
      <c r="O80" s="217" t="s">
        <v>5511</v>
      </c>
      <c r="P80" s="22">
        <v>163661702</v>
      </c>
      <c r="Q80" s="19" t="s">
        <v>2484</v>
      </c>
      <c r="R80" s="23" t="s">
        <v>2487</v>
      </c>
      <c r="S80" s="38">
        <f>IFERROR(VLOOKUP(R80,[47]conductor_pz_summary_hftd_23_re!$B$2:$Q$3636,8,FALSE),0)</f>
        <v>132</v>
      </c>
      <c r="T80" s="201">
        <f>IFERROR(VLOOKUP(R80,[48]conductor_pz_summary_hftd_23_re!$B$2:$H$3636,7,0),0)/1609</f>
        <v>10.941613656884462</v>
      </c>
      <c r="U80" s="23">
        <f>IFERROR(VLOOKUP(R80,[47]conductor_pz_summary_hftd_23_re!$B$2:$Q$3636,14,FALSE),0)</f>
        <v>2678</v>
      </c>
      <c r="V80" s="37">
        <f t="shared" si="12"/>
        <v>9.8599022534639355E-2</v>
      </c>
      <c r="W80" s="202">
        <f>IFERROR(VLOOKUP(R80,[47]conductor_pz_summary_hftd_23_re!$B$2:$Q$3636,13,FALSE),0)</f>
        <v>7.4696229192908604E-4</v>
      </c>
      <c r="X80" s="73">
        <f>IFERROR(VLOOKUP(R80,conductor_pz_summary_hftd_23_re!$B$2:$N$3636,13,FALSE),0)</f>
        <v>2665</v>
      </c>
      <c r="Y80" s="203">
        <f t="shared" si="13"/>
        <v>1.310629914274042E-2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s="56" t="s">
        <v>5065</v>
      </c>
      <c r="AR80" s="23">
        <v>9768</v>
      </c>
      <c r="AS80" s="40">
        <v>1.85</v>
      </c>
      <c r="AT80" s="41">
        <v>1963016</v>
      </c>
      <c r="AU80" s="56" t="s">
        <v>5066</v>
      </c>
      <c r="AV80" s="19">
        <v>0</v>
      </c>
      <c r="AW80" s="19">
        <v>0</v>
      </c>
      <c r="AX80" s="19">
        <v>11065</v>
      </c>
      <c r="AY80" s="23">
        <f t="shared" si="14"/>
        <v>11065</v>
      </c>
      <c r="AZ80" s="40">
        <f t="shared" si="15"/>
        <v>2.0956439393939394</v>
      </c>
      <c r="BA80" s="41">
        <v>4023636.3636363638</v>
      </c>
      <c r="BB80" s="187"/>
      <c r="BC80" s="44"/>
      <c r="BD80" s="191">
        <f t="shared" si="18"/>
        <v>0</v>
      </c>
      <c r="BE80" s="54" t="s">
        <v>5067</v>
      </c>
      <c r="BF80" s="54" t="s">
        <v>5068</v>
      </c>
      <c r="BG80" s="23">
        <v>0</v>
      </c>
      <c r="BH80" s="23">
        <v>0</v>
      </c>
      <c r="BI80" s="23">
        <v>12386</v>
      </c>
      <c r="BJ80" s="23">
        <v>12386</v>
      </c>
      <c r="BK80" s="40">
        <v>2.3458333333333332</v>
      </c>
      <c r="BL80" s="44">
        <v>2994831</v>
      </c>
      <c r="BM80" s="41">
        <v>3849738</v>
      </c>
      <c r="BN80" s="45">
        <v>241.79161957048279</v>
      </c>
    </row>
    <row r="81" spans="1:68" s="19" customFormat="1" x14ac:dyDescent="0.25">
      <c r="A81" s="218">
        <v>35116444</v>
      </c>
      <c r="B81" s="116" t="s">
        <v>5412</v>
      </c>
      <c r="C81" s="23">
        <v>20</v>
      </c>
      <c r="D81" s="23" t="str" cm="1">
        <f t="array" ref="D81">IFERROR(_xlfn.IFS(U81&lt;727,"MEET", AB81="FRRB","MEET", AB81="PSPS","MEET"),"No")</f>
        <v>No</v>
      </c>
      <c r="E81" s="23" t="str" cm="1">
        <f t="array" ref="E81">IFERROR(_xlfn.IFS(AM81&gt;0,"MEET", AN81&gt;0,"MEET"),"No")</f>
        <v>No</v>
      </c>
      <c r="F81" s="100">
        <v>2021026</v>
      </c>
      <c r="G81" s="37">
        <v>1.85</v>
      </c>
      <c r="H81" s="37">
        <f t="shared" si="17"/>
        <v>2.1022727272727271</v>
      </c>
      <c r="I81" s="37">
        <f t="shared" si="10"/>
        <v>2.1022727272727271</v>
      </c>
      <c r="J81" s="20">
        <v>2020</v>
      </c>
      <c r="K81" s="37">
        <v>0</v>
      </c>
      <c r="L81" s="37"/>
      <c r="M81" s="37">
        <f t="shared" si="11"/>
        <v>0</v>
      </c>
      <c r="N81" s="21">
        <v>775814.94</v>
      </c>
      <c r="O81" s="23" t="s">
        <v>4941</v>
      </c>
      <c r="P81" s="22">
        <v>163661702</v>
      </c>
      <c r="Q81" s="19" t="s">
        <v>2484</v>
      </c>
      <c r="R81" s="23" t="s">
        <v>2487</v>
      </c>
      <c r="S81" s="38">
        <f>IFERROR(VLOOKUP(R81,[47]conductor_pz_summary_hftd_23_re!$B$2:$Q$3636,8,FALSE),0)</f>
        <v>132</v>
      </c>
      <c r="T81" s="201">
        <f>IFERROR(VLOOKUP(R81,[48]conductor_pz_summary_hftd_23_re!$B$2:$H$3636,7,0),0)/1609</f>
        <v>10.941613656884462</v>
      </c>
      <c r="U81" s="23">
        <f>IFERROR(VLOOKUP(R81,[47]conductor_pz_summary_hftd_23_re!$B$2:$Q$3636,14,FALSE),0)</f>
        <v>2678</v>
      </c>
      <c r="V81" s="37">
        <f t="shared" si="12"/>
        <v>9.8599022534639355E-2</v>
      </c>
      <c r="W81" s="202">
        <f>IFERROR(VLOOKUP(R81,[47]conductor_pz_summary_hftd_23_re!$B$2:$Q$3636,13,FALSE),0)</f>
        <v>7.4696229192908604E-4</v>
      </c>
      <c r="X81" s="73">
        <f>IFERROR(VLOOKUP(R81,conductor_pz_summary_hftd_23_re!$B$2:$N$3636,13,FALSE),0)</f>
        <v>2665</v>
      </c>
      <c r="Y81" s="203">
        <f t="shared" si="13"/>
        <v>1.1745512714711664E-2</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s="56" t="s">
        <v>5065</v>
      </c>
      <c r="AR81" s="23">
        <v>9768</v>
      </c>
      <c r="AS81" s="40">
        <v>1.85</v>
      </c>
      <c r="AT81" s="41">
        <v>1963016</v>
      </c>
      <c r="AU81" s="56" t="s">
        <v>5066</v>
      </c>
      <c r="AV81" s="19">
        <v>0</v>
      </c>
      <c r="AW81" s="19">
        <v>0</v>
      </c>
      <c r="AX81" s="19">
        <v>9600</v>
      </c>
      <c r="AY81" s="23">
        <f t="shared" si="14"/>
        <v>9600</v>
      </c>
      <c r="AZ81" s="40">
        <f t="shared" si="15"/>
        <v>1.8181818181818181</v>
      </c>
      <c r="BA81" s="41">
        <v>3490909.0909090908</v>
      </c>
      <c r="BB81" s="187"/>
      <c r="BC81" s="44"/>
      <c r="BD81" s="191">
        <f t="shared" si="18"/>
        <v>0</v>
      </c>
      <c r="BE81" s="54" t="s">
        <v>5071</v>
      </c>
      <c r="BF81" s="54" t="s">
        <v>5072</v>
      </c>
      <c r="BG81" s="23">
        <v>0</v>
      </c>
      <c r="BH81" s="23">
        <v>0</v>
      </c>
      <c r="BI81" s="23">
        <v>11100</v>
      </c>
      <c r="BJ81" s="23">
        <v>11100</v>
      </c>
      <c r="BK81" s="40">
        <v>2.1022727272727271</v>
      </c>
      <c r="BL81" s="44">
        <v>2648178</v>
      </c>
      <c r="BM81" s="41">
        <v>3531134</v>
      </c>
      <c r="BN81" s="45">
        <v>238.5745945945946</v>
      </c>
    </row>
    <row r="82" spans="1:68" s="19" customFormat="1" x14ac:dyDescent="0.25">
      <c r="A82" s="218">
        <v>35052825</v>
      </c>
      <c r="B82" s="116" t="s">
        <v>5412</v>
      </c>
      <c r="C82" s="23">
        <v>20</v>
      </c>
      <c r="D82" s="23" t="str" cm="1">
        <f t="array" ref="D82">IFERROR(_xlfn.IFS(U82&lt;727,"MEET", AB82="FRRB","MEET", AB82="PSPS","MEET"),"No")</f>
        <v>No</v>
      </c>
      <c r="E82" s="23" t="str" cm="1">
        <f t="array" ref="E82">IFERROR(_xlfn.IFS(AM82&gt;0,"MEET", AN82&gt;0,"MEET"),"No")</f>
        <v>No</v>
      </c>
      <c r="F82" s="100">
        <v>2021027</v>
      </c>
      <c r="G82" s="37">
        <v>1.95</v>
      </c>
      <c r="H82" s="37">
        <f t="shared" si="17"/>
        <v>1.1681818181818182</v>
      </c>
      <c r="I82" s="37">
        <f t="shared" si="10"/>
        <v>1.1681818181818182</v>
      </c>
      <c r="J82" s="20">
        <v>2020</v>
      </c>
      <c r="K82" s="37">
        <v>0</v>
      </c>
      <c r="L82" s="37"/>
      <c r="M82" s="37">
        <f t="shared" si="11"/>
        <v>0</v>
      </c>
      <c r="N82" s="21">
        <v>472917.86</v>
      </c>
      <c r="O82" s="23" t="s">
        <v>4941</v>
      </c>
      <c r="P82" s="22">
        <v>163661702</v>
      </c>
      <c r="Q82" s="19" t="s">
        <v>2484</v>
      </c>
      <c r="R82" s="23" t="s">
        <v>2497</v>
      </c>
      <c r="S82" s="38">
        <f>IFERROR(VLOOKUP(R82,[47]conductor_pz_summary_hftd_23_re!$B$2:$Q$3636,8,FALSE),0)</f>
        <v>21</v>
      </c>
      <c r="T82" s="201">
        <f>IFERROR(VLOOKUP(R82,[48]conductor_pz_summary_hftd_23_re!$B$2:$H$3636,7,0),0)/1609</f>
        <v>1.4878815160173089</v>
      </c>
      <c r="U82" s="23">
        <f>IFERROR(VLOOKUP(R82,[47]conductor_pz_summary_hftd_23_re!$B$2:$Q$3636,14,FALSE),0)</f>
        <v>2737</v>
      </c>
      <c r="V82" s="37">
        <f t="shared" si="12"/>
        <v>1.0337860551407129E-2</v>
      </c>
      <c r="W82" s="202">
        <f>IFERROR(VLOOKUP(R82,[47]conductor_pz_summary_hftd_23_re!$B$2:$Q$3636,13,FALSE),0)</f>
        <v>4.9227907387652998E-4</v>
      </c>
      <c r="X82" s="183">
        <f>IFERROR(VLOOKUP(R82,conductor_pz_summary_hftd_23_re!$B$2:$N$3636,13,FALSE),0)</f>
        <v>2641</v>
      </c>
      <c r="Y82" s="203">
        <f t="shared" si="13"/>
        <v>5.0322760079544388E-3</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s="54" t="s">
        <v>4953</v>
      </c>
      <c r="AR82" s="23">
        <v>10296</v>
      </c>
      <c r="AS82" s="40">
        <v>1.95</v>
      </c>
      <c r="AT82" s="41">
        <v>2134266</v>
      </c>
      <c r="AU82" s="54" t="s">
        <v>4954</v>
      </c>
      <c r="AV82" s="19">
        <v>0</v>
      </c>
      <c r="AW82" s="19">
        <v>0</v>
      </c>
      <c r="AX82" s="19">
        <v>5785</v>
      </c>
      <c r="AY82" s="23">
        <f t="shared" si="14"/>
        <v>5785</v>
      </c>
      <c r="AZ82" s="40">
        <f t="shared" si="15"/>
        <v>1.0956439393939394</v>
      </c>
      <c r="BA82" s="41">
        <v>2103636.3636363638</v>
      </c>
      <c r="BB82" s="187"/>
      <c r="BC82" s="44"/>
      <c r="BD82" s="191">
        <f t="shared" si="18"/>
        <v>0</v>
      </c>
      <c r="BE82" s="54" t="s">
        <v>4955</v>
      </c>
      <c r="BF82" s="54" t="s">
        <v>4956</v>
      </c>
      <c r="BG82" s="23">
        <v>0</v>
      </c>
      <c r="BH82" s="23">
        <v>0</v>
      </c>
      <c r="BI82" s="23">
        <v>6168</v>
      </c>
      <c r="BJ82" s="23">
        <v>6168</v>
      </c>
      <c r="BK82" s="40">
        <v>1.1681818181818182</v>
      </c>
      <c r="BL82" s="44">
        <v>2342292</v>
      </c>
      <c r="BM82" s="41">
        <v>3544410</v>
      </c>
      <c r="BN82" s="45">
        <v>379.74902723735408</v>
      </c>
    </row>
    <row r="83" spans="1:68" s="19" customFormat="1" x14ac:dyDescent="0.25">
      <c r="A83" s="218">
        <v>35116515</v>
      </c>
      <c r="B83" s="116" t="s">
        <v>6625</v>
      </c>
      <c r="C83" s="23">
        <v>19</v>
      </c>
      <c r="D83" s="23" t="str" cm="1">
        <f t="array" ref="D83">IFERROR(_xlfn.IFS(U83&lt;727,"MEET", AB83="FRRB","MEET", AB83="PSPS","MEET"),"No")</f>
        <v>No</v>
      </c>
      <c r="E83" s="23" t="str" cm="1">
        <f t="array" ref="E83">IFERROR(_xlfn.IFS(AM83&gt;0,"MEET", AN83&gt;0,"MEET"),"No")</f>
        <v>No</v>
      </c>
      <c r="F83" s="100">
        <v>2021028</v>
      </c>
      <c r="G83" s="37"/>
      <c r="H83" s="37">
        <v>1.75</v>
      </c>
      <c r="I83" s="37">
        <f t="shared" si="10"/>
        <v>1.75</v>
      </c>
      <c r="J83" s="20">
        <v>2021</v>
      </c>
      <c r="K83" s="37"/>
      <c r="L83" s="37"/>
      <c r="M83" s="37">
        <f t="shared" si="11"/>
        <v>0</v>
      </c>
      <c r="N83" s="21">
        <v>152800.54999999999</v>
      </c>
      <c r="O83" s="183" t="s">
        <v>5321</v>
      </c>
      <c r="P83" s="22">
        <v>162821702</v>
      </c>
      <c r="Q83" s="19" t="s">
        <v>4213</v>
      </c>
      <c r="R83" s="23" t="s">
        <v>4215</v>
      </c>
      <c r="S83" s="38">
        <f>IFERROR(VLOOKUP(R83,[47]conductor_pz_summary_hftd_23_re!$B$2:$Q$3636,8,FALSE),0)</f>
        <v>231</v>
      </c>
      <c r="T83" s="201">
        <f>IFERROR(VLOOKUP(R83,[48]conductor_pz_summary_hftd_23_re!$B$2:$H$3636,7,0),0)/1609</f>
        <v>18.918586462488005</v>
      </c>
      <c r="U83" s="23">
        <f>IFERROR(VLOOKUP(R83,[47]conductor_pz_summary_hftd_23_re!$B$2:$Q$3636,14,FALSE),0)</f>
        <v>2386</v>
      </c>
      <c r="V83" s="37">
        <f t="shared" si="12"/>
        <v>0.62035604879089845</v>
      </c>
      <c r="W83" s="202">
        <f>IFERROR(VLOOKUP(R83,[47]conductor_pz_summary_hftd_23_re!$B$2:$Q$3636,13,FALSE),0)</f>
        <v>2.6855240207398199E-3</v>
      </c>
      <c r="X83" s="183">
        <f>IFERROR(VLOOKUP(R83,conductor_pz_summary_hftd_23_re!$B$2:$N$3636,13,FALSE),0)</f>
        <v>2198</v>
      </c>
      <c r="Y83" s="203">
        <f t="shared" si="13"/>
        <v>3.5578044600357864E-2</v>
      </c>
      <c r="Z83" s="23">
        <v>4</v>
      </c>
      <c r="AA83" s="23" t="s">
        <v>4871</v>
      </c>
      <c r="AB83" s="23" t="s">
        <v>4884</v>
      </c>
      <c r="AC83" s="19" t="s">
        <v>4977</v>
      </c>
      <c r="AD83" s="19" t="s">
        <v>4937</v>
      </c>
      <c r="AE83" s="19" t="s">
        <v>4938</v>
      </c>
      <c r="AF83" s="19" t="s">
        <v>4939</v>
      </c>
      <c r="AG83" s="23">
        <v>5786036</v>
      </c>
      <c r="AH83" s="23" t="s">
        <v>6630</v>
      </c>
      <c r="AI83" s="23">
        <v>117607998</v>
      </c>
      <c r="AJ83" s="51">
        <v>35116515</v>
      </c>
      <c r="AK83" s="23" t="s">
        <v>6631</v>
      </c>
      <c r="AL83" s="23">
        <v>9222</v>
      </c>
      <c r="AM83" s="23">
        <v>0</v>
      </c>
      <c r="AN83" s="23">
        <v>0</v>
      </c>
      <c r="AO83" s="23">
        <v>0</v>
      </c>
      <c r="AQ83" s="56" t="s">
        <v>6632</v>
      </c>
      <c r="AR83" s="23">
        <f>AS83*5280</f>
        <v>8764.7999999999993</v>
      </c>
      <c r="AS83" s="40">
        <v>1.66</v>
      </c>
      <c r="AT83" s="41">
        <v>1793000</v>
      </c>
      <c r="AU83" s="56" t="s">
        <v>6633</v>
      </c>
      <c r="AV83" s="19">
        <v>0</v>
      </c>
      <c r="AW83" s="19">
        <v>0</v>
      </c>
      <c r="AX83" s="19">
        <v>8765</v>
      </c>
      <c r="AY83" s="23">
        <f t="shared" si="14"/>
        <v>8765</v>
      </c>
      <c r="AZ83" s="40">
        <f t="shared" si="15"/>
        <v>1.6600378787878789</v>
      </c>
      <c r="BA83" s="43">
        <f>AZ83*1920000</f>
        <v>3187272.7272727275</v>
      </c>
      <c r="BB83" s="187"/>
      <c r="BC83" s="44"/>
      <c r="BD83" s="191"/>
      <c r="BE83" s="39" t="s">
        <v>6634</v>
      </c>
      <c r="BF83" s="54" t="s">
        <v>6635</v>
      </c>
      <c r="BG83" s="23">
        <v>0</v>
      </c>
      <c r="BH83" s="23">
        <v>0</v>
      </c>
      <c r="BI83" s="23">
        <v>9222</v>
      </c>
      <c r="BJ83" s="23">
        <v>9222</v>
      </c>
      <c r="BK83" s="40">
        <f>BJ83/5280</f>
        <v>1.7465909090909091</v>
      </c>
      <c r="BL83" s="44">
        <v>3203035</v>
      </c>
      <c r="BM83" s="41">
        <v>4438411</v>
      </c>
      <c r="BN83" s="45">
        <f>BL83/BJ83</f>
        <v>347.32541747993929</v>
      </c>
    </row>
    <row r="84" spans="1:68" s="19" customFormat="1" x14ac:dyDescent="0.25">
      <c r="A84" s="55">
        <v>31361965</v>
      </c>
      <c r="B84" s="116" t="s">
        <v>6625</v>
      </c>
      <c r="C84" s="23">
        <v>20</v>
      </c>
      <c r="D84" s="23" t="str" cm="1">
        <f t="array" ref="D84">IFERROR(_xlfn.IFS(U84&lt;727,"MEET", AB84="FRRB","MEET", AB84="PSPS","MEET"),"No")</f>
        <v>No</v>
      </c>
      <c r="E84" s="23" t="str" cm="1">
        <f t="array" ref="E84">IFERROR(_xlfn.IFS(AM84&gt;0,"MEET", AN84&gt;0,"MEET"),"No")</f>
        <v>MEET</v>
      </c>
      <c r="F84" s="100">
        <v>2021029</v>
      </c>
      <c r="H84" s="23">
        <v>0.45</v>
      </c>
      <c r="I84" s="37">
        <v>0</v>
      </c>
      <c r="J84" s="20">
        <v>2021</v>
      </c>
      <c r="K84" s="37"/>
      <c r="L84" s="37"/>
      <c r="M84" s="37">
        <f t="shared" si="11"/>
        <v>0</v>
      </c>
      <c r="N84" s="21">
        <v>267453.44</v>
      </c>
      <c r="O84" s="23" t="s">
        <v>4941</v>
      </c>
      <c r="P84" s="22">
        <v>43071101</v>
      </c>
      <c r="Q84" s="19" t="s">
        <v>1190</v>
      </c>
      <c r="R84" s="23" t="s">
        <v>1196</v>
      </c>
      <c r="S84" s="38">
        <f>IFERROR(VLOOKUP(R84,[47]conductor_pz_summary_hftd_23_re!$B$2:$Q$3636,8,FALSE),0)</f>
        <v>68</v>
      </c>
      <c r="T84" s="201">
        <f>IFERROR(VLOOKUP(R84,[48]conductor_pz_summary_hftd_23_re!$B$2:$H$3636,7,0),0)/1609</f>
        <v>6.5106530793033555</v>
      </c>
      <c r="U84" s="23">
        <f>IFERROR(VLOOKUP(R84,[47]conductor_pz_summary_hftd_23_re!$B$2:$Q$3636,14,FALSE),0)</f>
        <v>1794</v>
      </c>
      <c r="V84" s="37">
        <f t="shared" si="12"/>
        <v>0.99704213549559795</v>
      </c>
      <c r="W84" s="202">
        <f>IFERROR(VLOOKUP(R84,[47]conductor_pz_summary_hftd_23_re!$B$2:$Q$3636,13,FALSE),0)</f>
        <v>1.4662384345523499E-2</v>
      </c>
      <c r="X84" s="183">
        <f>IFERROR(VLOOKUP(R84,conductor_pz_summary_hftd_23_re!$B$2:$N$3636,13,FALSE),0)</f>
        <v>1845</v>
      </c>
      <c r="Y84" s="203">
        <f t="shared" si="13"/>
        <v>6.8223919467510122E-2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s="54" t="s">
        <v>5409</v>
      </c>
      <c r="AR84" s="23">
        <v>2300</v>
      </c>
      <c r="AS84" s="40">
        <f>AR84/5280</f>
        <v>0.43560606060606061</v>
      </c>
      <c r="AT84" s="41">
        <v>345000</v>
      </c>
      <c r="AU84" s="23" t="s">
        <v>4988</v>
      </c>
      <c r="AY84" s="23">
        <f t="shared" si="14"/>
        <v>0</v>
      </c>
      <c r="AZ84" s="23">
        <f>SUM(AW84:AY84)</f>
        <v>0</v>
      </c>
      <c r="BA84" s="40">
        <f>AZ84/5280</f>
        <v>0</v>
      </c>
      <c r="BB84" s="37"/>
      <c r="BC84" s="40"/>
      <c r="BD84" s="191">
        <f>IFERROR(BC84/BB84,0)</f>
        <v>0</v>
      </c>
      <c r="BE84" s="54" t="s">
        <v>5410</v>
      </c>
      <c r="BF84" s="54" t="s">
        <v>5411</v>
      </c>
      <c r="BG84" s="23">
        <v>0</v>
      </c>
      <c r="BH84" s="23">
        <v>0</v>
      </c>
      <c r="BI84" s="23">
        <v>2367</v>
      </c>
      <c r="BJ84" s="23">
        <v>2367</v>
      </c>
      <c r="BK84" s="40">
        <f>BJ84/5280</f>
        <v>0.44829545454545455</v>
      </c>
      <c r="BL84" s="44">
        <v>797947</v>
      </c>
      <c r="BM84" s="41">
        <v>1245293</v>
      </c>
      <c r="BN84" s="45">
        <f>BL84/BJ84</f>
        <v>337.11322348964933</v>
      </c>
    </row>
    <row r="85" spans="1:68" s="19" customFormat="1" x14ac:dyDescent="0.25">
      <c r="A85" s="216">
        <v>31334291</v>
      </c>
      <c r="B85" s="116" t="s">
        <v>6625</v>
      </c>
      <c r="C85" s="23">
        <v>18</v>
      </c>
      <c r="D85" s="23" t="str" cm="1">
        <f t="array" ref="D85">IFERROR(_xlfn.IFS(U85&lt;727,"MEET", AB85="FRRB","MEET", AB85="PSPS","MEET"),"No")</f>
        <v>No</v>
      </c>
      <c r="E85" s="23" t="str" cm="1">
        <f t="array" ref="E85">IFERROR(_xlfn.IFS(AM85&gt;0,"MEET", AN85&gt;0,"MEET"),"No")</f>
        <v>No</v>
      </c>
      <c r="F85" s="100">
        <v>2021030</v>
      </c>
      <c r="H85" s="23">
        <v>0.51</v>
      </c>
      <c r="I85" s="37">
        <v>0</v>
      </c>
      <c r="J85" s="20">
        <v>2021</v>
      </c>
      <c r="K85" s="37"/>
      <c r="L85" s="37"/>
      <c r="M85" s="37">
        <f t="shared" si="11"/>
        <v>0</v>
      </c>
      <c r="N85" s="21">
        <v>357850.19</v>
      </c>
      <c r="O85" s="23" t="s">
        <v>5103</v>
      </c>
      <c r="P85" s="22">
        <v>42761101</v>
      </c>
      <c r="Q85" s="19" t="s">
        <v>1443</v>
      </c>
      <c r="R85" s="23" t="s">
        <v>1444</v>
      </c>
      <c r="S85" s="38">
        <f>IFERROR(VLOOKUP(R85,[47]conductor_pz_summary_hftd_23_re!$B$2:$Q$3636,8,FALSE),0)</f>
        <v>68</v>
      </c>
      <c r="T85" s="201">
        <f>IFERROR(VLOOKUP(R85,[48]conductor_pz_summary_hftd_23_re!$B$2:$H$3636,7,0),0)/1609</f>
        <v>10.02693161970895</v>
      </c>
      <c r="U85" s="23">
        <f>IFERROR(VLOOKUP(R85,[47]conductor_pz_summary_hftd_23_re!$B$2:$Q$3636,14,FALSE),0)</f>
        <v>2140</v>
      </c>
      <c r="V85" s="37">
        <f t="shared" si="12"/>
        <v>0.42395941221207173</v>
      </c>
      <c r="W85" s="202">
        <f>IFERROR(VLOOKUP(R85,[47]conductor_pz_summary_hftd_23_re!$B$2:$Q$3636,13,FALSE),0)</f>
        <v>6.2346972384128199E-3</v>
      </c>
      <c r="X85" s="183">
        <f>IFERROR(VLOOKUP(R85,conductor_pz_summary_hftd_23_re!$B$2:$N$3636,13,FALSE),0)</f>
        <v>2061</v>
      </c>
      <c r="Y85" s="203">
        <f t="shared" si="13"/>
        <v>1.3369590142407723E-2</v>
      </c>
      <c r="Z85" s="23">
        <v>2292</v>
      </c>
      <c r="AA85" s="23" t="s">
        <v>4871</v>
      </c>
      <c r="AB85" s="23" t="s">
        <v>4904</v>
      </c>
      <c r="AC85" s="19" t="s">
        <v>6640</v>
      </c>
      <c r="AD85" s="19" t="s">
        <v>6641</v>
      </c>
      <c r="AE85" s="19" t="s">
        <v>4874</v>
      </c>
      <c r="AF85" s="19" t="s">
        <v>4875</v>
      </c>
      <c r="AG85" s="23">
        <v>5530164</v>
      </c>
      <c r="AH85" s="23"/>
      <c r="AI85" s="23">
        <v>112994395</v>
      </c>
      <c r="AJ85" s="35">
        <v>31334291</v>
      </c>
      <c r="AK85" s="23" t="s">
        <v>6642</v>
      </c>
      <c r="AL85" s="23">
        <v>2710</v>
      </c>
      <c r="AM85" s="23">
        <v>0</v>
      </c>
      <c r="AN85" s="23">
        <v>0</v>
      </c>
      <c r="AO85" s="23">
        <v>0</v>
      </c>
      <c r="AQ85" s="39" t="s">
        <v>6643</v>
      </c>
      <c r="AR85" s="23">
        <v>1920</v>
      </c>
      <c r="AS85" s="40">
        <f>AR85/5280</f>
        <v>0.36363636363636365</v>
      </c>
      <c r="AT85" s="41">
        <v>212000</v>
      </c>
      <c r="AU85" s="23" t="s">
        <v>4988</v>
      </c>
      <c r="AV85" s="19">
        <v>0</v>
      </c>
      <c r="AW85" s="19">
        <v>0</v>
      </c>
      <c r="AX85" s="19">
        <f>0.51*5280</f>
        <v>2692.8</v>
      </c>
      <c r="AY85" s="23">
        <f t="shared" si="14"/>
        <v>2692.8</v>
      </c>
      <c r="AZ85" s="40">
        <f>AY85/5280</f>
        <v>0.51</v>
      </c>
      <c r="BA85" s="43">
        <f>AZ85*1920000</f>
        <v>979200</v>
      </c>
      <c r="BB85" s="37"/>
      <c r="BC85" s="40"/>
      <c r="BD85" s="191"/>
      <c r="BE85" s="54"/>
      <c r="BF85" s="53" t="s">
        <v>6644</v>
      </c>
      <c r="BG85" s="23">
        <v>0</v>
      </c>
      <c r="BH85" s="23">
        <v>0</v>
      </c>
      <c r="BI85" s="23">
        <v>2710</v>
      </c>
      <c r="BJ85" s="23">
        <v>2710</v>
      </c>
      <c r="BK85" s="40">
        <f>BJ85/5280</f>
        <v>0.5132575757575758</v>
      </c>
      <c r="BL85" s="44">
        <v>688000</v>
      </c>
      <c r="BM85" s="41">
        <v>1115000</v>
      </c>
      <c r="BN85" s="45">
        <f>BL85/BJ85</f>
        <v>253.87453874538744</v>
      </c>
      <c r="BP85" s="48" t="s">
        <v>6645</v>
      </c>
    </row>
    <row r="86" spans="1:68" s="19" customFormat="1" x14ac:dyDescent="0.25">
      <c r="A86" s="219">
        <v>35085847</v>
      </c>
      <c r="B86" s="116" t="s">
        <v>6625</v>
      </c>
      <c r="C86" s="23">
        <v>18</v>
      </c>
      <c r="D86" s="23" t="str" cm="1">
        <f t="array" ref="D86">IFERROR(_xlfn.IFS(U86&lt;727,"MEET", AB86="FRRB","MEET", AB86="PSPS","MEET"),"No")</f>
        <v>No</v>
      </c>
      <c r="E86" s="23" t="str" cm="1">
        <f t="array" ref="E86">IFERROR(_xlfn.IFS(AM86&gt;0,"MEET", AN86&gt;0,"MEET"),"No")</f>
        <v>No</v>
      </c>
      <c r="F86" s="100">
        <v>2021031</v>
      </c>
      <c r="H86" s="37">
        <v>0.86</v>
      </c>
      <c r="I86" s="37">
        <v>0</v>
      </c>
      <c r="J86" s="20">
        <v>2021</v>
      </c>
      <c r="K86" s="37"/>
      <c r="L86" s="37"/>
      <c r="M86" s="37">
        <f t="shared" si="11"/>
        <v>0</v>
      </c>
      <c r="N86" s="21">
        <v>78122.490000000005</v>
      </c>
      <c r="O86" s="23" t="s">
        <v>5103</v>
      </c>
      <c r="P86" s="22">
        <v>83692105</v>
      </c>
      <c r="Q86" s="19" t="s">
        <v>3614</v>
      </c>
      <c r="R86" s="23" t="s">
        <v>3613</v>
      </c>
      <c r="S86" s="38">
        <f>IFERROR(VLOOKUP(R86,[47]conductor_pz_summary_hftd_23_re!$B$2:$Q$3636,8,FALSE),0)</f>
        <v>105</v>
      </c>
      <c r="T86" s="201">
        <f>IFERROR(VLOOKUP(R86,[48]conductor_pz_summary_hftd_23_re!$B$2:$H$3636,7,0),0)/1609</f>
        <v>3.41037916323637</v>
      </c>
      <c r="U86" s="23">
        <f>IFERROR(VLOOKUP(R86,[47]conductor_pz_summary_hftd_23_re!$B$2:$Q$3636,14,FALSE),0)</f>
        <v>3283</v>
      </c>
      <c r="V86" s="37">
        <f t="shared" si="12"/>
        <v>4.8830613474634102E-4</v>
      </c>
      <c r="W86" s="202">
        <f>IFERROR(VLOOKUP(R86,[47]conductor_pz_summary_hftd_23_re!$B$2:$Q$3636,13,FALSE),0)</f>
        <v>4.6505346166318196E-6</v>
      </c>
      <c r="X86" s="183">
        <f>IFERROR(VLOOKUP(R86,conductor_pz_summary_hftd_23_re!$B$2:$N$3636,13,FALSE),0)</f>
        <v>3333</v>
      </c>
      <c r="Y86" s="203">
        <f t="shared" si="13"/>
        <v>7.6344833986045384E-5</v>
      </c>
      <c r="Z86" s="23">
        <v>2523</v>
      </c>
      <c r="AA86" s="23" t="s">
        <v>4871</v>
      </c>
      <c r="AB86" s="23" t="s">
        <v>4904</v>
      </c>
      <c r="AC86" s="19" t="s">
        <v>5146</v>
      </c>
      <c r="AD86" s="19" t="s">
        <v>5013</v>
      </c>
      <c r="AE86" s="19" t="s">
        <v>5014</v>
      </c>
      <c r="AF86" s="19" t="s">
        <v>5014</v>
      </c>
      <c r="AG86" s="23">
        <v>5530169</v>
      </c>
      <c r="AH86" s="23" t="s">
        <v>6646</v>
      </c>
      <c r="AI86" s="23">
        <v>113255606</v>
      </c>
      <c r="AJ86" s="55">
        <v>35085847</v>
      </c>
      <c r="AK86" s="23" t="s">
        <v>6647</v>
      </c>
      <c r="AL86" s="23">
        <v>4555</v>
      </c>
      <c r="AM86" s="23">
        <v>0</v>
      </c>
      <c r="AN86" s="23">
        <v>0</v>
      </c>
      <c r="AO86" s="23">
        <v>0</v>
      </c>
      <c r="AR86" s="23"/>
      <c r="AS86" s="40">
        <v>0</v>
      </c>
      <c r="AT86" s="41"/>
      <c r="AY86" s="23">
        <v>0</v>
      </c>
      <c r="AZ86" s="40">
        <v>0</v>
      </c>
      <c r="BB86" s="37"/>
      <c r="BC86" s="40"/>
      <c r="BD86" s="191"/>
      <c r="BE86" s="23"/>
      <c r="BF86" s="39" t="s">
        <v>6650</v>
      </c>
      <c r="BG86" s="23">
        <v>0</v>
      </c>
      <c r="BH86" s="23">
        <v>0</v>
      </c>
      <c r="BI86" s="23">
        <v>4555</v>
      </c>
      <c r="BJ86" s="23">
        <v>4555</v>
      </c>
      <c r="BK86" s="40">
        <v>0.86268939393939392</v>
      </c>
      <c r="BL86" s="44">
        <v>2900525</v>
      </c>
      <c r="BM86" s="41">
        <v>5126422</v>
      </c>
      <c r="BN86" s="45">
        <v>636.7782656421515</v>
      </c>
      <c r="BP86" s="48"/>
    </row>
    <row r="87" spans="1:68" s="19" customFormat="1" x14ac:dyDescent="0.25">
      <c r="A87" s="55">
        <v>35015704</v>
      </c>
      <c r="B87" s="116" t="s">
        <v>6625</v>
      </c>
      <c r="C87" s="23">
        <v>18</v>
      </c>
      <c r="D87" s="23" t="str" cm="1">
        <f t="array" ref="D87">IFERROR(_xlfn.IFS(U87&lt;727,"MEET", AB87="FRRB","MEET", AB87="PSPS","MEET"),"No")</f>
        <v>No</v>
      </c>
      <c r="E87" s="23" t="str" cm="1">
        <f t="array" ref="E87">IFERROR(_xlfn.IFS(AM87&gt;0,"MEET", AN87&gt;0,"MEET"),"No")</f>
        <v>No</v>
      </c>
      <c r="F87" s="100">
        <v>2021032</v>
      </c>
      <c r="H87" s="37">
        <v>1</v>
      </c>
      <c r="I87" s="37">
        <v>0</v>
      </c>
      <c r="J87" s="20">
        <v>2021</v>
      </c>
      <c r="K87" s="37"/>
      <c r="L87" s="37"/>
      <c r="M87" s="37">
        <f t="shared" si="11"/>
        <v>0</v>
      </c>
      <c r="N87" s="21">
        <v>59156.34</v>
      </c>
      <c r="O87" s="23" t="s">
        <v>5103</v>
      </c>
      <c r="P87" s="22">
        <v>83692105</v>
      </c>
      <c r="Q87" s="19" t="s">
        <v>3614</v>
      </c>
      <c r="R87" s="23" t="s">
        <v>3613</v>
      </c>
      <c r="S87" s="38">
        <f>IFERROR(VLOOKUP(R87,[47]conductor_pz_summary_hftd_23_re!$B$2:$Q$3636,8,FALSE),0)</f>
        <v>105</v>
      </c>
      <c r="T87" s="201">
        <f>IFERROR(VLOOKUP(R87,[48]conductor_pz_summary_hftd_23_re!$B$2:$H$3636,7,0),0)/1609</f>
        <v>3.41037916323637</v>
      </c>
      <c r="U87" s="23">
        <f>IFERROR(VLOOKUP(R87,[47]conductor_pz_summary_hftd_23_re!$B$2:$Q$3636,14,FALSE),0)</f>
        <v>3283</v>
      </c>
      <c r="V87" s="37">
        <f t="shared" si="12"/>
        <v>4.8830613474634102E-4</v>
      </c>
      <c r="W87" s="202">
        <f>IFERROR(VLOOKUP(R87,[47]conductor_pz_summary_hftd_23_re!$B$2:$Q$3636,13,FALSE),0)</f>
        <v>4.6505346166318196E-6</v>
      </c>
      <c r="X87" s="183">
        <f>IFERROR(VLOOKUP(R87,conductor_pz_summary_hftd_23_re!$B$2:$N$3636,13,FALSE),0)</f>
        <v>3333</v>
      </c>
      <c r="Y87" s="203">
        <f t="shared" si="13"/>
        <v>8.8773062774471384E-5</v>
      </c>
      <c r="Z87" s="23">
        <v>2523</v>
      </c>
      <c r="AA87" s="23" t="s">
        <v>4871</v>
      </c>
      <c r="AB87" s="23" t="s">
        <v>4904</v>
      </c>
      <c r="AC87" s="19" t="s">
        <v>5146</v>
      </c>
      <c r="AD87" s="19" t="s">
        <v>5013</v>
      </c>
      <c r="AE87" s="19" t="s">
        <v>5014</v>
      </c>
      <c r="AF87" s="19" t="s">
        <v>5014</v>
      </c>
      <c r="AG87" s="23">
        <v>5533644</v>
      </c>
      <c r="AH87" s="23"/>
      <c r="AI87" s="23">
        <v>113255603</v>
      </c>
      <c r="AJ87" s="55">
        <v>35015704</v>
      </c>
      <c r="AK87" s="23" t="s">
        <v>6648</v>
      </c>
      <c r="AL87" s="23">
        <v>5300</v>
      </c>
      <c r="AM87" s="23">
        <v>0</v>
      </c>
      <c r="AN87" s="23">
        <v>0</v>
      </c>
      <c r="AO87" s="23">
        <v>0</v>
      </c>
      <c r="AQ87" s="48" t="s">
        <v>6649</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8" s="19" customFormat="1" x14ac:dyDescent="0.25">
      <c r="A88" s="218">
        <v>35052731</v>
      </c>
      <c r="B88" s="116" t="s">
        <v>5498</v>
      </c>
      <c r="C88" s="183">
        <v>19</v>
      </c>
      <c r="D88" s="23" t="str" cm="1">
        <f t="array" ref="D88">IFERROR(_xlfn.IFS(U88&lt;727,"MEET", AB88="FRRB","MEET", AB88="PSPS","MEET"),"No")</f>
        <v>No</v>
      </c>
      <c r="E88" s="23" t="str" cm="1">
        <f t="array" ref="E88">IFERROR(_xlfn.IFS(AM88&gt;0,"MEET", AN88&gt;0,"MEET"),"No")</f>
        <v>No</v>
      </c>
      <c r="F88" s="100">
        <v>2021033</v>
      </c>
      <c r="G88" s="37">
        <v>2.4300000000000002</v>
      </c>
      <c r="H88" s="37">
        <f t="shared" ref="H88:H119" si="19">SUM(AL88:AO88)/5280</f>
        <v>1.4732954545454546</v>
      </c>
      <c r="I88" s="96">
        <f t="shared" ref="I88:I119" si="20">H88-M88</f>
        <v>1.4732954545454546</v>
      </c>
      <c r="J88" s="183">
        <v>2020</v>
      </c>
      <c r="K88" s="37">
        <v>0</v>
      </c>
      <c r="L88" s="37"/>
      <c r="M88" s="37">
        <f t="shared" ref="M88:M119" si="21">SUM(K88:L88)</f>
        <v>0</v>
      </c>
      <c r="N88" s="21">
        <v>148877.35</v>
      </c>
      <c r="O88" s="183" t="s">
        <v>5321</v>
      </c>
      <c r="P88" s="22">
        <v>82841101</v>
      </c>
      <c r="Q88" s="19" t="s">
        <v>323</v>
      </c>
      <c r="R88" s="23" t="s">
        <v>322</v>
      </c>
      <c r="S88" s="38">
        <f>IFERROR(VLOOKUP(R88,[47]conductor_pz_summary_hftd_23_re!$B$2:$Q$3636,8,FALSE),0)</f>
        <v>181</v>
      </c>
      <c r="T88" s="201">
        <f>IFERROR(VLOOKUP(R88,[48]conductor_pz_summary_hftd_23_re!$B$2:$H$3636,7,0),0)/1609</f>
        <v>14.421118969241455</v>
      </c>
      <c r="U88" s="23">
        <f>IFERROR(VLOOKUP(R88,[47]conductor_pz_summary_hftd_23_re!$B$2:$Q$3636,14,FALSE),0)</f>
        <v>2456</v>
      </c>
      <c r="V88" s="37">
        <f t="shared" si="12"/>
        <v>0.39280235276925696</v>
      </c>
      <c r="W88" s="202">
        <f>IFERROR(VLOOKUP(R88,[47]conductor_pz_summary_hftd_23_re!$B$2:$Q$3636,13,FALSE),0)</f>
        <v>2.1701787445815302E-3</v>
      </c>
      <c r="X88" s="73">
        <f>IFERROR(VLOOKUP(R88,conductor_pz_summary_hftd_23_re!$B$2:$N$3636,13,FALSE),0)</f>
        <v>2657</v>
      </c>
      <c r="Y88" s="203">
        <f t="shared" si="13"/>
        <v>2.4880359957122719E-2</v>
      </c>
      <c r="Z88" s="23">
        <v>354</v>
      </c>
      <c r="AA88" s="23" t="s">
        <v>4871</v>
      </c>
      <c r="AB88" s="23" t="s">
        <v>5298</v>
      </c>
      <c r="AC88" s="19" t="s">
        <v>5478</v>
      </c>
      <c r="AD88" s="19" t="s">
        <v>5013</v>
      </c>
      <c r="AE88" s="19" t="s">
        <v>5014</v>
      </c>
      <c r="AF88" s="19" t="s">
        <v>5014</v>
      </c>
      <c r="AG88" s="23">
        <v>5782530</v>
      </c>
      <c r="AH88" s="23" t="s">
        <v>5480</v>
      </c>
      <c r="AI88" s="23">
        <v>114607365</v>
      </c>
      <c r="AJ88" s="120">
        <v>35052731</v>
      </c>
      <c r="AK88" s="23" t="s">
        <v>5481</v>
      </c>
      <c r="AL88" s="20">
        <v>7779</v>
      </c>
      <c r="AM88" s="20">
        <v>0</v>
      </c>
      <c r="AN88" s="20">
        <v>0</v>
      </c>
      <c r="AO88" s="20">
        <v>0</v>
      </c>
      <c r="AQ88" s="56" t="s">
        <v>5482</v>
      </c>
      <c r="AR88" s="23">
        <v>12830.400000000001</v>
      </c>
      <c r="AS88" s="40">
        <v>2.4300000000000002</v>
      </c>
      <c r="AT88" s="41">
        <v>3837000</v>
      </c>
      <c r="AU88" s="23" t="s">
        <v>4988</v>
      </c>
      <c r="AV88" s="19">
        <v>0</v>
      </c>
      <c r="AW88" s="19">
        <v>0</v>
      </c>
      <c r="AX88" s="19">
        <v>0</v>
      </c>
      <c r="AY88" s="23">
        <f t="shared" ref="AY88:AY119" si="22">SUM(AV88:AX88)</f>
        <v>0</v>
      </c>
      <c r="AZ88" s="40">
        <v>0</v>
      </c>
      <c r="BA88" s="41"/>
      <c r="BB88" s="187"/>
      <c r="BC88" s="44"/>
      <c r="BD88" s="191">
        <f t="shared" ref="BD88:BD119" si="23">IFERROR(BC88/BB88,0)</f>
        <v>0</v>
      </c>
      <c r="BE88" s="39" t="s">
        <v>5483</v>
      </c>
      <c r="BF88" s="39" t="s">
        <v>5484</v>
      </c>
      <c r="BG88" s="23">
        <v>0</v>
      </c>
      <c r="BH88" s="23">
        <v>0</v>
      </c>
      <c r="BI88" s="23">
        <v>7779</v>
      </c>
      <c r="BJ88" s="23">
        <v>7779</v>
      </c>
      <c r="BK88" s="40">
        <v>1.4732954545454546</v>
      </c>
      <c r="BL88" s="44">
        <v>3391041</v>
      </c>
      <c r="BM88" s="41">
        <v>4994628</v>
      </c>
      <c r="BN88" s="45">
        <v>435.92248360971848</v>
      </c>
    </row>
    <row r="89" spans="1:68" s="19" customFormat="1" x14ac:dyDescent="0.25">
      <c r="A89" s="218">
        <v>35145540</v>
      </c>
      <c r="B89" s="116" t="s">
        <v>5501</v>
      </c>
      <c r="C89" s="23">
        <v>18</v>
      </c>
      <c r="D89" s="23" t="str" cm="1">
        <f t="array" ref="D89">IFERROR(_xlfn.IFS(U89&lt;727,"MEET", AB89="FRRB","MEET", AB89="PSPS","MEET"),"No")</f>
        <v>MEET</v>
      </c>
      <c r="E89" s="23" t="str" cm="1">
        <f t="array" ref="E89">IFERROR(_xlfn.IFS(AM89&gt;0,"MEET", AN89&gt;0,"MEET"),"No")</f>
        <v>MEET</v>
      </c>
      <c r="F89" s="100">
        <v>2021034</v>
      </c>
      <c r="G89" s="37">
        <v>0.5</v>
      </c>
      <c r="H89" s="37">
        <f t="shared" si="19"/>
        <v>1.2738636363636364</v>
      </c>
      <c r="I89" s="37">
        <f t="shared" si="20"/>
        <v>1.2738636363636364</v>
      </c>
      <c r="J89" s="20">
        <v>2020</v>
      </c>
      <c r="K89" s="37">
        <v>0</v>
      </c>
      <c r="L89" s="37"/>
      <c r="M89" s="37">
        <f t="shared" si="21"/>
        <v>0</v>
      </c>
      <c r="N89" s="21">
        <v>217190.06</v>
      </c>
      <c r="O89" s="217" t="s">
        <v>5103</v>
      </c>
      <c r="P89" s="22">
        <v>163451702</v>
      </c>
      <c r="Q89" s="19" t="s">
        <v>1519</v>
      </c>
      <c r="R89" s="23" t="s">
        <v>1543</v>
      </c>
      <c r="S89" s="38">
        <f>IFERROR(VLOOKUP(R89,[47]conductor_pz_summary_hftd_23_re!$B$2:$Q$3636,8,FALSE),0)</f>
        <v>47</v>
      </c>
      <c r="T89" s="201">
        <f>IFERROR(VLOOKUP(R89,[48]conductor_pz_summary_hftd_23_re!$B$2:$H$3636,7,0),0)/1609</f>
        <v>1.4613805826632567</v>
      </c>
      <c r="U89" s="23">
        <f>IFERROR(VLOOKUP(R89,[47]conductor_pz_summary_hftd_23_re!$B$2:$Q$3636,14,FALSE),0)</f>
        <v>1316</v>
      </c>
      <c r="V89" s="37">
        <f t="shared" si="12"/>
        <v>1.8439943808705479</v>
      </c>
      <c r="W89" s="202">
        <f>IFERROR(VLOOKUP(R89,[47]conductor_pz_summary_hftd_23_re!$B$2:$Q$3636,13,FALSE),0)</f>
        <v>3.92339229972457E-2</v>
      </c>
      <c r="X89" s="73">
        <f>IFERROR(VLOOKUP(R89,conductor_pz_summary_hftd_23_re!$B$2:$N$3636,13,FALSE),0)</f>
        <v>1692</v>
      </c>
      <c r="Y89" s="203">
        <f t="shared" si="1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f>6726-2272</f>
        <v>4454</v>
      </c>
      <c r="AO89" s="20">
        <v>0</v>
      </c>
      <c r="AQ89" s="58" t="s">
        <v>5112</v>
      </c>
      <c r="AR89" s="23">
        <v>2640</v>
      </c>
      <c r="AS89" s="40">
        <v>0.5</v>
      </c>
      <c r="AT89" s="41">
        <v>3900000</v>
      </c>
      <c r="AU89" s="23" t="s">
        <v>4988</v>
      </c>
      <c r="AV89" s="19">
        <v>4454</v>
      </c>
      <c r="AW89" s="19">
        <v>2272</v>
      </c>
      <c r="AX89" s="19">
        <v>0</v>
      </c>
      <c r="AY89" s="23">
        <f t="shared" si="22"/>
        <v>6726</v>
      </c>
      <c r="AZ89" s="40">
        <f>AY89/5280</f>
        <v>1.2738636363636364</v>
      </c>
      <c r="BA89" s="41">
        <v>2100000</v>
      </c>
      <c r="BB89" s="187"/>
      <c r="BC89" s="44"/>
      <c r="BD89" s="191">
        <f t="shared" si="23"/>
        <v>0</v>
      </c>
      <c r="BE89" s="54" t="s">
        <v>5113</v>
      </c>
      <c r="BF89" s="23"/>
      <c r="BG89" s="23"/>
      <c r="BH89" s="23"/>
      <c r="BI89" s="23"/>
      <c r="BJ89" s="23"/>
      <c r="BK89" s="40"/>
      <c r="BL89" s="44"/>
      <c r="BM89" s="41"/>
      <c r="BN89" s="45"/>
    </row>
    <row r="90" spans="1:68" s="19" customFormat="1" x14ac:dyDescent="0.25">
      <c r="A90" s="218">
        <v>35052737</v>
      </c>
      <c r="B90" s="116" t="s">
        <v>5498</v>
      </c>
      <c r="C90" s="183">
        <v>18</v>
      </c>
      <c r="D90" s="23" t="str" cm="1">
        <f t="array" ref="D90">IFERROR(_xlfn.IFS(U90&lt;727,"MEET", AB90="FRRB","MEET", AB90="PSPS","MEET"),"No")</f>
        <v>No</v>
      </c>
      <c r="E90" s="23" t="str" cm="1">
        <f t="array" ref="E90">IFERROR(_xlfn.IFS(AM90&gt;0,"MEET", AN90&gt;0,"MEET"),"No")</f>
        <v>No</v>
      </c>
      <c r="F90" s="100">
        <v>2021035</v>
      </c>
      <c r="G90" s="37">
        <v>1.97</v>
      </c>
      <c r="H90" s="37">
        <f t="shared" si="19"/>
        <v>1.5867424242424242</v>
      </c>
      <c r="I90" s="96">
        <f t="shared" si="20"/>
        <v>1.5867424242424242</v>
      </c>
      <c r="J90" s="183">
        <v>2020</v>
      </c>
      <c r="K90" s="37">
        <v>0</v>
      </c>
      <c r="L90" s="37"/>
      <c r="M90" s="37">
        <f t="shared" si="21"/>
        <v>0</v>
      </c>
      <c r="N90" s="21">
        <v>106027.53</v>
      </c>
      <c r="O90" s="23" t="s">
        <v>5103</v>
      </c>
      <c r="P90" s="22">
        <v>163661701</v>
      </c>
      <c r="Q90" s="19" t="s">
        <v>2475</v>
      </c>
      <c r="R90" s="23" t="s">
        <v>2481</v>
      </c>
      <c r="S90" s="38">
        <f>IFERROR(VLOOKUP(R90,[47]conductor_pz_summary_hftd_23_re!$B$2:$Q$3636,8,FALSE),0)</f>
        <v>132</v>
      </c>
      <c r="T90" s="201">
        <f>IFERROR(VLOOKUP(R90,[48]conductor_pz_summary_hftd_23_re!$B$2:$H$3636,7,0),0)/1609</f>
        <v>11.858056951620696</v>
      </c>
      <c r="U90" s="23">
        <f>IFERROR(VLOOKUP(R90,[47]conductor_pz_summary_hftd_23_re!$B$2:$Q$3636,14,FALSE),0)</f>
        <v>2267</v>
      </c>
      <c r="V90" s="37">
        <f t="shared" si="12"/>
        <v>0.50381102520239307</v>
      </c>
      <c r="W90" s="202">
        <f>IFERROR(VLOOKUP(R90,[47]conductor_pz_summary_hftd_23_re!$B$2:$Q$3636,13,FALSE),0)</f>
        <v>3.81675019092722E-3</v>
      </c>
      <c r="X90" s="73">
        <f>IFERROR(VLOOKUP(R90,conductor_pz_summary_hftd_23_re!$B$2:$N$3636,13,FALSE),0)</f>
        <v>2336</v>
      </c>
      <c r="Y90" s="203">
        <f t="shared" si="13"/>
        <v>4.1797687856093203E-2</v>
      </c>
      <c r="Z90" s="23">
        <v>12</v>
      </c>
      <c r="AA90" s="23" t="s">
        <v>4871</v>
      </c>
      <c r="AB90" s="23" t="s">
        <v>5298</v>
      </c>
      <c r="AC90" s="19" t="s">
        <v>5485</v>
      </c>
      <c r="AD90" s="19" t="s">
        <v>4943</v>
      </c>
      <c r="AE90" s="19" t="s">
        <v>4944</v>
      </c>
      <c r="AF90" s="19" t="s">
        <v>4939</v>
      </c>
      <c r="AG90" s="23">
        <v>5785238</v>
      </c>
      <c r="AH90" s="23" t="s">
        <v>5486</v>
      </c>
      <c r="AI90" s="23">
        <v>114675474</v>
      </c>
      <c r="AJ90" s="120">
        <v>35052737</v>
      </c>
      <c r="AK90" s="23" t="s">
        <v>5487</v>
      </c>
      <c r="AL90" s="20">
        <v>8378</v>
      </c>
      <c r="AM90" s="20">
        <v>0</v>
      </c>
      <c r="AN90" s="20">
        <v>0</v>
      </c>
      <c r="AO90" s="20">
        <v>0</v>
      </c>
      <c r="AQ90" s="56" t="s">
        <v>5043</v>
      </c>
      <c r="AR90" s="23">
        <v>10401.6</v>
      </c>
      <c r="AS90" s="40">
        <v>1.97</v>
      </c>
      <c r="AT90" s="41">
        <v>2126216</v>
      </c>
      <c r="AU90" s="56" t="s">
        <v>5044</v>
      </c>
      <c r="AV90" s="19">
        <v>0</v>
      </c>
      <c r="AW90" s="19">
        <v>0</v>
      </c>
      <c r="AX90" s="19">
        <v>8605</v>
      </c>
      <c r="AY90" s="23">
        <f t="shared" si="22"/>
        <v>8605</v>
      </c>
      <c r="AZ90" s="40">
        <v>1.6297348484848484</v>
      </c>
      <c r="BA90" s="41">
        <v>3129090.9090909087</v>
      </c>
      <c r="BB90" s="187"/>
      <c r="BC90" s="44"/>
      <c r="BD90" s="191">
        <f t="shared" si="23"/>
        <v>0</v>
      </c>
      <c r="BE90" s="56" t="s">
        <v>5488</v>
      </c>
      <c r="BF90" s="54" t="s">
        <v>5489</v>
      </c>
      <c r="BG90" s="23">
        <v>0</v>
      </c>
      <c r="BH90" s="23">
        <v>0</v>
      </c>
      <c r="BI90" s="23">
        <v>8378</v>
      </c>
      <c r="BJ90" s="23">
        <v>8378</v>
      </c>
      <c r="BK90" s="40">
        <v>1.5867424242424242</v>
      </c>
      <c r="BL90" s="44">
        <v>2060222</v>
      </c>
      <c r="BM90" s="41">
        <v>2768676</v>
      </c>
      <c r="BN90" s="45">
        <v>245.90857006445452</v>
      </c>
    </row>
    <row r="91" spans="1:68" s="19" customFormat="1" x14ac:dyDescent="0.25">
      <c r="A91" s="218">
        <v>35094513</v>
      </c>
      <c r="B91" s="116" t="s">
        <v>5498</v>
      </c>
      <c r="C91" s="183">
        <v>18</v>
      </c>
      <c r="D91" s="23" t="str" cm="1">
        <f t="array" ref="D91">IFERROR(_xlfn.IFS(U91&lt;727,"MEET", AB91="FRRB","MEET", AB91="PSPS","MEET"),"No")</f>
        <v>No</v>
      </c>
      <c r="E91" s="23" t="str" cm="1">
        <f t="array" ref="E91">IFERROR(_xlfn.IFS(AM91&gt;0,"MEET", AN91&gt;0,"MEET"),"No")</f>
        <v>No</v>
      </c>
      <c r="F91" s="100">
        <v>2021036</v>
      </c>
      <c r="G91" s="37">
        <v>1.54</v>
      </c>
      <c r="H91" s="37">
        <f t="shared" si="19"/>
        <v>1.9111742424242424</v>
      </c>
      <c r="I91" s="96">
        <f t="shared" si="20"/>
        <v>1.9111742424242424</v>
      </c>
      <c r="J91" s="183">
        <v>2020</v>
      </c>
      <c r="K91" s="37">
        <v>0</v>
      </c>
      <c r="L91" s="37"/>
      <c r="M91" s="37">
        <f t="shared" si="21"/>
        <v>0</v>
      </c>
      <c r="N91" s="21">
        <v>192432.87</v>
      </c>
      <c r="O91" s="23" t="s">
        <v>5103</v>
      </c>
      <c r="P91" s="22">
        <v>162821702</v>
      </c>
      <c r="Q91" s="19" t="s">
        <v>4213</v>
      </c>
      <c r="R91" s="23" t="s">
        <v>4212</v>
      </c>
      <c r="S91" s="38">
        <f>IFERROR(VLOOKUP(R91,[47]conductor_pz_summary_hftd_23_re!$B$2:$Q$3636,8,FALSE),0)</f>
        <v>118</v>
      </c>
      <c r="T91" s="201">
        <f>IFERROR(VLOOKUP(R91,[48]conductor_pz_summary_hftd_23_re!$B$2:$H$3636,7,0),0)/1609</f>
        <v>8.3796776309891232</v>
      </c>
      <c r="U91" s="23">
        <f>IFERROR(VLOOKUP(R91,[47]conductor_pz_summary_hftd_23_re!$B$2:$Q$3636,14,FALSE),0)</f>
        <v>2712</v>
      </c>
      <c r="V91" s="37">
        <f t="shared" si="12"/>
        <v>6.9602264910888931E-2</v>
      </c>
      <c r="W91" s="202">
        <f>IFERROR(VLOOKUP(R91,[47]conductor_pz_summary_hftd_23_re!$B$2:$Q$3636,13,FALSE),0)</f>
        <v>5.89849702634652E-4</v>
      </c>
      <c r="X91" s="73">
        <f>IFERROR(VLOOKUP(R91,conductor_pz_summary_hftd_23_re!$B$2:$N$3636,13,FALSE),0)</f>
        <v>2706</v>
      </c>
      <c r="Y91" s="203">
        <f t="shared" si="13"/>
        <v>9.8421059016030772E-3</v>
      </c>
      <c r="Z91" s="23">
        <v>19</v>
      </c>
      <c r="AA91" s="23" t="s">
        <v>4871</v>
      </c>
      <c r="AB91" s="23" t="s">
        <v>5298</v>
      </c>
      <c r="AC91" s="19" t="s">
        <v>4977</v>
      </c>
      <c r="AD91" s="19" t="s">
        <v>4937</v>
      </c>
      <c r="AE91" s="19" t="s">
        <v>4938</v>
      </c>
      <c r="AF91" s="19" t="s">
        <v>4939</v>
      </c>
      <c r="AG91" s="23">
        <v>5785245</v>
      </c>
      <c r="AH91" s="23" t="s">
        <v>5490</v>
      </c>
      <c r="AI91" s="23">
        <v>114567769</v>
      </c>
      <c r="AJ91" s="120">
        <v>35094513</v>
      </c>
      <c r="AK91" s="23" t="s">
        <v>5491</v>
      </c>
      <c r="AL91" s="20">
        <v>10091</v>
      </c>
      <c r="AM91" s="20">
        <v>0</v>
      </c>
      <c r="AN91" s="20">
        <v>0</v>
      </c>
      <c r="AO91" s="20">
        <v>0</v>
      </c>
      <c r="AQ91" s="56" t="s">
        <v>5492</v>
      </c>
      <c r="AR91" s="23">
        <v>8131.2</v>
      </c>
      <c r="AS91" s="40">
        <v>1.54</v>
      </c>
      <c r="AT91" s="41">
        <v>1660057.1429999999</v>
      </c>
      <c r="AU91" s="56" t="s">
        <v>5493</v>
      </c>
      <c r="AV91" s="19">
        <v>0</v>
      </c>
      <c r="AW91" s="19">
        <v>0</v>
      </c>
      <c r="AX91" s="19">
        <v>10091</v>
      </c>
      <c r="AY91" s="23">
        <f t="shared" si="22"/>
        <v>10091</v>
      </c>
      <c r="AZ91" s="40">
        <v>1.9111742424242424</v>
      </c>
      <c r="BA91" s="41">
        <v>3669454.5454545454</v>
      </c>
      <c r="BB91" s="187"/>
      <c r="BC91" s="44"/>
      <c r="BD91" s="191">
        <f t="shared" si="23"/>
        <v>0</v>
      </c>
      <c r="BE91" s="39" t="s">
        <v>5494</v>
      </c>
      <c r="BF91" s="48" t="s">
        <v>6382</v>
      </c>
      <c r="BG91" s="23"/>
      <c r="BH91" s="23"/>
      <c r="BI91" s="23"/>
      <c r="BJ91" s="23"/>
      <c r="BK91" s="40"/>
      <c r="BL91" s="44"/>
      <c r="BM91" s="41"/>
      <c r="BN91" s="45"/>
    </row>
    <row r="92" spans="1:68" s="19" customFormat="1" x14ac:dyDescent="0.25">
      <c r="A92" s="218">
        <v>35145525</v>
      </c>
      <c r="B92" s="116" t="s">
        <v>5501</v>
      </c>
      <c r="C92" s="23">
        <v>18</v>
      </c>
      <c r="D92" s="23" t="str" cm="1">
        <f t="array" ref="D92">IFERROR(_xlfn.IFS(U92&lt;727,"MEET", AB92="FRRB","MEET", AB92="PSPS","MEET"),"No")</f>
        <v>MEET</v>
      </c>
      <c r="E92" s="23" t="str" cm="1">
        <f t="array" ref="E92">IFERROR(_xlfn.IFS(AM92&gt;0,"MEET", AN92&gt;0,"MEET"),"No")</f>
        <v>MEET</v>
      </c>
      <c r="F92" s="100">
        <v>2021037</v>
      </c>
      <c r="G92" s="37">
        <v>1.78</v>
      </c>
      <c r="H92" s="37">
        <f t="shared" si="19"/>
        <v>1.78</v>
      </c>
      <c r="I92" s="37">
        <f t="shared" si="20"/>
        <v>1.78</v>
      </c>
      <c r="J92" s="20">
        <v>2020</v>
      </c>
      <c r="K92" s="37">
        <v>0</v>
      </c>
      <c r="L92" s="37"/>
      <c r="M92" s="37">
        <f t="shared" si="21"/>
        <v>0</v>
      </c>
      <c r="N92" s="21">
        <v>156085.26</v>
      </c>
      <c r="O92" s="217" t="s">
        <v>5103</v>
      </c>
      <c r="P92" s="22">
        <v>43321104</v>
      </c>
      <c r="Q92" s="19" t="s">
        <v>3582</v>
      </c>
      <c r="R92" s="23" t="s">
        <v>3583</v>
      </c>
      <c r="S92" s="38">
        <f>IFERROR(VLOOKUP(R92,[47]conductor_pz_summary_hftd_23_re!$B$2:$Q$3636,8,FALSE),0)</f>
        <v>34</v>
      </c>
      <c r="T92" s="201">
        <f>IFERROR(VLOOKUP(R92,[48]conductor_pz_summary_hftd_23_re!$B$2:$H$3636,7,0),0)/1609</f>
        <v>0.56024436794739585</v>
      </c>
      <c r="U92" s="23">
        <f>IFERROR(VLOOKUP(R92,[47]conductor_pz_summary_hftd_23_re!$B$2:$Q$3636,14,FALSE),0)</f>
        <v>3302</v>
      </c>
      <c r="V92" s="37">
        <f t="shared" si="12"/>
        <v>1.4935466258917009E-4</v>
      </c>
      <c r="W92" s="202">
        <f>IFERROR(VLOOKUP(R92,[47]conductor_pz_summary_hftd_23_re!$B$2:$Q$3636,13,FALSE),0)</f>
        <v>4.3927841937991199E-6</v>
      </c>
      <c r="X92" s="73">
        <f>IFERROR(VLOOKUP(R92,conductor_pz_summary_hftd_23_re!$B$2:$N$3636,13,FALSE),0)</f>
        <v>2944</v>
      </c>
      <c r="Y92" s="203">
        <f t="shared" si="13"/>
        <v>4.6978211914724336E-4</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v>
      </c>
      <c r="AN92" s="20">
        <v>0</v>
      </c>
      <c r="AO92" s="20">
        <v>0</v>
      </c>
      <c r="AQ92" s="58" t="s">
        <v>5158</v>
      </c>
      <c r="AR92" s="23">
        <v>9398.4</v>
      </c>
      <c r="AS92" s="40">
        <v>1.78</v>
      </c>
      <c r="AT92" s="41">
        <v>17891818</v>
      </c>
      <c r="AU92" s="23" t="s">
        <v>4988</v>
      </c>
      <c r="AV92" s="19">
        <v>0</v>
      </c>
      <c r="AW92" s="19">
        <v>9398.4</v>
      </c>
      <c r="AX92" s="19">
        <v>0</v>
      </c>
      <c r="AY92" s="23">
        <f t="shared" si="22"/>
        <v>9398.4</v>
      </c>
      <c r="AZ92" s="40">
        <f t="shared" ref="AZ92:AZ123" si="24">AY92/5280</f>
        <v>1.78</v>
      </c>
      <c r="BA92" s="41">
        <v>7476000</v>
      </c>
      <c r="BB92" s="187"/>
      <c r="BC92" s="44"/>
      <c r="BD92" s="191">
        <f t="shared" si="23"/>
        <v>0</v>
      </c>
      <c r="BE92" s="54" t="s">
        <v>5159</v>
      </c>
      <c r="BF92" s="23"/>
      <c r="BG92" s="23"/>
      <c r="BH92" s="23"/>
      <c r="BI92" s="23"/>
      <c r="BJ92" s="23"/>
      <c r="BK92" s="40"/>
      <c r="BL92" s="44"/>
      <c r="BM92" s="41"/>
      <c r="BN92" s="45"/>
      <c r="BP92" s="39" t="s">
        <v>5160</v>
      </c>
    </row>
    <row r="93" spans="1:68" s="19" customFormat="1" x14ac:dyDescent="0.25">
      <c r="A93" s="218">
        <v>35145524</v>
      </c>
      <c r="B93" s="116" t="s">
        <v>5501</v>
      </c>
      <c r="C93" s="23">
        <v>18</v>
      </c>
      <c r="D93" s="23" t="str" cm="1">
        <f t="array" ref="D93">IFERROR(_xlfn.IFS(U93&lt;727,"MEET", AB93="FRRB","MEET", AB93="PSPS","MEET"),"No")</f>
        <v>MEET</v>
      </c>
      <c r="E93" s="23" t="str" cm="1">
        <f t="array" ref="E93">IFERROR(_xlfn.IFS(AM93&gt;0,"MEET", AN93&gt;0,"MEET"),"No")</f>
        <v>MEET</v>
      </c>
      <c r="F93" s="100">
        <v>2021038</v>
      </c>
      <c r="G93" s="37">
        <v>1.5</v>
      </c>
      <c r="H93" s="37">
        <f t="shared" si="19"/>
        <v>1.5</v>
      </c>
      <c r="I93" s="37">
        <f t="shared" si="20"/>
        <v>1.5</v>
      </c>
      <c r="J93" s="20">
        <v>2020</v>
      </c>
      <c r="K93" s="37">
        <v>0</v>
      </c>
      <c r="L93" s="37"/>
      <c r="M93" s="37">
        <f t="shared" si="21"/>
        <v>0</v>
      </c>
      <c r="N93" s="21">
        <v>170611.65</v>
      </c>
      <c r="O93" s="217" t="s">
        <v>5103</v>
      </c>
      <c r="P93" s="22">
        <v>43321103</v>
      </c>
      <c r="Q93" s="19" t="s">
        <v>3575</v>
      </c>
      <c r="R93" s="23" t="s">
        <v>3580</v>
      </c>
      <c r="S93" s="38">
        <f>IFERROR(VLOOKUP(R93,[47]conductor_pz_summary_hftd_23_re!$B$2:$Q$3636,8,FALSE),0)</f>
        <v>41</v>
      </c>
      <c r="T93" s="201">
        <f>IFERROR(VLOOKUP(R93,[48]conductor_pz_summary_hftd_23_re!$B$2:$H$3636,7,0),0)/1609</f>
        <v>2.4432880788637288</v>
      </c>
      <c r="U93" s="23">
        <f>IFERROR(VLOOKUP(R93,[47]conductor_pz_summary_hftd_23_re!$B$2:$Q$3636,14,FALSE),0)</f>
        <v>1755</v>
      </c>
      <c r="V93" s="37">
        <f t="shared" si="12"/>
        <v>0.67489435474305426</v>
      </c>
      <c r="W93" s="202">
        <f>IFERROR(VLOOKUP(R93,[47]conductor_pz_summary_hftd_23_re!$B$2:$Q$3636,13,FALSE),0)</f>
        <v>1.6460837920562299E-2</v>
      </c>
      <c r="X93" s="73">
        <f>IFERROR(VLOOKUP(R93,conductor_pz_summary_hftd_23_re!$B$2:$N$3636,13,FALSE),0)</f>
        <v>2033</v>
      </c>
      <c r="Y93" s="203">
        <f t="shared" si="1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s="58" t="s">
        <v>5121</v>
      </c>
      <c r="AR93" s="23">
        <v>7920</v>
      </c>
      <c r="AS93" s="40">
        <v>1.5</v>
      </c>
      <c r="AT93" s="41">
        <v>14953636</v>
      </c>
      <c r="AU93" s="23" t="s">
        <v>4988</v>
      </c>
      <c r="AV93" s="19">
        <v>0</v>
      </c>
      <c r="AW93" s="19">
        <v>7920</v>
      </c>
      <c r="AX93" s="19">
        <v>0</v>
      </c>
      <c r="AY93" s="23">
        <f t="shared" si="22"/>
        <v>7920</v>
      </c>
      <c r="AZ93" s="40">
        <f t="shared" si="24"/>
        <v>1.5</v>
      </c>
      <c r="BA93" s="41">
        <v>6300000</v>
      </c>
      <c r="BB93" s="187"/>
      <c r="BC93" s="44"/>
      <c r="BD93" s="191">
        <f t="shared" si="23"/>
        <v>0</v>
      </c>
      <c r="BE93" s="54" t="s">
        <v>5122</v>
      </c>
      <c r="BF93" s="23"/>
      <c r="BG93" s="23"/>
      <c r="BH93" s="23"/>
      <c r="BI93" s="23"/>
      <c r="BJ93" s="23"/>
      <c r="BK93" s="40"/>
      <c r="BL93" s="44"/>
      <c r="BM93" s="41"/>
      <c r="BN93" s="45"/>
    </row>
    <row r="94" spans="1:68" s="19" customFormat="1" x14ac:dyDescent="0.25">
      <c r="A94" s="218">
        <v>35137590</v>
      </c>
      <c r="B94" s="222" t="s">
        <v>5499</v>
      </c>
      <c r="C94" s="23">
        <v>14</v>
      </c>
      <c r="D94" s="23" t="str" cm="1">
        <f t="array" ref="D94">IFERROR(_xlfn.IFS(U94&lt;727,"MEET", AB94="FRRB","MEET", AB94="PSPS","MEET"),"No")</f>
        <v>MEET</v>
      </c>
      <c r="E94" s="23" t="str" cm="1">
        <f t="array" ref="E94">IFERROR(_xlfn.IFS(AM94&gt;0,"MEET", AN94&gt;0,"MEET"),"No")</f>
        <v>No</v>
      </c>
      <c r="F94" s="100">
        <v>2021039</v>
      </c>
      <c r="G94" s="37">
        <v>0.52992424242424241</v>
      </c>
      <c r="H94" s="37">
        <f t="shared" si="19"/>
        <v>0.5348484848484848</v>
      </c>
      <c r="I94" s="37">
        <f t="shared" si="20"/>
        <v>0.5348484848484848</v>
      </c>
      <c r="J94" s="20">
        <v>2021</v>
      </c>
      <c r="K94" s="37"/>
      <c r="L94" s="37"/>
      <c r="M94" s="37">
        <f t="shared" si="21"/>
        <v>0</v>
      </c>
      <c r="N94" s="21">
        <v>32518.21</v>
      </c>
      <c r="O94" s="217" t="s">
        <v>4870</v>
      </c>
      <c r="P94" s="22">
        <v>43141101</v>
      </c>
      <c r="Q94" s="19" t="s">
        <v>2411</v>
      </c>
      <c r="R94" s="23" t="s">
        <v>2423</v>
      </c>
      <c r="S94" s="38">
        <f>IFERROR(VLOOKUP(R94,[47]conductor_pz_summary_hftd_23_re!$B$2:$Q$3636,8,FALSE),0)</f>
        <v>146</v>
      </c>
      <c r="T94" s="201">
        <f>IFERROR(VLOOKUP(R94,[48]conductor_pz_summary_hftd_23_re!$B$2:$H$3636,7,0),0)/1609</f>
        <v>4.7309884289804103</v>
      </c>
      <c r="U94" s="23">
        <f>IFERROR(VLOOKUP(R94,[47]conductor_pz_summary_hftd_23_re!$B$2:$Q$3636,14,FALSE),0)</f>
        <v>86</v>
      </c>
      <c r="V94" s="37">
        <f t="shared" si="12"/>
        <v>52.814377958384867</v>
      </c>
      <c r="W94" s="202">
        <f>IFERROR(VLOOKUP(R94,[47]conductor_pz_summary_hftd_23_re!$B$2:$Q$3636,13,FALSE),0)</f>
        <v>0.36174231478345797</v>
      </c>
      <c r="X94" s="73">
        <f>IFERROR(VLOOKUP(R94,conductor_pz_summary_hftd_23_re!$B$2:$N$3636,13,FALSE),0)</f>
        <v>335</v>
      </c>
      <c r="Y94" s="203">
        <f t="shared" si="1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s="39" t="s">
        <v>4877</v>
      </c>
      <c r="AR94" s="23">
        <v>2798</v>
      </c>
      <c r="AS94" s="40">
        <v>0.52992424242424241</v>
      </c>
      <c r="AT94" s="41">
        <v>564800</v>
      </c>
      <c r="AU94" s="42">
        <v>43894</v>
      </c>
      <c r="AV94" s="19">
        <v>0</v>
      </c>
      <c r="AW94" s="19">
        <v>0</v>
      </c>
      <c r="AX94" s="19">
        <v>2824</v>
      </c>
      <c r="AY94" s="23">
        <f t="shared" si="22"/>
        <v>2824</v>
      </c>
      <c r="AZ94" s="40">
        <f t="shared" si="24"/>
        <v>0.5348484848484848</v>
      </c>
      <c r="BA94" s="41">
        <v>1026909.0909090908</v>
      </c>
      <c r="BB94" s="187"/>
      <c r="BC94" s="44"/>
      <c r="BD94" s="191">
        <f t="shared" si="23"/>
        <v>0</v>
      </c>
      <c r="BE94" s="23"/>
      <c r="BF94" s="23"/>
      <c r="BG94" s="23"/>
      <c r="BH94" s="23"/>
      <c r="BI94" s="23"/>
      <c r="BJ94" s="23"/>
      <c r="BK94" s="40"/>
      <c r="BL94" s="44"/>
      <c r="BM94" s="41"/>
      <c r="BN94" s="45"/>
    </row>
    <row r="95" spans="1:68" s="19" customFormat="1" x14ac:dyDescent="0.25">
      <c r="A95" s="218">
        <v>35137593</v>
      </c>
      <c r="B95" s="222" t="s">
        <v>5499</v>
      </c>
      <c r="C95" s="23">
        <v>14</v>
      </c>
      <c r="D95" s="23" t="str" cm="1">
        <f t="array" ref="D95">IFERROR(_xlfn.IFS(U95&lt;727,"MEET", AB95="FRRB","MEET", AB95="PSPS","MEET"),"No")</f>
        <v>MEET</v>
      </c>
      <c r="E95" s="23" t="str" cm="1">
        <f t="array" ref="E95">IFERROR(_xlfn.IFS(AM95&gt;0,"MEET", AN95&gt;0,"MEET"),"No")</f>
        <v>No</v>
      </c>
      <c r="F95" s="100">
        <v>2021040</v>
      </c>
      <c r="G95" s="37">
        <v>1.3799242424242424</v>
      </c>
      <c r="H95" s="37">
        <f t="shared" si="19"/>
        <v>1.3774621212121212</v>
      </c>
      <c r="I95" s="37">
        <f t="shared" si="20"/>
        <v>1.3774621212121212</v>
      </c>
      <c r="J95" s="20">
        <v>2021</v>
      </c>
      <c r="K95" s="37"/>
      <c r="L95" s="37"/>
      <c r="M95" s="37">
        <f t="shared" si="21"/>
        <v>0</v>
      </c>
      <c r="N95" s="21">
        <v>31936.06</v>
      </c>
      <c r="O95" s="217" t="s">
        <v>4870</v>
      </c>
      <c r="P95" s="22">
        <v>43141101</v>
      </c>
      <c r="Q95" s="19" t="s">
        <v>2411</v>
      </c>
      <c r="R95" s="23" t="s">
        <v>2415</v>
      </c>
      <c r="S95" s="38">
        <f>IFERROR(VLOOKUP(R95,[47]conductor_pz_summary_hftd_23_re!$B$2:$Q$3636,8,FALSE),0)</f>
        <v>165</v>
      </c>
      <c r="T95" s="201">
        <f>IFERROR(VLOOKUP(R95,[48]conductor_pz_summary_hftd_23_re!$B$2:$H$3636,7,0),0)/1609</f>
        <v>18.563266053612306</v>
      </c>
      <c r="U95" s="23">
        <f>IFERROR(VLOOKUP(R95,[47]conductor_pz_summary_hftd_23_re!$B$2:$Q$3636,14,FALSE),0)</f>
        <v>328</v>
      </c>
      <c r="V95" s="37">
        <f t="shared" si="12"/>
        <v>32.971204186399547</v>
      </c>
      <c r="W95" s="202">
        <f>IFERROR(VLOOKUP(R95,[47]conductor_pz_summary_hftd_23_re!$B$2:$Q$3636,13,FALSE),0)</f>
        <v>0.19982547991757299</v>
      </c>
      <c r="X95" s="73">
        <f>IFERROR(VLOOKUP(R95,conductor_pz_summary_hftd_23_re!$B$2:$N$3636,13,FALSE),0)</f>
        <v>415</v>
      </c>
      <c r="Y95" s="203">
        <f t="shared" si="1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s="39" t="s">
        <v>4900</v>
      </c>
      <c r="AR95" s="23">
        <v>7286</v>
      </c>
      <c r="AS95" s="40">
        <v>1.3799242424242424</v>
      </c>
      <c r="AT95" s="41">
        <v>1454600</v>
      </c>
      <c r="AU95" s="42">
        <v>43894</v>
      </c>
      <c r="AV95" s="19">
        <v>0</v>
      </c>
      <c r="AW95" s="19">
        <v>0</v>
      </c>
      <c r="AX95" s="19">
        <v>7273</v>
      </c>
      <c r="AY95" s="23">
        <f t="shared" si="22"/>
        <v>7273</v>
      </c>
      <c r="AZ95" s="40">
        <f t="shared" si="24"/>
        <v>1.3774621212121212</v>
      </c>
      <c r="BA95" s="41">
        <v>2644727.2727272725</v>
      </c>
      <c r="BB95" s="187"/>
      <c r="BC95" s="44"/>
      <c r="BD95" s="191">
        <f t="shared" si="23"/>
        <v>0</v>
      </c>
      <c r="BE95" s="23"/>
      <c r="BF95" s="23"/>
      <c r="BG95" s="23"/>
      <c r="BH95" s="23"/>
      <c r="BI95" s="23"/>
      <c r="BJ95" s="23"/>
      <c r="BK95" s="40"/>
      <c r="BL95" s="44"/>
      <c r="BM95" s="41"/>
      <c r="BN95" s="45"/>
    </row>
    <row r="96" spans="1:68" s="19" customFormat="1" x14ac:dyDescent="0.25">
      <c r="A96" s="218">
        <v>35137596</v>
      </c>
      <c r="B96" s="222" t="s">
        <v>5499</v>
      </c>
      <c r="C96" s="23">
        <v>14</v>
      </c>
      <c r="D96" s="23" t="str" cm="1">
        <f t="array" ref="D96">IFERROR(_xlfn.IFS(U96&lt;727,"MEET", AB96="FRRB","MEET", AB96="PSPS","MEET"),"No")</f>
        <v>MEET</v>
      </c>
      <c r="E96" s="23" t="str" cm="1">
        <f t="array" ref="E96">IFERROR(_xlfn.IFS(AM96&gt;0,"MEET", AN96&gt;0,"MEET"),"No")</f>
        <v>No</v>
      </c>
      <c r="F96" s="100">
        <v>2021041</v>
      </c>
      <c r="G96" s="37">
        <v>0.9698863636363636</v>
      </c>
      <c r="H96" s="37">
        <f t="shared" si="19"/>
        <v>0.97178030303030305</v>
      </c>
      <c r="I96" s="37">
        <f t="shared" si="20"/>
        <v>0.97178030303030305</v>
      </c>
      <c r="J96" s="20">
        <v>2021</v>
      </c>
      <c r="K96" s="37"/>
      <c r="L96" s="37"/>
      <c r="M96" s="37">
        <f t="shared" si="21"/>
        <v>0</v>
      </c>
      <c r="N96" s="21">
        <v>9431.74</v>
      </c>
      <c r="O96" s="217" t="s">
        <v>4870</v>
      </c>
      <c r="P96" s="22">
        <v>43141101</v>
      </c>
      <c r="Q96" s="19" t="s">
        <v>2411</v>
      </c>
      <c r="R96" s="23" t="s">
        <v>2415</v>
      </c>
      <c r="S96" s="38">
        <f>IFERROR(VLOOKUP(R96,[47]conductor_pz_summary_hftd_23_re!$B$2:$Q$3636,8,FALSE),0)</f>
        <v>165</v>
      </c>
      <c r="T96" s="201">
        <f>IFERROR(VLOOKUP(R96,[48]conductor_pz_summary_hftd_23_re!$B$2:$H$3636,7,0),0)/1609</f>
        <v>18.563266053612306</v>
      </c>
      <c r="U96" s="23">
        <f>IFERROR(VLOOKUP(R96,[47]conductor_pz_summary_hftd_23_re!$B$2:$Q$3636,14,FALSE),0)</f>
        <v>328</v>
      </c>
      <c r="V96" s="37">
        <f t="shared" si="12"/>
        <v>32.971204186399547</v>
      </c>
      <c r="W96" s="202">
        <f>IFERROR(VLOOKUP(R96,[47]conductor_pz_summary_hftd_23_re!$B$2:$Q$3636,13,FALSE),0)</f>
        <v>0.19982547991757299</v>
      </c>
      <c r="X96" s="73">
        <f>IFERROR(VLOOKUP(R96,conductor_pz_summary_hftd_23_re!$B$2:$N$3636,13,FALSE),0)</f>
        <v>415</v>
      </c>
      <c r="Y96" s="203">
        <f t="shared" si="1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s="39" t="s">
        <v>4902</v>
      </c>
      <c r="AR96" s="23">
        <v>5121</v>
      </c>
      <c r="AS96" s="40">
        <v>0.9698863636363636</v>
      </c>
      <c r="AT96" s="41">
        <v>1026000</v>
      </c>
      <c r="AU96" s="42">
        <v>43894</v>
      </c>
      <c r="AV96" s="19">
        <v>0</v>
      </c>
      <c r="AW96" s="19">
        <v>0</v>
      </c>
      <c r="AX96" s="19">
        <v>5131</v>
      </c>
      <c r="AY96" s="23">
        <f t="shared" si="22"/>
        <v>5131</v>
      </c>
      <c r="AZ96" s="40">
        <f t="shared" si="24"/>
        <v>0.97178030303030305</v>
      </c>
      <c r="BA96" s="41">
        <v>1865818.1818181819</v>
      </c>
      <c r="BB96" s="187"/>
      <c r="BC96" s="44"/>
      <c r="BD96" s="191">
        <f t="shared" si="23"/>
        <v>0</v>
      </c>
      <c r="BE96" s="23"/>
      <c r="BF96" s="23"/>
      <c r="BG96" s="23"/>
      <c r="BH96" s="23"/>
      <c r="BI96" s="23"/>
      <c r="BJ96" s="23"/>
      <c r="BK96" s="40"/>
      <c r="BL96" s="44"/>
      <c r="BM96" s="41"/>
      <c r="BN96" s="45"/>
    </row>
    <row r="97" spans="1:66" s="19" customFormat="1" x14ac:dyDescent="0.25">
      <c r="A97" s="218">
        <v>35191319</v>
      </c>
      <c r="B97" s="222" t="s">
        <v>5499</v>
      </c>
      <c r="C97" s="23">
        <v>13</v>
      </c>
      <c r="D97" s="23" t="str" cm="1">
        <f t="array" ref="D97">IFERROR(_xlfn.IFS(U97&lt;727,"MEET", AB97="FRRB","MEET", AB97="PSPS","MEET"),"No")</f>
        <v>MEET</v>
      </c>
      <c r="E97" s="23" t="str" cm="1">
        <f t="array" ref="E97">IFERROR(_xlfn.IFS(AM97&gt;0,"MEET", AN97&gt;0,"MEET"),"No")</f>
        <v>MEET</v>
      </c>
      <c r="F97" s="100">
        <v>2021042</v>
      </c>
      <c r="G97" s="37">
        <v>1.04</v>
      </c>
      <c r="H97" s="37">
        <f t="shared" si="19"/>
        <v>1.1704545454545454</v>
      </c>
      <c r="I97" s="37">
        <f t="shared" si="20"/>
        <v>1.1704545454545454</v>
      </c>
      <c r="J97" s="20">
        <v>2021</v>
      </c>
      <c r="K97" s="37"/>
      <c r="L97" s="37"/>
      <c r="M97" s="37">
        <f t="shared" si="21"/>
        <v>0</v>
      </c>
      <c r="N97" s="21">
        <v>16760.5</v>
      </c>
      <c r="O97" s="217" t="s">
        <v>4878</v>
      </c>
      <c r="P97" s="22">
        <v>42991105</v>
      </c>
      <c r="Q97" s="19" t="s">
        <v>2116</v>
      </c>
      <c r="R97" s="23" t="s">
        <v>2120</v>
      </c>
      <c r="S97" s="38">
        <f>IFERROR(VLOOKUP(R97,[47]conductor_pz_summary_hftd_23_re!$B$2:$Q$3636,8,FALSE),0)</f>
        <v>54</v>
      </c>
      <c r="T97" s="201">
        <f>IFERROR(VLOOKUP(R97,[48]conductor_pz_summary_hftd_23_re!$B$2:$H$3636,7,0),0)/1609</f>
        <v>5.5621412430313679</v>
      </c>
      <c r="U97" s="23">
        <f>IFERROR(VLOOKUP(R97,[47]conductor_pz_summary_hftd_23_re!$B$2:$Q$3636,14,FALSE),0)</f>
        <v>215</v>
      </c>
      <c r="V97" s="37">
        <f t="shared" si="12"/>
        <v>13.503172229263008</v>
      </c>
      <c r="W97" s="202">
        <f>IFERROR(VLOOKUP(R97,[47]conductor_pz_summary_hftd_23_re!$B$2:$Q$3636,13,FALSE),0)</f>
        <v>0.250058744986352</v>
      </c>
      <c r="X97" s="73">
        <f>IFERROR(VLOOKUP(R97,conductor_pz_summary_hftd_23_re!$B$2:$N$3636,13,FALSE),0)</f>
        <v>739</v>
      </c>
      <c r="Y97" s="203">
        <f t="shared" si="1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5639</v>
      </c>
      <c r="AL97" s="20">
        <v>0</v>
      </c>
      <c r="AM97" s="20">
        <v>6180</v>
      </c>
      <c r="AN97" s="20">
        <v>0</v>
      </c>
      <c r="AO97" s="20">
        <v>0</v>
      </c>
      <c r="AQ97" s="39" t="s">
        <v>5361</v>
      </c>
      <c r="AR97" s="23">
        <f>AS97*5280</f>
        <v>5491.2</v>
      </c>
      <c r="AS97" s="40">
        <v>1.04</v>
      </c>
      <c r="AT97" s="41">
        <v>1673104</v>
      </c>
      <c r="AU97" s="169" t="s">
        <v>6372</v>
      </c>
      <c r="AV97" s="19">
        <v>0</v>
      </c>
      <c r="AW97" s="19">
        <v>5985</v>
      </c>
      <c r="AX97" s="19">
        <v>0</v>
      </c>
      <c r="AY97" s="23">
        <f t="shared" si="22"/>
        <v>5985</v>
      </c>
      <c r="AZ97" s="40">
        <f t="shared" si="24"/>
        <v>1.1335227272727273</v>
      </c>
      <c r="BA97" s="41">
        <v>2201900</v>
      </c>
      <c r="BB97" s="187"/>
      <c r="BC97" s="44"/>
      <c r="BD97" s="191">
        <f t="shared" si="23"/>
        <v>0</v>
      </c>
      <c r="BE97" s="23"/>
      <c r="BF97" s="23"/>
      <c r="BG97" s="23"/>
      <c r="BH97" s="23"/>
      <c r="BI97" s="23"/>
      <c r="BJ97" s="23"/>
      <c r="BK97" s="40"/>
      <c r="BL97" s="44"/>
      <c r="BM97" s="41"/>
      <c r="BN97" s="45"/>
    </row>
    <row r="98" spans="1:66" s="19" customFormat="1" x14ac:dyDescent="0.25">
      <c r="A98" s="218">
        <v>35223615</v>
      </c>
      <c r="B98" s="222" t="s">
        <v>5499</v>
      </c>
      <c r="C98" s="23">
        <v>13</v>
      </c>
      <c r="D98" s="23" t="str" cm="1">
        <f t="array" ref="D98">IFERROR(_xlfn.IFS(U98&lt;727,"MEET", AB98="FRRB","MEET", AB98="PSPS","MEET"),"No")</f>
        <v>MEET</v>
      </c>
      <c r="E98" s="23" t="str" cm="1">
        <f t="array" ref="E98">IFERROR(_xlfn.IFS(AM98&gt;0,"MEET", AN98&gt;0,"MEET"),"No")</f>
        <v>MEET</v>
      </c>
      <c r="F98" s="100">
        <v>2021043</v>
      </c>
      <c r="G98" s="37"/>
      <c r="H98" s="37">
        <f t="shared" si="19"/>
        <v>1.6257575757575757</v>
      </c>
      <c r="I98" s="37">
        <f t="shared" si="20"/>
        <v>1.6257575757575757</v>
      </c>
      <c r="J98" s="20">
        <v>2021</v>
      </c>
      <c r="K98" s="37"/>
      <c r="L98" s="37"/>
      <c r="M98" s="37">
        <f t="shared" si="21"/>
        <v>0</v>
      </c>
      <c r="N98" s="21">
        <v>521.99</v>
      </c>
      <c r="O98" s="23" t="s">
        <v>4878</v>
      </c>
      <c r="P98" s="22">
        <v>42991105</v>
      </c>
      <c r="Q98" s="19" t="s">
        <v>2116</v>
      </c>
      <c r="R98" s="23" t="s">
        <v>2120</v>
      </c>
      <c r="S98" s="38">
        <f>IFERROR(VLOOKUP(R98,[47]conductor_pz_summary_hftd_23_re!$B$2:$Q$3636,8,FALSE),0)</f>
        <v>54</v>
      </c>
      <c r="T98" s="201">
        <f>IFERROR(VLOOKUP(R98,[48]conductor_pz_summary_hftd_23_re!$B$2:$H$3636,7,0),0)/1609</f>
        <v>5.5621412430313679</v>
      </c>
      <c r="U98" s="23">
        <f>IFERROR(VLOOKUP(R98,[47]conductor_pz_summary_hftd_23_re!$B$2:$Q$3636,14,FALSE),0)</f>
        <v>215</v>
      </c>
      <c r="V98" s="37">
        <f t="shared" si="12"/>
        <v>13.503172229263008</v>
      </c>
      <c r="W98" s="202">
        <f>IFERROR(VLOOKUP(R98,[47]conductor_pz_summary_hftd_23_re!$B$2:$Q$3636,13,FALSE),0)</f>
        <v>0.250058744986352</v>
      </c>
      <c r="X98" s="73">
        <f>IFERROR(VLOOKUP(R98,conductor_pz_summary_hftd_23_re!$B$2:$N$3636,13,FALSE),0)</f>
        <v>739</v>
      </c>
      <c r="Y98" s="203">
        <f t="shared" si="13"/>
        <v>3.9073721348280839</v>
      </c>
      <c r="Z98" s="23">
        <v>213</v>
      </c>
      <c r="AA98" s="23" t="s">
        <v>4871</v>
      </c>
      <c r="AB98" s="23" t="s">
        <v>4868</v>
      </c>
      <c r="AC98" s="19" t="s">
        <v>4879</v>
      </c>
      <c r="AD98" s="19" t="s">
        <v>4880</v>
      </c>
      <c r="AE98" s="19" t="s">
        <v>4881</v>
      </c>
      <c r="AF98" s="19" t="s">
        <v>4875</v>
      </c>
      <c r="AG98" s="23">
        <v>5795129</v>
      </c>
      <c r="AH98" s="23" t="s">
        <v>5595</v>
      </c>
      <c r="AI98" s="23">
        <v>120401360</v>
      </c>
      <c r="AJ98" s="120">
        <v>35223615</v>
      </c>
      <c r="AK98" s="23" t="s">
        <v>5596</v>
      </c>
      <c r="AL98" s="20">
        <v>0</v>
      </c>
      <c r="AM98" s="20">
        <v>8584</v>
      </c>
      <c r="AN98" s="20">
        <v>0</v>
      </c>
      <c r="AO98" s="20">
        <v>0</v>
      </c>
      <c r="AQ98" s="39" t="s">
        <v>5361</v>
      </c>
      <c r="AR98" s="23">
        <v>0</v>
      </c>
      <c r="AS98" s="40">
        <v>0</v>
      </c>
      <c r="AT98" s="41">
        <v>0</v>
      </c>
      <c r="AU98" s="169" t="s">
        <v>6372</v>
      </c>
      <c r="AV98" s="19">
        <v>0</v>
      </c>
      <c r="AW98" s="19">
        <v>8465</v>
      </c>
      <c r="AX98" s="19">
        <v>0</v>
      </c>
      <c r="AY98" s="23">
        <f t="shared" si="22"/>
        <v>8465</v>
      </c>
      <c r="AZ98" s="40">
        <f t="shared" si="24"/>
        <v>1.603219696969697</v>
      </c>
      <c r="BA98" s="41">
        <v>3288180</v>
      </c>
      <c r="BB98" s="187"/>
      <c r="BC98" s="44"/>
      <c r="BD98" s="191">
        <f t="shared" si="23"/>
        <v>0</v>
      </c>
      <c r="BE98" s="23"/>
      <c r="BF98" s="23"/>
      <c r="BG98" s="23"/>
      <c r="BH98" s="23"/>
      <c r="BI98" s="23"/>
      <c r="BJ98" s="23"/>
      <c r="BK98" s="40"/>
      <c r="BL98" s="44"/>
      <c r="BM98" s="41"/>
      <c r="BN98" s="45"/>
    </row>
    <row r="99" spans="1:66" s="19" customFormat="1" x14ac:dyDescent="0.25">
      <c r="A99" s="218">
        <v>35192284</v>
      </c>
      <c r="B99" s="222" t="s">
        <v>5499</v>
      </c>
      <c r="C99" s="23">
        <v>13</v>
      </c>
      <c r="D99" s="23" t="str" cm="1">
        <f t="array" ref="D99">IFERROR(_xlfn.IFS(U99&lt;727,"MEET", AB99="FRRB","MEET", AB99="PSPS","MEET"),"No")</f>
        <v>MEET</v>
      </c>
      <c r="E99" s="23" t="str" cm="1">
        <f t="array" ref="E99">IFERROR(_xlfn.IFS(AM99&gt;0,"MEET", AN99&gt;0,"MEET"),"No")</f>
        <v>MEET</v>
      </c>
      <c r="F99" s="100">
        <v>2021044</v>
      </c>
      <c r="G99" s="37"/>
      <c r="H99" s="37">
        <f t="shared" si="19"/>
        <v>1.0859848484848484</v>
      </c>
      <c r="I99" s="37">
        <f t="shared" si="20"/>
        <v>1.0859848484848484</v>
      </c>
      <c r="J99" s="20">
        <v>2021</v>
      </c>
      <c r="K99" s="37"/>
      <c r="L99" s="37"/>
      <c r="M99" s="37">
        <f t="shared" si="21"/>
        <v>0</v>
      </c>
      <c r="N99" s="21">
        <v>15071.45</v>
      </c>
      <c r="O99" s="217" t="s">
        <v>4878</v>
      </c>
      <c r="P99" s="22">
        <v>43432104</v>
      </c>
      <c r="Q99" s="19" t="s">
        <v>4061</v>
      </c>
      <c r="R99" s="23" t="s">
        <v>4067</v>
      </c>
      <c r="S99" s="38">
        <f>IFERROR(VLOOKUP(R99,[47]conductor_pz_summary_hftd_23_re!$B$2:$Q$3636,8,FALSE),0)</f>
        <v>263</v>
      </c>
      <c r="T99" s="201">
        <f>IFERROR(VLOOKUP(R99,[48]conductor_pz_summary_hftd_23_re!$B$2:$H$3636,7,0),0)/1609</f>
        <v>30.376151265549659</v>
      </c>
      <c r="U99" s="23">
        <f>IFERROR(VLOOKUP(R99,[47]conductor_pz_summary_hftd_23_re!$B$2:$Q$3636,14,FALSE),0)</f>
        <v>279</v>
      </c>
      <c r="V99" s="37">
        <f t="shared" si="12"/>
        <v>58.772459161502169</v>
      </c>
      <c r="W99" s="202">
        <f>IFERROR(VLOOKUP(R99,[47]conductor_pz_summary_hftd_23_re!$B$2:$Q$3636,13,FALSE),0)</f>
        <v>0.22346942646959</v>
      </c>
      <c r="X99" s="73">
        <f>IFERROR(VLOOKUP(R99,conductor_pz_summary_hftd_23_re!$B$2:$N$3636,13,FALSE),0)</f>
        <v>368</v>
      </c>
      <c r="Y99" s="203">
        <f t="shared" si="1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5597</v>
      </c>
      <c r="AL99" s="20"/>
      <c r="AM99" s="204">
        <v>5734</v>
      </c>
      <c r="AN99" s="204">
        <v>0</v>
      </c>
      <c r="AO99" s="204">
        <v>0</v>
      </c>
      <c r="AQ99" s="39" t="s">
        <v>5362</v>
      </c>
      <c r="AR99" s="23">
        <v>5734</v>
      </c>
      <c r="AS99" s="40">
        <v>1.0900000000000001</v>
      </c>
      <c r="AT99" s="41">
        <v>6664630</v>
      </c>
      <c r="AU99" s="169" t="s">
        <v>6370</v>
      </c>
      <c r="AV99" s="19">
        <v>0</v>
      </c>
      <c r="AW99" s="19">
        <v>5734</v>
      </c>
      <c r="AX99" s="19">
        <v>0</v>
      </c>
      <c r="AY99" s="23">
        <f t="shared" si="22"/>
        <v>5734</v>
      </c>
      <c r="AZ99" s="40">
        <f t="shared" si="24"/>
        <v>1.0859848484848484</v>
      </c>
      <c r="BA99" s="41">
        <v>4505396</v>
      </c>
      <c r="BB99" s="187"/>
      <c r="BC99" s="44"/>
      <c r="BD99" s="191">
        <f t="shared" si="23"/>
        <v>0</v>
      </c>
      <c r="BE99" s="23"/>
      <c r="BF99" s="23"/>
      <c r="BG99" s="23"/>
      <c r="BH99" s="23"/>
      <c r="BI99" s="23"/>
      <c r="BJ99" s="23"/>
      <c r="BK99" s="40"/>
      <c r="BL99" s="44"/>
      <c r="BM99" s="41"/>
      <c r="BN99" s="45"/>
    </row>
    <row r="100" spans="1:66" s="19" customFormat="1" x14ac:dyDescent="0.25">
      <c r="A100" s="218">
        <v>35223024</v>
      </c>
      <c r="B100" s="222" t="s">
        <v>5499</v>
      </c>
      <c r="C100" s="23">
        <v>13</v>
      </c>
      <c r="D100" s="23" t="str" cm="1">
        <f t="array" ref="D100">IFERROR(_xlfn.IFS(U100&lt;727,"MEET", AB100="FRRB","MEET", AB100="PSPS","MEET"),"No")</f>
        <v>MEET</v>
      </c>
      <c r="E100" s="23" t="str" cm="1">
        <f t="array" ref="E100">IFERROR(_xlfn.IFS(AM100&gt;0,"MEET", AN100&gt;0,"MEET"),"No")</f>
        <v>MEET</v>
      </c>
      <c r="F100" s="100">
        <v>2021045</v>
      </c>
      <c r="G100" s="37"/>
      <c r="H100" s="37">
        <f t="shared" si="19"/>
        <v>1.2659090909090909</v>
      </c>
      <c r="I100" s="37">
        <f t="shared" si="20"/>
        <v>1.2659090909090909</v>
      </c>
      <c r="J100" s="20">
        <v>2021</v>
      </c>
      <c r="K100" s="37"/>
      <c r="L100" s="37"/>
      <c r="M100" s="37">
        <f t="shared" si="21"/>
        <v>0</v>
      </c>
      <c r="N100" s="21">
        <v>0</v>
      </c>
      <c r="O100" s="23" t="s">
        <v>4878</v>
      </c>
      <c r="P100" s="22">
        <v>43432104</v>
      </c>
      <c r="Q100" s="19" t="s">
        <v>4061</v>
      </c>
      <c r="R100" s="23" t="s">
        <v>4067</v>
      </c>
      <c r="S100" s="38">
        <f>IFERROR(VLOOKUP(R100,[47]conductor_pz_summary_hftd_23_re!$B$2:$Q$3636,8,FALSE),0)</f>
        <v>263</v>
      </c>
      <c r="T100" s="201">
        <f>IFERROR(VLOOKUP(R100,[48]conductor_pz_summary_hftd_23_re!$B$2:$H$3636,7,0),0)/1609</f>
        <v>30.376151265549659</v>
      </c>
      <c r="U100" s="23">
        <f>IFERROR(VLOOKUP(R100,[47]conductor_pz_summary_hftd_23_re!$B$2:$Q$3636,14,FALSE),0)</f>
        <v>279</v>
      </c>
      <c r="V100" s="37">
        <f t="shared" si="12"/>
        <v>58.772459161502169</v>
      </c>
      <c r="W100" s="202">
        <f>IFERROR(VLOOKUP(R100,[47]conductor_pz_summary_hftd_23_re!$B$2:$Q$3636,13,FALSE),0)</f>
        <v>0.22346942646959</v>
      </c>
      <c r="X100" s="73">
        <f>IFERROR(VLOOKUP(R100,conductor_pz_summary_hftd_23_re!$B$2:$N$3636,13,FALSE),0)</f>
        <v>368</v>
      </c>
      <c r="Y100" s="203">
        <f t="shared" si="13"/>
        <v>2.424816225078795</v>
      </c>
      <c r="Z100" s="23">
        <v>582</v>
      </c>
      <c r="AA100" s="23" t="s">
        <v>4871</v>
      </c>
      <c r="AB100" s="23" t="s">
        <v>4868</v>
      </c>
      <c r="AC100" s="19" t="s">
        <v>4894</v>
      </c>
      <c r="AD100" s="19" t="s">
        <v>4895</v>
      </c>
      <c r="AE100" s="19" t="s">
        <v>4881</v>
      </c>
      <c r="AF100" s="19" t="s">
        <v>4896</v>
      </c>
      <c r="AG100" s="23">
        <v>5794998</v>
      </c>
      <c r="AH100" s="23" t="s">
        <v>5568</v>
      </c>
      <c r="AI100" s="23">
        <v>120245076</v>
      </c>
      <c r="AJ100" s="120">
        <v>35223024</v>
      </c>
      <c r="AK100" s="49" t="s">
        <v>5598</v>
      </c>
      <c r="AL100" s="20">
        <v>0</v>
      </c>
      <c r="AM100" s="204">
        <v>6684</v>
      </c>
      <c r="AN100" s="204">
        <v>0</v>
      </c>
      <c r="AO100" s="204">
        <v>0</v>
      </c>
      <c r="AQ100" s="39" t="s">
        <v>5362</v>
      </c>
      <c r="AR100" s="23">
        <v>6684</v>
      </c>
      <c r="AS100" s="40">
        <v>1.27</v>
      </c>
      <c r="AT100" s="41">
        <v>0</v>
      </c>
      <c r="AU100" s="169" t="s">
        <v>6370</v>
      </c>
      <c r="AV100" s="19">
        <v>0</v>
      </c>
      <c r="AW100" s="19">
        <v>6684</v>
      </c>
      <c r="AX100" s="19">
        <v>0</v>
      </c>
      <c r="AY100" s="23">
        <f t="shared" si="22"/>
        <v>6684</v>
      </c>
      <c r="AZ100" s="40">
        <f t="shared" si="24"/>
        <v>1.2659090909090909</v>
      </c>
      <c r="BA100" s="41">
        <v>4738320</v>
      </c>
      <c r="BB100" s="187"/>
      <c r="BC100" s="44"/>
      <c r="BD100" s="191">
        <f t="shared" si="23"/>
        <v>0</v>
      </c>
      <c r="BE100" s="23"/>
      <c r="BF100" s="23"/>
      <c r="BG100" s="23"/>
      <c r="BH100" s="23"/>
      <c r="BI100" s="23"/>
      <c r="BJ100" s="23"/>
      <c r="BK100" s="40"/>
      <c r="BL100" s="44"/>
      <c r="BM100" s="41"/>
      <c r="BN100" s="45"/>
    </row>
    <row r="101" spans="1:66" s="19" customFormat="1" x14ac:dyDescent="0.25">
      <c r="A101" s="218">
        <v>35223026</v>
      </c>
      <c r="B101" s="222" t="s">
        <v>5499</v>
      </c>
      <c r="C101" s="23">
        <v>13</v>
      </c>
      <c r="D101" s="23" t="str" cm="1">
        <f t="array" ref="D101">IFERROR(_xlfn.IFS(U101&lt;727,"MEET", AB101="FRRB","MEET", AB101="PSPS","MEET"),"No")</f>
        <v>MEET</v>
      </c>
      <c r="E101" s="23" t="str" cm="1">
        <f t="array" ref="E101">IFERROR(_xlfn.IFS(AM101&gt;0,"MEET", AN101&gt;0,"MEET"),"No")</f>
        <v>No</v>
      </c>
      <c r="F101" s="100">
        <v>2021046</v>
      </c>
      <c r="G101" s="37"/>
      <c r="H101" s="37">
        <f t="shared" si="19"/>
        <v>1.0348484848484849</v>
      </c>
      <c r="I101" s="37">
        <f t="shared" si="20"/>
        <v>1.0348484848484849</v>
      </c>
      <c r="J101" s="20">
        <v>2021</v>
      </c>
      <c r="K101" s="37"/>
      <c r="L101" s="37"/>
      <c r="M101" s="37">
        <f t="shared" si="21"/>
        <v>0</v>
      </c>
      <c r="N101" s="21">
        <v>0</v>
      </c>
      <c r="O101" s="23" t="s">
        <v>4878</v>
      </c>
      <c r="P101" s="22">
        <v>43432104</v>
      </c>
      <c r="Q101" s="19" t="s">
        <v>4061</v>
      </c>
      <c r="R101" s="23" t="s">
        <v>4067</v>
      </c>
      <c r="S101" s="38">
        <f>IFERROR(VLOOKUP(R101,[47]conductor_pz_summary_hftd_23_re!$B$2:$Q$3636,8,FALSE),0)</f>
        <v>263</v>
      </c>
      <c r="T101" s="201">
        <f>IFERROR(VLOOKUP(R101,[48]conductor_pz_summary_hftd_23_re!$B$2:$H$3636,7,0),0)/1609</f>
        <v>30.376151265549659</v>
      </c>
      <c r="U101" s="23">
        <f>IFERROR(VLOOKUP(R101,[47]conductor_pz_summary_hftd_23_re!$B$2:$Q$3636,14,FALSE),0)</f>
        <v>279</v>
      </c>
      <c r="V101" s="37">
        <f t="shared" si="12"/>
        <v>58.772459161502169</v>
      </c>
      <c r="W101" s="202">
        <f>IFERROR(VLOOKUP(R101,[47]conductor_pz_summary_hftd_23_re!$B$2:$Q$3636,13,FALSE),0)</f>
        <v>0.22346942646959</v>
      </c>
      <c r="X101" s="73">
        <f>IFERROR(VLOOKUP(R101,conductor_pz_summary_hftd_23_re!$B$2:$N$3636,13,FALSE),0)</f>
        <v>368</v>
      </c>
      <c r="Y101" s="203">
        <f t="shared" si="13"/>
        <v>1.2413938048006898</v>
      </c>
      <c r="Z101" s="23">
        <v>582</v>
      </c>
      <c r="AA101" s="23" t="s">
        <v>4871</v>
      </c>
      <c r="AB101" s="23" t="s">
        <v>4868</v>
      </c>
      <c r="AC101" s="19" t="s">
        <v>4894</v>
      </c>
      <c r="AD101" s="19" t="s">
        <v>4895</v>
      </c>
      <c r="AE101" s="19" t="s">
        <v>4881</v>
      </c>
      <c r="AF101" s="19" t="s">
        <v>4896</v>
      </c>
      <c r="AG101" s="23">
        <v>5794998</v>
      </c>
      <c r="AH101" s="23" t="s">
        <v>5569</v>
      </c>
      <c r="AI101" s="23">
        <v>120245190</v>
      </c>
      <c r="AJ101" s="120">
        <v>35223026</v>
      </c>
      <c r="AK101" s="49" t="s">
        <v>5599</v>
      </c>
      <c r="AL101" s="20">
        <v>5464</v>
      </c>
      <c r="AM101" s="204"/>
      <c r="AN101" s="204">
        <v>0</v>
      </c>
      <c r="AO101" s="204">
        <v>0</v>
      </c>
      <c r="AQ101" s="39" t="s">
        <v>5362</v>
      </c>
      <c r="AR101" s="23">
        <v>5464</v>
      </c>
      <c r="AS101" s="40">
        <v>1.03</v>
      </c>
      <c r="AT101" s="41">
        <v>0</v>
      </c>
      <c r="AU101" s="169" t="s">
        <v>6370</v>
      </c>
      <c r="AV101" s="19">
        <v>0</v>
      </c>
      <c r="AW101" s="19">
        <v>0</v>
      </c>
      <c r="AX101" s="19">
        <v>5464</v>
      </c>
      <c r="AY101" s="23">
        <f t="shared" si="22"/>
        <v>5464</v>
      </c>
      <c r="AZ101" s="40">
        <f t="shared" si="24"/>
        <v>1.0348484848484849</v>
      </c>
      <c r="BA101" s="41">
        <v>3702224</v>
      </c>
      <c r="BB101" s="187"/>
      <c r="BC101" s="44"/>
      <c r="BD101" s="191">
        <f t="shared" si="23"/>
        <v>0</v>
      </c>
      <c r="BE101" s="23"/>
      <c r="BF101" s="23"/>
      <c r="BG101" s="23"/>
      <c r="BH101" s="23"/>
      <c r="BI101" s="23"/>
      <c r="BJ101" s="23"/>
      <c r="BK101" s="40"/>
      <c r="BL101" s="44"/>
      <c r="BM101" s="41"/>
      <c r="BN101" s="45"/>
    </row>
    <row r="102" spans="1:66" s="19" customFormat="1" x14ac:dyDescent="0.25">
      <c r="A102" s="218">
        <v>35223027</v>
      </c>
      <c r="B102" s="222" t="s">
        <v>5499</v>
      </c>
      <c r="C102" s="23">
        <v>14</v>
      </c>
      <c r="D102" s="23" t="str" cm="1">
        <f t="array" ref="D102">IFERROR(_xlfn.IFS(U102&lt;727,"MEET", AB102="FRRB","MEET", AB102="PSPS","MEET"),"No")</f>
        <v>MEET</v>
      </c>
      <c r="E102" s="23" t="str" cm="1">
        <f t="array" ref="E102">IFERROR(_xlfn.IFS(AM102&gt;0,"MEET", AN102&gt;0,"MEET"),"No")</f>
        <v>No</v>
      </c>
      <c r="F102" s="100">
        <v>2021047</v>
      </c>
      <c r="G102" s="37"/>
      <c r="H102" s="37">
        <f t="shared" si="19"/>
        <v>1.5674242424242424</v>
      </c>
      <c r="I102" s="37">
        <f t="shared" si="20"/>
        <v>1.5674242424242424</v>
      </c>
      <c r="J102" s="20">
        <v>2021</v>
      </c>
      <c r="K102" s="37"/>
      <c r="L102" s="37"/>
      <c r="M102" s="37">
        <f t="shared" si="21"/>
        <v>0</v>
      </c>
      <c r="N102" s="21">
        <v>9687.98</v>
      </c>
      <c r="O102" s="183" t="s">
        <v>4870</v>
      </c>
      <c r="P102" s="22">
        <v>43432104</v>
      </c>
      <c r="Q102" s="19" t="s">
        <v>4061</v>
      </c>
      <c r="R102" s="23" t="s">
        <v>4067</v>
      </c>
      <c r="S102" s="38">
        <f>IFERROR(VLOOKUP(R102,[47]conductor_pz_summary_hftd_23_re!$B$2:$Q$3636,8,FALSE),0)</f>
        <v>263</v>
      </c>
      <c r="T102" s="201">
        <f>IFERROR(VLOOKUP(R102,[48]conductor_pz_summary_hftd_23_re!$B$2:$H$3636,7,0),0)/1609</f>
        <v>30.376151265549659</v>
      </c>
      <c r="U102" s="23">
        <f>IFERROR(VLOOKUP(R102,[47]conductor_pz_summary_hftd_23_re!$B$2:$Q$3636,14,FALSE),0)</f>
        <v>279</v>
      </c>
      <c r="V102" s="37">
        <f t="shared" si="12"/>
        <v>58.772459161502169</v>
      </c>
      <c r="W102" s="202">
        <f>IFERROR(VLOOKUP(R102,[47]conductor_pz_summary_hftd_23_re!$B$2:$Q$3636,13,FALSE),0)</f>
        <v>0.22346942646959</v>
      </c>
      <c r="X102" s="73">
        <f>IFERROR(VLOOKUP(R102,conductor_pz_summary_hftd_23_re!$B$2:$N$3636,13,FALSE),0)</f>
        <v>368</v>
      </c>
      <c r="Y102" s="203">
        <f t="shared" si="13"/>
        <v>1.8802663119565353</v>
      </c>
      <c r="Z102" s="23">
        <v>582</v>
      </c>
      <c r="AA102" s="23" t="s">
        <v>4871</v>
      </c>
      <c r="AB102" s="23" t="s">
        <v>4868</v>
      </c>
      <c r="AC102" s="19" t="s">
        <v>4894</v>
      </c>
      <c r="AD102" s="19" t="s">
        <v>4895</v>
      </c>
      <c r="AE102" s="19" t="s">
        <v>4881</v>
      </c>
      <c r="AF102" s="19" t="s">
        <v>4896</v>
      </c>
      <c r="AG102" s="23">
        <v>5794998</v>
      </c>
      <c r="AH102" s="23" t="s">
        <v>5570</v>
      </c>
      <c r="AI102" s="23">
        <v>120245192</v>
      </c>
      <c r="AJ102" s="120">
        <v>35223027</v>
      </c>
      <c r="AK102" s="49" t="s">
        <v>5600</v>
      </c>
      <c r="AL102" s="20">
        <v>8276</v>
      </c>
      <c r="AM102" s="204">
        <v>0</v>
      </c>
      <c r="AN102" s="204">
        <v>0</v>
      </c>
      <c r="AO102" s="204">
        <v>0</v>
      </c>
      <c r="AQ102" s="39" t="s">
        <v>5362</v>
      </c>
      <c r="AR102" s="23">
        <v>8276</v>
      </c>
      <c r="AS102" s="40">
        <v>1.57</v>
      </c>
      <c r="AT102" s="41">
        <v>0</v>
      </c>
      <c r="AU102" s="169" t="s">
        <v>6370</v>
      </c>
      <c r="AV102" s="19">
        <v>0</v>
      </c>
      <c r="AW102" s="19">
        <v>0</v>
      </c>
      <c r="AX102" s="19">
        <v>8276</v>
      </c>
      <c r="AY102" s="23">
        <f t="shared" si="22"/>
        <v>8276</v>
      </c>
      <c r="AZ102" s="40">
        <f t="shared" si="24"/>
        <v>1.5674242424242424</v>
      </c>
      <c r="BA102" s="41">
        <v>1898194</v>
      </c>
      <c r="BB102" s="187"/>
      <c r="BC102" s="44"/>
      <c r="BD102" s="191">
        <f t="shared" si="23"/>
        <v>0</v>
      </c>
      <c r="BE102" s="23"/>
      <c r="BF102" s="23"/>
      <c r="BG102" s="23"/>
      <c r="BH102" s="23"/>
      <c r="BI102" s="23"/>
      <c r="BJ102" s="23"/>
      <c r="BK102" s="40"/>
      <c r="BL102" s="44"/>
      <c r="BM102" s="41"/>
      <c r="BN102" s="45"/>
    </row>
    <row r="103" spans="1:66" s="19" customFormat="1" x14ac:dyDescent="0.25">
      <c r="A103" s="218">
        <v>35223028</v>
      </c>
      <c r="B103" s="222" t="s">
        <v>5499</v>
      </c>
      <c r="C103" s="23">
        <v>13</v>
      </c>
      <c r="D103" s="23" t="str" cm="1">
        <f t="array" ref="D103">IFERROR(_xlfn.IFS(U103&lt;727,"MEET", AB103="FRRB","MEET", AB103="PSPS","MEET"),"No")</f>
        <v>MEET</v>
      </c>
      <c r="E103" s="23" t="str" cm="1">
        <f t="array" ref="E103">IFERROR(_xlfn.IFS(AM103&gt;0,"MEET", AN103&gt;0,"MEET"),"No")</f>
        <v>No</v>
      </c>
      <c r="F103" s="100">
        <v>2021048</v>
      </c>
      <c r="G103" s="37"/>
      <c r="H103" s="37">
        <f t="shared" si="19"/>
        <v>1.2079545454545455</v>
      </c>
      <c r="I103" s="37">
        <f t="shared" si="20"/>
        <v>1.2079545454545455</v>
      </c>
      <c r="J103" s="20">
        <v>2021</v>
      </c>
      <c r="K103" s="37"/>
      <c r="L103" s="37"/>
      <c r="M103" s="37">
        <f t="shared" si="21"/>
        <v>0</v>
      </c>
      <c r="N103" s="21">
        <v>0</v>
      </c>
      <c r="O103" s="23" t="s">
        <v>4878</v>
      </c>
      <c r="P103" s="22">
        <v>43432104</v>
      </c>
      <c r="Q103" s="19" t="s">
        <v>4061</v>
      </c>
      <c r="R103" s="23" t="s">
        <v>4067</v>
      </c>
      <c r="S103" s="38">
        <f>IFERROR(VLOOKUP(R103,[47]conductor_pz_summary_hftd_23_re!$B$2:$Q$3636,8,FALSE),0)</f>
        <v>263</v>
      </c>
      <c r="T103" s="201">
        <f>IFERROR(VLOOKUP(R103,[48]conductor_pz_summary_hftd_23_re!$B$2:$H$3636,7,0),0)/1609</f>
        <v>30.376151265549659</v>
      </c>
      <c r="U103" s="23">
        <f>IFERROR(VLOOKUP(R103,[47]conductor_pz_summary_hftd_23_re!$B$2:$Q$3636,14,FALSE),0)</f>
        <v>279</v>
      </c>
      <c r="V103" s="37">
        <f t="shared" si="12"/>
        <v>58.772459161502169</v>
      </c>
      <c r="W103" s="202">
        <f>IFERROR(VLOOKUP(R103,[47]conductor_pz_summary_hftd_23_re!$B$2:$Q$3636,13,FALSE),0)</f>
        <v>0.22346942646959</v>
      </c>
      <c r="X103" s="73">
        <f>IFERROR(VLOOKUP(R103,conductor_pz_summary_hftd_23_re!$B$2:$N$3636,13,FALSE),0)</f>
        <v>368</v>
      </c>
      <c r="Y103" s="203">
        <f t="shared" si="13"/>
        <v>1.4490500891322842</v>
      </c>
      <c r="Z103" s="23">
        <v>582</v>
      </c>
      <c r="AA103" s="23" t="s">
        <v>4871</v>
      </c>
      <c r="AB103" s="23" t="s">
        <v>4868</v>
      </c>
      <c r="AC103" s="19" t="s">
        <v>4894</v>
      </c>
      <c r="AD103" s="19" t="s">
        <v>4895</v>
      </c>
      <c r="AE103" s="19" t="s">
        <v>4881</v>
      </c>
      <c r="AF103" s="19" t="s">
        <v>4896</v>
      </c>
      <c r="AG103" s="23">
        <v>5794998</v>
      </c>
      <c r="AH103" s="23" t="s">
        <v>5571</v>
      </c>
      <c r="AI103" s="23">
        <v>120245193</v>
      </c>
      <c r="AJ103" s="120">
        <v>35223028</v>
      </c>
      <c r="AK103" s="49" t="s">
        <v>5601</v>
      </c>
      <c r="AL103" s="20">
        <v>6378</v>
      </c>
      <c r="AM103" s="204">
        <v>0</v>
      </c>
      <c r="AN103" s="204">
        <v>0</v>
      </c>
      <c r="AO103" s="204">
        <v>0</v>
      </c>
      <c r="AQ103" s="39" t="s">
        <v>5362</v>
      </c>
      <c r="AR103" s="23">
        <v>6378</v>
      </c>
      <c r="AS103" s="40">
        <v>1.21</v>
      </c>
      <c r="AT103" s="41">
        <v>0</v>
      </c>
      <c r="AU103" s="169" t="s">
        <v>6370</v>
      </c>
      <c r="AV103" s="19">
        <v>0</v>
      </c>
      <c r="AW103" s="19">
        <v>0</v>
      </c>
      <c r="AX103" s="19">
        <v>6378</v>
      </c>
      <c r="AY103" s="23">
        <f t="shared" si="22"/>
        <v>6378</v>
      </c>
      <c r="AZ103" s="40">
        <f t="shared" si="24"/>
        <v>1.2079545454545455</v>
      </c>
      <c r="BA103" s="41">
        <v>1330059</v>
      </c>
      <c r="BB103" s="187"/>
      <c r="BC103" s="44"/>
      <c r="BD103" s="191">
        <f t="shared" si="23"/>
        <v>0</v>
      </c>
      <c r="BE103" s="23"/>
      <c r="BF103" s="23"/>
      <c r="BG103" s="23"/>
      <c r="BH103" s="23"/>
      <c r="BI103" s="23"/>
      <c r="BJ103" s="23"/>
      <c r="BK103" s="40"/>
      <c r="BL103" s="44"/>
      <c r="BM103" s="41"/>
      <c r="BN103" s="45"/>
    </row>
    <row r="104" spans="1:66" s="19" customFormat="1" x14ac:dyDescent="0.25">
      <c r="A104" s="218">
        <v>35192280</v>
      </c>
      <c r="B104" s="222" t="s">
        <v>5499</v>
      </c>
      <c r="C104" s="23">
        <v>14</v>
      </c>
      <c r="D104" s="23" t="str" cm="1">
        <f t="array" ref="D104">IFERROR(_xlfn.IFS(U104&lt;727,"MEET", AB104="FRRB","MEET", AB104="PSPS","MEET"),"No")</f>
        <v>MEET</v>
      </c>
      <c r="E104" s="23" t="str" cm="1">
        <f t="array" ref="E104">IFERROR(_xlfn.IFS(AM104&gt;0,"MEET", AN104&gt;0,"MEET"),"No")</f>
        <v>MEET</v>
      </c>
      <c r="F104" s="100">
        <v>2021049</v>
      </c>
      <c r="G104" s="37"/>
      <c r="H104" s="37">
        <f t="shared" si="19"/>
        <v>1.6429924242424243</v>
      </c>
      <c r="I104" s="37">
        <f t="shared" si="20"/>
        <v>1.6429924242424243</v>
      </c>
      <c r="J104" s="20">
        <v>2021</v>
      </c>
      <c r="K104" s="37"/>
      <c r="L104" s="37"/>
      <c r="M104" s="37">
        <f t="shared" si="21"/>
        <v>0</v>
      </c>
      <c r="N104" s="21">
        <v>23348.52</v>
      </c>
      <c r="O104" s="217" t="s">
        <v>4870</v>
      </c>
      <c r="P104" s="22">
        <v>12022212</v>
      </c>
      <c r="Q104" s="19" t="s">
        <v>846</v>
      </c>
      <c r="R104" s="23" t="s">
        <v>851</v>
      </c>
      <c r="S104" s="38">
        <f>IFERROR(VLOOKUP(R104,[47]conductor_pz_summary_hftd_23_re!$B$2:$Q$3636,8,FALSE),0)</f>
        <v>174</v>
      </c>
      <c r="T104" s="201">
        <f>IFERROR(VLOOKUP(R104,[48]conductor_pz_summary_hftd_23_re!$B$2:$H$3636,7,0),0)/1609</f>
        <v>19.399195081280546</v>
      </c>
      <c r="U104" s="23">
        <f>IFERROR(VLOOKUP(R104,[47]conductor_pz_summary_hftd_23_re!$B$2:$Q$3636,14,FALSE),0)</f>
        <v>377</v>
      </c>
      <c r="V104" s="37">
        <f t="shared" si="12"/>
        <v>32.632874338333039</v>
      </c>
      <c r="W104" s="202">
        <f>IFERROR(VLOOKUP(R104,[47]conductor_pz_summary_hftd_23_re!$B$2:$Q$3636,13,FALSE),0)</f>
        <v>0.18754525481800599</v>
      </c>
      <c r="X104" s="73">
        <f>IFERROR(VLOOKUP(R104,conductor_pz_summary_hftd_23_re!$B$2:$N$3636,13,FALSE),0)</f>
        <v>281</v>
      </c>
      <c r="Y104" s="203">
        <f t="shared" si="1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6042</v>
      </c>
      <c r="AL104" s="20">
        <v>0</v>
      </c>
      <c r="AM104" s="20">
        <v>8675</v>
      </c>
      <c r="AN104" s="20">
        <v>0</v>
      </c>
      <c r="AO104" s="20">
        <v>0</v>
      </c>
      <c r="AP104" s="48" t="s">
        <v>5364</v>
      </c>
      <c r="AQ104" s="39" t="s">
        <v>5363</v>
      </c>
      <c r="AR104" s="23">
        <f>AS104*5280</f>
        <v>14414.4</v>
      </c>
      <c r="AS104" s="40">
        <v>2.73</v>
      </c>
      <c r="AT104" s="41">
        <v>4538638</v>
      </c>
      <c r="AU104" s="169" t="s">
        <v>6369</v>
      </c>
      <c r="AV104" s="19">
        <v>0</v>
      </c>
      <c r="AW104" s="19">
        <v>8675</v>
      </c>
      <c r="AX104" s="19">
        <v>0</v>
      </c>
      <c r="AY104" s="23">
        <f t="shared" si="22"/>
        <v>8675</v>
      </c>
      <c r="AZ104" s="40">
        <f t="shared" si="24"/>
        <v>1.6429924242424243</v>
      </c>
      <c r="BA104" s="41">
        <v>3687300</v>
      </c>
      <c r="BB104" s="187"/>
      <c r="BC104" s="44"/>
      <c r="BD104" s="191">
        <f t="shared" si="23"/>
        <v>0</v>
      </c>
      <c r="BE104" s="183"/>
      <c r="BF104" s="183"/>
      <c r="BG104" s="23"/>
      <c r="BH104" s="23"/>
      <c r="BI104" s="23"/>
      <c r="BJ104" s="23"/>
      <c r="BK104" s="40"/>
      <c r="BL104" s="44"/>
      <c r="BM104" s="41"/>
      <c r="BN104" s="45"/>
    </row>
    <row r="105" spans="1:66" s="19" customFormat="1" x14ac:dyDescent="0.25">
      <c r="A105" s="218">
        <v>35225593</v>
      </c>
      <c r="B105" s="222" t="s">
        <v>5499</v>
      </c>
      <c r="C105" s="23">
        <v>14</v>
      </c>
      <c r="D105" s="23" t="str" cm="1">
        <f t="array" ref="D105">IFERROR(_xlfn.IFS(U105&lt;727,"MEET", AB105="FRRB","MEET", AB105="PSPS","MEET"),"No")</f>
        <v>MEET</v>
      </c>
      <c r="E105" s="23" t="str" cm="1">
        <f t="array" ref="E105">IFERROR(_xlfn.IFS(AM105&gt;0,"MEET", AN105&gt;0,"MEET"),"No")</f>
        <v>No</v>
      </c>
      <c r="F105" s="100">
        <v>2021050</v>
      </c>
      <c r="G105" s="37"/>
      <c r="H105" s="37">
        <f t="shared" si="19"/>
        <v>1.1755681818181818</v>
      </c>
      <c r="I105" s="37">
        <f t="shared" si="20"/>
        <v>1.1755681818181818</v>
      </c>
      <c r="J105" s="20">
        <v>2021</v>
      </c>
      <c r="K105" s="37"/>
      <c r="L105" s="37"/>
      <c r="M105" s="37">
        <f t="shared" si="21"/>
        <v>0</v>
      </c>
      <c r="N105" s="21">
        <v>3814.22</v>
      </c>
      <c r="O105" s="183" t="s">
        <v>4870</v>
      </c>
      <c r="P105" s="22">
        <v>12022212</v>
      </c>
      <c r="Q105" s="19" t="s">
        <v>846</v>
      </c>
      <c r="R105" s="23" t="s">
        <v>851</v>
      </c>
      <c r="S105" s="38">
        <f>IFERROR(VLOOKUP(R105,[47]conductor_pz_summary_hftd_23_re!$B$2:$Q$3636,8,FALSE),0)</f>
        <v>174</v>
      </c>
      <c r="T105" s="201">
        <f>IFERROR(VLOOKUP(R105,[48]conductor_pz_summary_hftd_23_re!$B$2:$H$3636,7,0),0)/1609</f>
        <v>19.399195081280546</v>
      </c>
      <c r="U105" s="23">
        <f>IFERROR(VLOOKUP(R105,[47]conductor_pz_summary_hftd_23_re!$B$2:$Q$3636,14,FALSE),0)</f>
        <v>377</v>
      </c>
      <c r="V105" s="37">
        <f t="shared" si="12"/>
        <v>32.632874338333039</v>
      </c>
      <c r="W105" s="202">
        <f>IFERROR(VLOOKUP(R105,[47]conductor_pz_summary_hftd_23_re!$B$2:$Q$3636,13,FALSE),0)</f>
        <v>0.18754525481800599</v>
      </c>
      <c r="X105" s="73">
        <f>IFERROR(VLOOKUP(R105,conductor_pz_summary_hftd_23_re!$B$2:$N$3636,13,FALSE),0)</f>
        <v>281</v>
      </c>
      <c r="Y105" s="203">
        <f t="shared" si="13"/>
        <v>1.2260583249698167</v>
      </c>
      <c r="Z105" s="23">
        <v>267</v>
      </c>
      <c r="AA105" s="23" t="s">
        <v>4871</v>
      </c>
      <c r="AB105" s="23" t="s">
        <v>4868</v>
      </c>
      <c r="AC105" s="19" t="s">
        <v>4907</v>
      </c>
      <c r="AD105" s="19" t="s">
        <v>4908</v>
      </c>
      <c r="AE105" s="19" t="s">
        <v>4909</v>
      </c>
      <c r="AF105" s="19" t="s">
        <v>4896</v>
      </c>
      <c r="AG105" s="23">
        <v>5544143</v>
      </c>
      <c r="AH105" s="23" t="s">
        <v>6072</v>
      </c>
      <c r="AI105" s="23">
        <v>120424181</v>
      </c>
      <c r="AJ105" s="120">
        <v>35225593</v>
      </c>
      <c r="AK105" s="23" t="s">
        <v>6073</v>
      </c>
      <c r="AL105" s="20">
        <v>6207</v>
      </c>
      <c r="AM105" s="20">
        <v>0</v>
      </c>
      <c r="AN105" s="20">
        <v>0</v>
      </c>
      <c r="AO105" s="20">
        <v>0</v>
      </c>
      <c r="AP105" s="48" t="s">
        <v>5364</v>
      </c>
      <c r="AQ105" s="39" t="s">
        <v>5363</v>
      </c>
      <c r="AR105" s="23">
        <v>0</v>
      </c>
      <c r="AS105" s="40">
        <v>0</v>
      </c>
      <c r="AT105" s="41">
        <v>0</v>
      </c>
      <c r="AU105" s="169" t="s">
        <v>6369</v>
      </c>
      <c r="AV105" s="19">
        <v>0</v>
      </c>
      <c r="AW105" s="19">
        <v>0</v>
      </c>
      <c r="AX105" s="19">
        <v>6207</v>
      </c>
      <c r="AY105" s="23">
        <f t="shared" si="22"/>
        <v>6207</v>
      </c>
      <c r="AZ105" s="40">
        <f t="shared" si="24"/>
        <v>1.1755681818181818</v>
      </c>
      <c r="BA105" s="41">
        <v>1283732</v>
      </c>
      <c r="BB105" s="187"/>
      <c r="BC105" s="44"/>
      <c r="BD105" s="191">
        <f t="shared" si="23"/>
        <v>0</v>
      </c>
      <c r="BE105" s="183"/>
      <c r="BF105" s="183"/>
      <c r="BG105" s="23"/>
      <c r="BH105" s="23"/>
      <c r="BI105" s="23"/>
      <c r="BJ105" s="23"/>
      <c r="BK105" s="40"/>
      <c r="BL105" s="44"/>
      <c r="BM105" s="41"/>
      <c r="BN105" s="45"/>
    </row>
    <row r="106" spans="1:66" s="19" customFormat="1" x14ac:dyDescent="0.25">
      <c r="A106" s="218">
        <v>35192281</v>
      </c>
      <c r="B106" s="222" t="s">
        <v>5499</v>
      </c>
      <c r="C106" s="23">
        <v>13</v>
      </c>
      <c r="D106" s="23" t="str" cm="1">
        <f t="array" ref="D106">IFERROR(_xlfn.IFS(U106&lt;727,"MEET", AB106="FRRB","MEET", AB106="PSPS","MEET"),"No")</f>
        <v>MEET</v>
      </c>
      <c r="E106" s="23" t="str" cm="1">
        <f t="array" ref="E106">IFERROR(_xlfn.IFS(AM106&gt;0,"MEET", AN106&gt;0,"MEET"),"No")</f>
        <v>No</v>
      </c>
      <c r="F106" s="100">
        <v>2021051</v>
      </c>
      <c r="G106" s="37"/>
      <c r="H106" s="37">
        <f t="shared" si="19"/>
        <v>0.30662878787878789</v>
      </c>
      <c r="I106" s="37">
        <f t="shared" si="20"/>
        <v>0.30662878787878789</v>
      </c>
      <c r="J106" s="20">
        <v>2021</v>
      </c>
      <c r="K106" s="37"/>
      <c r="L106" s="37"/>
      <c r="M106" s="37">
        <f t="shared" si="21"/>
        <v>0</v>
      </c>
      <c r="N106" s="21">
        <v>19203.82</v>
      </c>
      <c r="O106" s="217" t="s">
        <v>4878</v>
      </c>
      <c r="P106" s="22">
        <v>43141101</v>
      </c>
      <c r="Q106" s="19" t="s">
        <v>2411</v>
      </c>
      <c r="R106" s="23" t="s">
        <v>2417</v>
      </c>
      <c r="S106" s="38">
        <f>IFERROR(VLOOKUP(R106,[47]conductor_pz_summary_hftd_23_re!$B$2:$Q$3636,8,FALSE),0)</f>
        <v>110</v>
      </c>
      <c r="T106" s="201">
        <f>IFERROR(VLOOKUP(R106,[48]conductor_pz_summary_hftd_23_re!$B$2:$H$3636,7,0),0)/1609</f>
        <v>10.699357953170976</v>
      </c>
      <c r="U106" s="23">
        <f>IFERROR(VLOOKUP(R106,[47]conductor_pz_summary_hftd_23_re!$B$2:$Q$3636,14,FALSE),0)</f>
        <v>468</v>
      </c>
      <c r="V106" s="37">
        <f t="shared" si="12"/>
        <v>17.632724796949901</v>
      </c>
      <c r="W106" s="202">
        <f>IFERROR(VLOOKUP(R106,[47]conductor_pz_summary_hftd_23_re!$B$2:$Q$3636,13,FALSE),0)</f>
        <v>0.16029749815409</v>
      </c>
      <c r="X106" s="73">
        <f>IFERROR(VLOOKUP(R106,conductor_pz_summary_hftd_23_re!$B$2:$N$3636,13,FALSE),0)</f>
        <v>729</v>
      </c>
      <c r="Y106" s="203">
        <f t="shared" si="1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6243</v>
      </c>
      <c r="AL106" s="20">
        <v>1619</v>
      </c>
      <c r="AM106" s="20">
        <v>0</v>
      </c>
      <c r="AN106" s="20">
        <v>0</v>
      </c>
      <c r="AO106" s="20">
        <v>0</v>
      </c>
      <c r="AP106" s="48" t="s">
        <v>5366</v>
      </c>
      <c r="AQ106" s="39" t="s">
        <v>5365</v>
      </c>
      <c r="AR106" s="23">
        <f>AS106*5280</f>
        <v>31363.200000000001</v>
      </c>
      <c r="AS106" s="40">
        <v>5.94</v>
      </c>
      <c r="AT106" s="41">
        <v>8593932</v>
      </c>
      <c r="AU106" s="39" t="s">
        <v>6349</v>
      </c>
      <c r="AV106" s="19">
        <v>0</v>
      </c>
      <c r="AW106" s="19">
        <v>0</v>
      </c>
      <c r="AX106" s="19">
        <v>1619</v>
      </c>
      <c r="AY106" s="23">
        <f t="shared" si="22"/>
        <v>1619</v>
      </c>
      <c r="AZ106" s="40">
        <f t="shared" si="24"/>
        <v>0.30662878787878789</v>
      </c>
      <c r="BA106" s="41">
        <v>344842</v>
      </c>
      <c r="BB106" s="187">
        <v>14.37</v>
      </c>
      <c r="BC106" s="44">
        <v>51800</v>
      </c>
      <c r="BD106" s="191">
        <f t="shared" si="23"/>
        <v>3604.7320807237302</v>
      </c>
      <c r="BE106" s="23"/>
      <c r="BF106" s="23"/>
      <c r="BG106" s="23"/>
      <c r="BH106" s="23"/>
      <c r="BI106" s="23"/>
      <c r="BJ106" s="23"/>
      <c r="BK106" s="40"/>
      <c r="BL106" s="44"/>
      <c r="BM106" s="41"/>
      <c r="BN106" s="45"/>
    </row>
    <row r="107" spans="1:66" s="19" customFormat="1" x14ac:dyDescent="0.25">
      <c r="A107" s="218">
        <v>35227027</v>
      </c>
      <c r="B107" s="222" t="s">
        <v>5499</v>
      </c>
      <c r="C107" s="23">
        <v>13</v>
      </c>
      <c r="D107" s="23" t="str" cm="1">
        <f t="array" ref="D107">IFERROR(_xlfn.IFS(U107&lt;727,"MEET", AB107="FRRB","MEET", AB107="PSPS","MEET"),"No")</f>
        <v>MEET</v>
      </c>
      <c r="E107" s="23" t="str" cm="1">
        <f t="array" ref="E107">IFERROR(_xlfn.IFS(AM107&gt;0,"MEET", AN107&gt;0,"MEET"),"No")</f>
        <v>No</v>
      </c>
      <c r="F107" s="100">
        <v>2021052</v>
      </c>
      <c r="G107" s="37"/>
      <c r="H107" s="37">
        <f t="shared" si="19"/>
        <v>0.97575757575757571</v>
      </c>
      <c r="I107" s="37">
        <f t="shared" si="20"/>
        <v>0.97575757575757571</v>
      </c>
      <c r="J107" s="20">
        <v>2021</v>
      </c>
      <c r="K107" s="37"/>
      <c r="L107" s="37"/>
      <c r="M107" s="37">
        <f t="shared" si="21"/>
        <v>0</v>
      </c>
      <c r="N107" s="21">
        <v>0</v>
      </c>
      <c r="O107" s="23" t="s">
        <v>4878</v>
      </c>
      <c r="P107" s="22">
        <v>43141101</v>
      </c>
      <c r="Q107" s="19" t="s">
        <v>2411</v>
      </c>
      <c r="R107" s="23" t="s">
        <v>2417</v>
      </c>
      <c r="S107" s="38">
        <f>IFERROR(VLOOKUP(R107,[47]conductor_pz_summary_hftd_23_re!$B$2:$Q$3636,8,FALSE),0)</f>
        <v>110</v>
      </c>
      <c r="T107" s="201">
        <f>IFERROR(VLOOKUP(R107,[48]conductor_pz_summary_hftd_23_re!$B$2:$H$3636,7,0),0)/1609</f>
        <v>10.699357953170976</v>
      </c>
      <c r="U107" s="23">
        <f>IFERROR(VLOOKUP(R107,[47]conductor_pz_summary_hftd_23_re!$B$2:$Q$3636,14,FALSE),0)</f>
        <v>468</v>
      </c>
      <c r="V107" s="37">
        <f t="shared" si="12"/>
        <v>17.632724796949901</v>
      </c>
      <c r="W107" s="202">
        <f>IFERROR(VLOOKUP(R107,[47]conductor_pz_summary_hftd_23_re!$B$2:$Q$3636,13,FALSE),0)</f>
        <v>0.16029749815409</v>
      </c>
      <c r="X107" s="73">
        <f>IFERROR(VLOOKUP(R107,conductor_pz_summary_hftd_23_re!$B$2:$N$3636,13,FALSE),0)</f>
        <v>729</v>
      </c>
      <c r="Y107" s="203">
        <f t="shared" si="13"/>
        <v>0.99700040169226956</v>
      </c>
      <c r="Z107" s="23">
        <v>375</v>
      </c>
      <c r="AA107" s="23" t="s">
        <v>4871</v>
      </c>
      <c r="AB107" s="23" t="s">
        <v>4868</v>
      </c>
      <c r="AC107" s="19" t="s">
        <v>4872</v>
      </c>
      <c r="AD107" s="19" t="s">
        <v>4873</v>
      </c>
      <c r="AE107" s="19" t="s">
        <v>4874</v>
      </c>
      <c r="AF107" s="19" t="s">
        <v>4875</v>
      </c>
      <c r="AG107" s="23">
        <v>5795300</v>
      </c>
      <c r="AH107" s="23" t="s">
        <v>6249</v>
      </c>
      <c r="AI107" s="23">
        <v>120449717</v>
      </c>
      <c r="AJ107" s="120">
        <v>35227027</v>
      </c>
      <c r="AK107" s="23" t="s">
        <v>6244</v>
      </c>
      <c r="AL107" s="20">
        <v>5152</v>
      </c>
      <c r="AM107" s="20">
        <v>0</v>
      </c>
      <c r="AN107" s="20">
        <v>0</v>
      </c>
      <c r="AO107" s="20">
        <v>0</v>
      </c>
      <c r="AP107" s="48"/>
      <c r="AQ107" s="39" t="s">
        <v>5365</v>
      </c>
      <c r="AR107" s="23">
        <v>0</v>
      </c>
      <c r="AS107" s="40">
        <v>0</v>
      </c>
      <c r="AT107" s="41">
        <v>0</v>
      </c>
      <c r="AU107" s="39" t="s">
        <v>6349</v>
      </c>
      <c r="AV107" s="19">
        <v>0</v>
      </c>
      <c r="AW107" s="19">
        <v>0</v>
      </c>
      <c r="AX107" s="19">
        <v>5152</v>
      </c>
      <c r="AY107" s="23">
        <f t="shared" si="22"/>
        <v>5152</v>
      </c>
      <c r="AZ107" s="40">
        <f t="shared" si="24"/>
        <v>0.97575757575757571</v>
      </c>
      <c r="BA107" s="41">
        <v>1065537</v>
      </c>
      <c r="BB107" s="187">
        <v>0</v>
      </c>
      <c r="BC107" s="44">
        <v>0</v>
      </c>
      <c r="BD107" s="191">
        <f t="shared" si="23"/>
        <v>0</v>
      </c>
      <c r="BE107" s="23"/>
      <c r="BF107" s="23"/>
      <c r="BG107" s="23"/>
      <c r="BH107" s="23"/>
      <c r="BI107" s="23"/>
      <c r="BJ107" s="23"/>
      <c r="BK107" s="40"/>
      <c r="BL107" s="44"/>
      <c r="BM107" s="41"/>
      <c r="BN107" s="45"/>
    </row>
    <row r="108" spans="1:66" s="19" customFormat="1" x14ac:dyDescent="0.25">
      <c r="A108" s="218">
        <v>35227028</v>
      </c>
      <c r="B108" s="222" t="s">
        <v>5499</v>
      </c>
      <c r="C108" s="23">
        <v>13</v>
      </c>
      <c r="D108" s="23" t="str" cm="1">
        <f t="array" ref="D108">IFERROR(_xlfn.IFS(U108&lt;727,"MEET", AB108="FRRB","MEET", AB108="PSPS","MEET"),"No")</f>
        <v>MEET</v>
      </c>
      <c r="E108" s="23" t="str" cm="1">
        <f t="array" ref="E108">IFERROR(_xlfn.IFS(AM108&gt;0,"MEET", AN108&gt;0,"MEET"),"No")</f>
        <v>No</v>
      </c>
      <c r="F108" s="100">
        <v>2021053</v>
      </c>
      <c r="G108" s="37"/>
      <c r="H108" s="37">
        <f t="shared" si="19"/>
        <v>0.61723484848484844</v>
      </c>
      <c r="I108" s="37">
        <f t="shared" si="20"/>
        <v>0.61723484848484844</v>
      </c>
      <c r="J108" s="20">
        <v>2021</v>
      </c>
      <c r="K108" s="37"/>
      <c r="L108" s="37"/>
      <c r="M108" s="37">
        <f t="shared" si="21"/>
        <v>0</v>
      </c>
      <c r="N108" s="21">
        <v>0</v>
      </c>
      <c r="O108" s="23" t="s">
        <v>4878</v>
      </c>
      <c r="P108" s="22">
        <v>43141101</v>
      </c>
      <c r="Q108" s="19" t="s">
        <v>2411</v>
      </c>
      <c r="R108" s="23" t="s">
        <v>2417</v>
      </c>
      <c r="S108" s="38">
        <f>IFERROR(VLOOKUP(R108,[47]conductor_pz_summary_hftd_23_re!$B$2:$Q$3636,8,FALSE),0)</f>
        <v>110</v>
      </c>
      <c r="T108" s="201">
        <f>IFERROR(VLOOKUP(R108,[48]conductor_pz_summary_hftd_23_re!$B$2:$H$3636,7,0),0)/1609</f>
        <v>10.699357953170976</v>
      </c>
      <c r="U108" s="23">
        <f>IFERROR(VLOOKUP(R108,[47]conductor_pz_summary_hftd_23_re!$B$2:$Q$3636,14,FALSE),0)</f>
        <v>468</v>
      </c>
      <c r="V108" s="37">
        <f t="shared" si="12"/>
        <v>17.632724796949901</v>
      </c>
      <c r="W108" s="202">
        <f>IFERROR(VLOOKUP(R108,[47]conductor_pz_summary_hftd_23_re!$B$2:$Q$3636,13,FALSE),0)</f>
        <v>0.16029749815409</v>
      </c>
      <c r="X108" s="73">
        <f>IFERROR(VLOOKUP(R108,conductor_pz_summary_hftd_23_re!$B$2:$N$3636,13,FALSE),0)</f>
        <v>729</v>
      </c>
      <c r="Y108" s="203">
        <f t="shared" si="13"/>
        <v>0.63067242024749737</v>
      </c>
      <c r="Z108" s="23">
        <v>375</v>
      </c>
      <c r="AA108" s="23" t="s">
        <v>4871</v>
      </c>
      <c r="AB108" s="23" t="s">
        <v>4868</v>
      </c>
      <c r="AC108" s="19" t="s">
        <v>4872</v>
      </c>
      <c r="AD108" s="19" t="s">
        <v>4873</v>
      </c>
      <c r="AE108" s="19" t="s">
        <v>4874</v>
      </c>
      <c r="AF108" s="19" t="s">
        <v>4875</v>
      </c>
      <c r="AG108" s="23">
        <v>5795300</v>
      </c>
      <c r="AH108" s="23" t="s">
        <v>6250</v>
      </c>
      <c r="AI108" s="23">
        <v>120449719</v>
      </c>
      <c r="AJ108" s="120">
        <v>35227028</v>
      </c>
      <c r="AK108" s="23" t="s">
        <v>6245</v>
      </c>
      <c r="AL108" s="20">
        <v>3259</v>
      </c>
      <c r="AM108" s="20">
        <v>0</v>
      </c>
      <c r="AN108" s="20">
        <v>0</v>
      </c>
      <c r="AO108" s="20">
        <v>0</v>
      </c>
      <c r="AP108" s="48"/>
      <c r="AQ108" s="39" t="s">
        <v>5365</v>
      </c>
      <c r="AR108" s="23">
        <v>0</v>
      </c>
      <c r="AS108" s="40">
        <v>0</v>
      </c>
      <c r="AT108" s="41">
        <v>0</v>
      </c>
      <c r="AU108" s="39" t="s">
        <v>6349</v>
      </c>
      <c r="AV108" s="19">
        <v>0</v>
      </c>
      <c r="AW108" s="19">
        <v>0</v>
      </c>
      <c r="AX108" s="19">
        <v>3259</v>
      </c>
      <c r="AY108" s="23">
        <f t="shared" si="22"/>
        <v>3259</v>
      </c>
      <c r="AZ108" s="40">
        <f t="shared" si="24"/>
        <v>0.61723484848484844</v>
      </c>
      <c r="BA108" s="41">
        <v>684026</v>
      </c>
      <c r="BB108" s="187">
        <v>0</v>
      </c>
      <c r="BC108" s="44">
        <v>0</v>
      </c>
      <c r="BD108" s="191">
        <f t="shared" si="23"/>
        <v>0</v>
      </c>
      <c r="BE108" s="23"/>
      <c r="BF108" s="23"/>
      <c r="BG108" s="23"/>
      <c r="BH108" s="23"/>
      <c r="BI108" s="23"/>
      <c r="BJ108" s="23"/>
      <c r="BK108" s="40"/>
      <c r="BL108" s="44"/>
      <c r="BM108" s="41"/>
      <c r="BN108" s="45"/>
    </row>
    <row r="109" spans="1:66" s="19" customFormat="1" x14ac:dyDescent="0.25">
      <c r="A109" s="218">
        <v>35227029</v>
      </c>
      <c r="B109" s="222" t="s">
        <v>5499</v>
      </c>
      <c r="C109" s="23">
        <v>13</v>
      </c>
      <c r="D109" s="23" t="str" cm="1">
        <f t="array" ref="D109">IFERROR(_xlfn.IFS(U109&lt;727,"MEET", AB109="FRRB","MEET", AB109="PSPS","MEET"),"No")</f>
        <v>MEET</v>
      </c>
      <c r="E109" s="23" t="str" cm="1">
        <f t="array" ref="E109">IFERROR(_xlfn.IFS(AM109&gt;0,"MEET", AN109&gt;0,"MEET"),"No")</f>
        <v>No</v>
      </c>
      <c r="F109" s="100">
        <v>2021054</v>
      </c>
      <c r="G109" s="37"/>
      <c r="H109" s="37">
        <f t="shared" si="19"/>
        <v>1.0886363636363636</v>
      </c>
      <c r="I109" s="37">
        <f t="shared" si="20"/>
        <v>1.0886363636363636</v>
      </c>
      <c r="J109" s="20">
        <v>2021</v>
      </c>
      <c r="K109" s="37"/>
      <c r="L109" s="37"/>
      <c r="M109" s="37">
        <f t="shared" si="21"/>
        <v>0</v>
      </c>
      <c r="N109" s="21">
        <v>0</v>
      </c>
      <c r="O109" s="23" t="s">
        <v>4878</v>
      </c>
      <c r="P109" s="22">
        <v>43141101</v>
      </c>
      <c r="Q109" s="19" t="s">
        <v>2411</v>
      </c>
      <c r="R109" s="23" t="s">
        <v>2417</v>
      </c>
      <c r="S109" s="38">
        <f>IFERROR(VLOOKUP(R109,[47]conductor_pz_summary_hftd_23_re!$B$2:$Q$3636,8,FALSE),0)</f>
        <v>110</v>
      </c>
      <c r="T109" s="201">
        <f>IFERROR(VLOOKUP(R109,[48]conductor_pz_summary_hftd_23_re!$B$2:$H$3636,7,0),0)/1609</f>
        <v>10.699357953170976</v>
      </c>
      <c r="U109" s="23">
        <f>IFERROR(VLOOKUP(R109,[47]conductor_pz_summary_hftd_23_re!$B$2:$Q$3636,14,FALSE),0)</f>
        <v>468</v>
      </c>
      <c r="V109" s="37">
        <f t="shared" si="12"/>
        <v>17.632724796949901</v>
      </c>
      <c r="W109" s="202">
        <f>IFERROR(VLOOKUP(R109,[47]conductor_pz_summary_hftd_23_re!$B$2:$Q$3636,13,FALSE),0)</f>
        <v>0.16029749815409</v>
      </c>
      <c r="X109" s="73">
        <f>IFERROR(VLOOKUP(R109,conductor_pz_summary_hftd_23_re!$B$2:$N$3636,13,FALSE),0)</f>
        <v>729</v>
      </c>
      <c r="Y109" s="203">
        <f t="shared" si="13"/>
        <v>1.1123366282855525</v>
      </c>
      <c r="Z109" s="23">
        <v>375</v>
      </c>
      <c r="AA109" s="23" t="s">
        <v>4871</v>
      </c>
      <c r="AB109" s="23" t="s">
        <v>4868</v>
      </c>
      <c r="AC109" s="19" t="s">
        <v>4872</v>
      </c>
      <c r="AD109" s="19" t="s">
        <v>4873</v>
      </c>
      <c r="AE109" s="19" t="s">
        <v>4874</v>
      </c>
      <c r="AF109" s="19" t="s">
        <v>4875</v>
      </c>
      <c r="AG109" s="23">
        <v>5795300</v>
      </c>
      <c r="AH109" s="23" t="s">
        <v>6251</v>
      </c>
      <c r="AI109" s="23">
        <v>120449800</v>
      </c>
      <c r="AJ109" s="120">
        <v>35227029</v>
      </c>
      <c r="AK109" s="23" t="s">
        <v>6246</v>
      </c>
      <c r="AL109" s="20">
        <v>5748</v>
      </c>
      <c r="AM109" s="20">
        <v>0</v>
      </c>
      <c r="AN109" s="20">
        <v>0</v>
      </c>
      <c r="AO109" s="20">
        <v>0</v>
      </c>
      <c r="AP109" s="48"/>
      <c r="AQ109" s="39" t="s">
        <v>5365</v>
      </c>
      <c r="AR109" s="23">
        <v>0</v>
      </c>
      <c r="AS109" s="40">
        <v>0</v>
      </c>
      <c r="AT109" s="41">
        <v>0</v>
      </c>
      <c r="AU109" s="39" t="s">
        <v>6349</v>
      </c>
      <c r="AV109" s="19">
        <v>0</v>
      </c>
      <c r="AW109" s="19">
        <v>0</v>
      </c>
      <c r="AX109" s="19">
        <v>5748</v>
      </c>
      <c r="AY109" s="23">
        <f t="shared" si="22"/>
        <v>5748</v>
      </c>
      <c r="AZ109" s="40">
        <f t="shared" si="24"/>
        <v>1.0886363636363636</v>
      </c>
      <c r="BA109" s="41">
        <v>1198801</v>
      </c>
      <c r="BB109" s="187">
        <v>0</v>
      </c>
      <c r="BC109" s="44">
        <v>0</v>
      </c>
      <c r="BD109" s="191">
        <f t="shared" si="23"/>
        <v>0</v>
      </c>
      <c r="BE109" s="23"/>
      <c r="BF109" s="23"/>
      <c r="BG109" s="23"/>
      <c r="BH109" s="23"/>
      <c r="BI109" s="23"/>
      <c r="BJ109" s="23"/>
      <c r="BK109" s="40"/>
      <c r="BL109" s="44"/>
      <c r="BM109" s="41"/>
      <c r="BN109" s="45"/>
    </row>
    <row r="110" spans="1:66" s="19" customFormat="1" x14ac:dyDescent="0.25">
      <c r="A110" s="218">
        <v>35227030</v>
      </c>
      <c r="B110" s="222" t="s">
        <v>5499</v>
      </c>
      <c r="C110" s="23">
        <v>13</v>
      </c>
      <c r="D110" s="23" t="str" cm="1">
        <f t="array" ref="D110">IFERROR(_xlfn.IFS(U110&lt;727,"MEET", AB110="FRRB","MEET", AB110="PSPS","MEET"),"No")</f>
        <v>MEET</v>
      </c>
      <c r="E110" s="23" t="str" cm="1">
        <f t="array" ref="E110">IFERROR(_xlfn.IFS(AM110&gt;0,"MEET", AN110&gt;0,"MEET"),"No")</f>
        <v>MEET</v>
      </c>
      <c r="F110" s="100">
        <v>2021055</v>
      </c>
      <c r="G110" s="37"/>
      <c r="H110" s="37">
        <f t="shared" si="19"/>
        <v>1.7071969696969698</v>
      </c>
      <c r="I110" s="37">
        <f t="shared" si="20"/>
        <v>1.7071969696969698</v>
      </c>
      <c r="J110" s="20">
        <v>2021</v>
      </c>
      <c r="K110" s="37"/>
      <c r="L110" s="37"/>
      <c r="M110" s="37">
        <f t="shared" si="21"/>
        <v>0</v>
      </c>
      <c r="N110" s="21">
        <v>0</v>
      </c>
      <c r="O110" s="23" t="s">
        <v>4878</v>
      </c>
      <c r="P110" s="22">
        <v>43141101</v>
      </c>
      <c r="Q110" s="19" t="s">
        <v>2411</v>
      </c>
      <c r="R110" s="23" t="s">
        <v>2417</v>
      </c>
      <c r="S110" s="38">
        <f>IFERROR(VLOOKUP(R110,[47]conductor_pz_summary_hftd_23_re!$B$2:$Q$3636,8,FALSE),0)</f>
        <v>110</v>
      </c>
      <c r="T110" s="201">
        <f>IFERROR(VLOOKUP(R110,[48]conductor_pz_summary_hftd_23_re!$B$2:$H$3636,7,0),0)/1609</f>
        <v>10.699357953170976</v>
      </c>
      <c r="U110" s="23">
        <f>IFERROR(VLOOKUP(R110,[47]conductor_pz_summary_hftd_23_re!$B$2:$Q$3636,14,FALSE),0)</f>
        <v>468</v>
      </c>
      <c r="V110" s="37">
        <f t="shared" si="12"/>
        <v>17.632724796949901</v>
      </c>
      <c r="W110" s="202">
        <f>IFERROR(VLOOKUP(R110,[47]conductor_pz_summary_hftd_23_re!$B$2:$Q$3636,13,FALSE),0)</f>
        <v>0.16029749815409</v>
      </c>
      <c r="X110" s="73">
        <f>IFERROR(VLOOKUP(R110,conductor_pz_summary_hftd_23_re!$B$2:$N$3636,13,FALSE),0)</f>
        <v>729</v>
      </c>
      <c r="Y110" s="203">
        <f t="shared" si="13"/>
        <v>2.5274745488014072</v>
      </c>
      <c r="Z110" s="23">
        <v>375</v>
      </c>
      <c r="AA110" s="23" t="s">
        <v>4871</v>
      </c>
      <c r="AB110" s="23" t="s">
        <v>4868</v>
      </c>
      <c r="AC110" s="19" t="s">
        <v>4872</v>
      </c>
      <c r="AD110" s="19" t="s">
        <v>4873</v>
      </c>
      <c r="AE110" s="19" t="s">
        <v>4874</v>
      </c>
      <c r="AF110" s="19" t="s">
        <v>4875</v>
      </c>
      <c r="AG110" s="23">
        <v>5795300</v>
      </c>
      <c r="AH110" s="23" t="s">
        <v>6252</v>
      </c>
      <c r="AI110" s="23">
        <v>120449801</v>
      </c>
      <c r="AJ110" s="120">
        <v>35227030</v>
      </c>
      <c r="AK110" s="23" t="s">
        <v>6247</v>
      </c>
      <c r="AL110" s="20">
        <v>2233</v>
      </c>
      <c r="AM110" s="20">
        <v>6781</v>
      </c>
      <c r="AN110" s="20">
        <v>0</v>
      </c>
      <c r="AO110" s="20">
        <v>0</v>
      </c>
      <c r="AP110" s="48"/>
      <c r="AQ110" s="39" t="s">
        <v>5365</v>
      </c>
      <c r="AR110" s="23">
        <v>0</v>
      </c>
      <c r="AS110" s="40">
        <v>0</v>
      </c>
      <c r="AT110" s="41">
        <v>0</v>
      </c>
      <c r="AU110" s="39" t="s">
        <v>6349</v>
      </c>
      <c r="AV110" s="19">
        <v>0</v>
      </c>
      <c r="AW110" s="19">
        <v>6781</v>
      </c>
      <c r="AX110" s="19">
        <v>2233</v>
      </c>
      <c r="AY110" s="23">
        <f t="shared" si="22"/>
        <v>9014</v>
      </c>
      <c r="AZ110" s="40">
        <f t="shared" si="24"/>
        <v>1.7071969696969698</v>
      </c>
      <c r="BA110" s="41">
        <v>2820684</v>
      </c>
      <c r="BB110" s="187">
        <v>0</v>
      </c>
      <c r="BC110" s="44">
        <v>0</v>
      </c>
      <c r="BD110" s="191">
        <f t="shared" si="23"/>
        <v>0</v>
      </c>
      <c r="BE110" s="23"/>
      <c r="BF110" s="23"/>
      <c r="BG110" s="23"/>
      <c r="BH110" s="23"/>
      <c r="BI110" s="23"/>
      <c r="BJ110" s="23"/>
      <c r="BK110" s="40"/>
      <c r="BL110" s="44"/>
      <c r="BM110" s="41"/>
      <c r="BN110" s="45"/>
    </row>
    <row r="111" spans="1:66" s="19" customFormat="1" x14ac:dyDescent="0.25">
      <c r="A111" s="218">
        <v>35227031</v>
      </c>
      <c r="B111" s="222" t="s">
        <v>5499</v>
      </c>
      <c r="C111" s="23">
        <v>13</v>
      </c>
      <c r="D111" s="23" t="str" cm="1">
        <f t="array" ref="D111">IFERROR(_xlfn.IFS(U111&lt;727,"MEET", AB111="FRRB","MEET", AB111="PSPS","MEET"),"No")</f>
        <v>MEET</v>
      </c>
      <c r="E111" s="23" t="str" cm="1">
        <f t="array" ref="E111">IFERROR(_xlfn.IFS(AM111&gt;0,"MEET", AN111&gt;0,"MEET"),"No")</f>
        <v>MEET</v>
      </c>
      <c r="F111" s="100">
        <v>2021056</v>
      </c>
      <c r="G111" s="37"/>
      <c r="H111" s="37">
        <f t="shared" si="19"/>
        <v>2.0299999999999998</v>
      </c>
      <c r="I111" s="37">
        <f t="shared" si="20"/>
        <v>2.0299999999999998</v>
      </c>
      <c r="J111" s="20">
        <v>2021</v>
      </c>
      <c r="K111" s="37"/>
      <c r="L111" s="37"/>
      <c r="M111" s="37">
        <f t="shared" si="21"/>
        <v>0</v>
      </c>
      <c r="N111" s="21">
        <v>0</v>
      </c>
      <c r="O111" s="23" t="s">
        <v>4878</v>
      </c>
      <c r="P111" s="22">
        <v>43141101</v>
      </c>
      <c r="Q111" s="19" t="s">
        <v>2411</v>
      </c>
      <c r="R111" s="23" t="s">
        <v>2417</v>
      </c>
      <c r="S111" s="38">
        <f>IFERROR(VLOOKUP(R111,[47]conductor_pz_summary_hftd_23_re!$B$2:$Q$3636,8,FALSE),0)</f>
        <v>110</v>
      </c>
      <c r="T111" s="201">
        <f>IFERROR(VLOOKUP(R111,[48]conductor_pz_summary_hftd_23_re!$B$2:$H$3636,7,0),0)/1609</f>
        <v>10.699357953170976</v>
      </c>
      <c r="U111" s="23">
        <f>IFERROR(VLOOKUP(R111,[47]conductor_pz_summary_hftd_23_re!$B$2:$Q$3636,14,FALSE),0)</f>
        <v>468</v>
      </c>
      <c r="V111" s="37">
        <f t="shared" si="12"/>
        <v>17.632724796949901</v>
      </c>
      <c r="W111" s="202">
        <f>IFERROR(VLOOKUP(R111,[47]conductor_pz_summary_hftd_23_re!$B$2:$Q$3636,13,FALSE),0)</f>
        <v>0.16029749815409</v>
      </c>
      <c r="X111" s="73">
        <f>IFERROR(VLOOKUP(R111,conductor_pz_summary_hftd_23_re!$B$2:$N$3636,13,FALSE),0)</f>
        <v>729</v>
      </c>
      <c r="Y111" s="203">
        <f t="shared" si="13"/>
        <v>3.0193321171124738</v>
      </c>
      <c r="Z111" s="23">
        <v>375</v>
      </c>
      <c r="AA111" s="23" t="s">
        <v>4871</v>
      </c>
      <c r="AB111" s="23" t="s">
        <v>4868</v>
      </c>
      <c r="AC111" s="19" t="s">
        <v>4872</v>
      </c>
      <c r="AD111" s="19" t="s">
        <v>4873</v>
      </c>
      <c r="AE111" s="19" t="s">
        <v>4874</v>
      </c>
      <c r="AF111" s="19" t="s">
        <v>4875</v>
      </c>
      <c r="AG111" s="23">
        <v>5795300</v>
      </c>
      <c r="AH111" s="23" t="s">
        <v>6253</v>
      </c>
      <c r="AI111" s="23">
        <v>120449802</v>
      </c>
      <c r="AJ111" s="120">
        <v>35227031</v>
      </c>
      <c r="AK111" s="23" t="s">
        <v>6248</v>
      </c>
      <c r="AL111" s="20">
        <f>0.48*5280</f>
        <v>2534.4</v>
      </c>
      <c r="AM111" s="20">
        <f>1.55*5280</f>
        <v>8184</v>
      </c>
      <c r="AN111" s="20">
        <v>0</v>
      </c>
      <c r="AO111" s="20">
        <v>0</v>
      </c>
      <c r="AP111" s="48"/>
      <c r="AQ111" s="39" t="s">
        <v>5365</v>
      </c>
      <c r="AR111" s="23">
        <v>0</v>
      </c>
      <c r="AS111" s="40">
        <v>0</v>
      </c>
      <c r="AT111" s="41">
        <v>0</v>
      </c>
      <c r="AU111" s="39" t="s">
        <v>6349</v>
      </c>
      <c r="AV111" s="19">
        <v>0</v>
      </c>
      <c r="AW111" s="19">
        <v>7672</v>
      </c>
      <c r="AX111" s="19">
        <v>2834</v>
      </c>
      <c r="AY111" s="23">
        <f t="shared" si="22"/>
        <v>10506</v>
      </c>
      <c r="AZ111" s="40">
        <f t="shared" si="24"/>
        <v>1.9897727272727272</v>
      </c>
      <c r="BA111" s="41">
        <v>3192728</v>
      </c>
      <c r="BB111" s="187">
        <v>0</v>
      </c>
      <c r="BC111" s="44">
        <v>0</v>
      </c>
      <c r="BD111" s="191">
        <f t="shared" si="23"/>
        <v>0</v>
      </c>
      <c r="BE111" s="23"/>
      <c r="BF111" s="23"/>
      <c r="BG111" s="23"/>
      <c r="BH111" s="23"/>
      <c r="BI111" s="23"/>
      <c r="BJ111" s="23"/>
      <c r="BK111" s="40"/>
      <c r="BL111" s="44"/>
      <c r="BM111" s="41"/>
      <c r="BN111" s="45"/>
    </row>
    <row r="112" spans="1:66" s="19" customFormat="1" x14ac:dyDescent="0.25">
      <c r="A112" s="218">
        <v>35192282</v>
      </c>
      <c r="B112" s="222" t="s">
        <v>5499</v>
      </c>
      <c r="C112" s="23">
        <v>13</v>
      </c>
      <c r="D112" s="23" t="str" cm="1">
        <f t="array" ref="D112">IFERROR(_xlfn.IFS(U112&lt;727,"MEET", AB112="FRRB","MEET", AB112="PSPS","MEET"),"No")</f>
        <v>MEET</v>
      </c>
      <c r="E112" s="23" t="str" cm="1">
        <f t="array" ref="E112">IFERROR(_xlfn.IFS(AM112&gt;0,"MEET", AN112&gt;0,"MEET"),"No")</f>
        <v>MEET</v>
      </c>
      <c r="F112" s="100">
        <v>2021057</v>
      </c>
      <c r="G112" s="37"/>
      <c r="H112" s="37">
        <f t="shared" si="19"/>
        <v>2.2621212121212122</v>
      </c>
      <c r="I112" s="37">
        <f t="shared" si="20"/>
        <v>2.2621212121212122</v>
      </c>
      <c r="J112" s="20">
        <v>2021</v>
      </c>
      <c r="K112" s="37"/>
      <c r="L112" s="37"/>
      <c r="M112" s="37">
        <f t="shared" si="21"/>
        <v>0</v>
      </c>
      <c r="N112" s="21">
        <v>20927.099999999999</v>
      </c>
      <c r="O112" s="217" t="s">
        <v>4878</v>
      </c>
      <c r="P112" s="22">
        <v>43141101</v>
      </c>
      <c r="Q112" s="19" t="s">
        <v>2411</v>
      </c>
      <c r="R112" s="23" t="s">
        <v>2417</v>
      </c>
      <c r="S112" s="38">
        <f>IFERROR(VLOOKUP(R112,[47]conductor_pz_summary_hftd_23_re!$B$2:$Q$3636,8,FALSE),0)</f>
        <v>110</v>
      </c>
      <c r="T112" s="201">
        <f>IFERROR(VLOOKUP(R112,[48]conductor_pz_summary_hftd_23_re!$B$2:$H$3636,7,0),0)/1609</f>
        <v>10.699357953170976</v>
      </c>
      <c r="U112" s="23">
        <f>IFERROR(VLOOKUP(R112,[47]conductor_pz_summary_hftd_23_re!$B$2:$Q$3636,14,FALSE),0)</f>
        <v>468</v>
      </c>
      <c r="V112" s="37">
        <f t="shared" si="12"/>
        <v>17.632724796949901</v>
      </c>
      <c r="W112" s="202">
        <f>IFERROR(VLOOKUP(R112,[47]conductor_pz_summary_hftd_23_re!$B$2:$Q$3636,13,FALSE),0)</f>
        <v>0.16029749815409</v>
      </c>
      <c r="X112" s="73">
        <f>IFERROR(VLOOKUP(R112,conductor_pz_summary_hftd_23_re!$B$2:$N$3636,13,FALSE),0)</f>
        <v>729</v>
      </c>
      <c r="Y112" s="203">
        <f t="shared" si="1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6095</v>
      </c>
      <c r="AL112" s="20">
        <v>0</v>
      </c>
      <c r="AM112" s="20">
        <v>11944</v>
      </c>
      <c r="AN112" s="20">
        <v>0</v>
      </c>
      <c r="AO112" s="20">
        <v>0</v>
      </c>
      <c r="AP112" s="48" t="s">
        <v>5368</v>
      </c>
      <c r="AQ112" s="39" t="s">
        <v>5367</v>
      </c>
      <c r="AR112" s="23">
        <f>AS112*5280</f>
        <v>40920</v>
      </c>
      <c r="AS112" s="40">
        <v>7.75</v>
      </c>
      <c r="AT112" s="41">
        <v>11896580</v>
      </c>
      <c r="AU112" s="39" t="s">
        <v>6332</v>
      </c>
      <c r="AV112" s="19">
        <v>0</v>
      </c>
      <c r="AW112" s="19">
        <v>11944</v>
      </c>
      <c r="AY112" s="23">
        <f t="shared" si="22"/>
        <v>11944</v>
      </c>
      <c r="AZ112" s="40">
        <f t="shared" si="24"/>
        <v>2.2621212121212122</v>
      </c>
      <c r="BA112" s="41">
        <v>4133200</v>
      </c>
      <c r="BB112" s="187">
        <v>0</v>
      </c>
      <c r="BC112" s="44">
        <v>0</v>
      </c>
      <c r="BD112" s="191">
        <f t="shared" si="23"/>
        <v>0</v>
      </c>
      <c r="BE112" s="23"/>
      <c r="BF112" s="23"/>
      <c r="BG112" s="23"/>
      <c r="BH112" s="23"/>
      <c r="BI112" s="23"/>
      <c r="BJ112" s="23"/>
      <c r="BK112" s="40"/>
      <c r="BL112" s="44"/>
      <c r="BM112" s="41"/>
      <c r="BN112" s="45"/>
    </row>
    <row r="113" spans="1:66" s="19" customFormat="1" x14ac:dyDescent="0.25">
      <c r="A113" s="218">
        <v>35226621</v>
      </c>
      <c r="B113" s="222" t="s">
        <v>5499</v>
      </c>
      <c r="C113" s="23">
        <v>13</v>
      </c>
      <c r="D113" s="23" t="str" cm="1">
        <f t="array" ref="D113">IFERROR(_xlfn.IFS(U113&lt;727,"MEET", AB113="FRRB","MEET", AB113="PSPS","MEET"),"No")</f>
        <v>MEET</v>
      </c>
      <c r="E113" s="23" t="str" cm="1">
        <f t="array" ref="E113">IFERROR(_xlfn.IFS(AM113&gt;0,"MEET", AN113&gt;0,"MEET"),"No")</f>
        <v>MEET</v>
      </c>
      <c r="F113" s="100">
        <v>2021058</v>
      </c>
      <c r="G113" s="37"/>
      <c r="H113" s="37">
        <f t="shared" si="19"/>
        <v>2.65625</v>
      </c>
      <c r="I113" s="37">
        <f t="shared" si="20"/>
        <v>2.65625</v>
      </c>
      <c r="J113" s="20">
        <v>2021</v>
      </c>
      <c r="K113" s="37"/>
      <c r="L113" s="37"/>
      <c r="M113" s="37">
        <f t="shared" si="21"/>
        <v>0</v>
      </c>
      <c r="N113" s="21">
        <v>0</v>
      </c>
      <c r="O113" s="23" t="s">
        <v>4878</v>
      </c>
      <c r="P113" s="22">
        <v>43141101</v>
      </c>
      <c r="Q113" s="19" t="s">
        <v>2411</v>
      </c>
      <c r="R113" s="23" t="s">
        <v>2417</v>
      </c>
      <c r="S113" s="38">
        <f>IFERROR(VLOOKUP(R113,[47]conductor_pz_summary_hftd_23_re!$B$2:$Q$3636,8,FALSE),0)</f>
        <v>110</v>
      </c>
      <c r="T113" s="201">
        <f>IFERROR(VLOOKUP(R113,[48]conductor_pz_summary_hftd_23_re!$B$2:$H$3636,7,0),0)/1609</f>
        <v>10.699357953170976</v>
      </c>
      <c r="U113" s="23">
        <f>IFERROR(VLOOKUP(R113,[47]conductor_pz_summary_hftd_23_re!$B$2:$Q$3636,14,FALSE),0)</f>
        <v>468</v>
      </c>
      <c r="V113" s="37">
        <f t="shared" si="12"/>
        <v>17.632724796949901</v>
      </c>
      <c r="W113" s="202">
        <f>IFERROR(VLOOKUP(R113,[47]conductor_pz_summary_hftd_23_re!$B$2:$Q$3636,13,FALSE),0)</f>
        <v>0.16029749815409</v>
      </c>
      <c r="X113" s="73">
        <f>IFERROR(VLOOKUP(R113,conductor_pz_summary_hftd_23_re!$B$2:$N$3636,13,FALSE),0)</f>
        <v>729</v>
      </c>
      <c r="Y113" s="203">
        <f t="shared" si="13"/>
        <v>3.9941254884690141</v>
      </c>
      <c r="Z113" s="23">
        <v>375</v>
      </c>
      <c r="AA113" s="23" t="s">
        <v>4871</v>
      </c>
      <c r="AB113" s="23" t="s">
        <v>4868</v>
      </c>
      <c r="AC113" s="19" t="s">
        <v>4872</v>
      </c>
      <c r="AD113" s="19" t="s">
        <v>4873</v>
      </c>
      <c r="AE113" s="19" t="s">
        <v>4874</v>
      </c>
      <c r="AF113" s="19" t="s">
        <v>4875</v>
      </c>
      <c r="AG113" s="23">
        <v>5795152</v>
      </c>
      <c r="AH113" s="23" t="s">
        <v>6100</v>
      </c>
      <c r="AI113" s="23">
        <v>120445224</v>
      </c>
      <c r="AJ113" s="120">
        <v>35226621</v>
      </c>
      <c r="AK113" s="23" t="s">
        <v>6096</v>
      </c>
      <c r="AL113" s="20">
        <v>2941</v>
      </c>
      <c r="AM113" s="20">
        <v>11084</v>
      </c>
      <c r="AN113" s="20">
        <v>0</v>
      </c>
      <c r="AO113" s="20">
        <v>0</v>
      </c>
      <c r="AP113" s="48" t="s">
        <v>5368</v>
      </c>
      <c r="AQ113" s="39" t="s">
        <v>5367</v>
      </c>
      <c r="AR113" s="23">
        <v>0</v>
      </c>
      <c r="AS113" s="40">
        <v>0</v>
      </c>
      <c r="AT113" s="41">
        <v>0</v>
      </c>
      <c r="AU113" s="39" t="s">
        <v>6332</v>
      </c>
      <c r="AV113" s="19">
        <v>0</v>
      </c>
      <c r="AW113" s="19">
        <v>11084</v>
      </c>
      <c r="AX113" s="19">
        <v>2941</v>
      </c>
      <c r="AY113" s="23">
        <f t="shared" si="22"/>
        <v>14025</v>
      </c>
      <c r="AZ113" s="40">
        <f t="shared" si="24"/>
        <v>2.65625</v>
      </c>
      <c r="BA113" s="41">
        <v>4029758</v>
      </c>
      <c r="BB113" s="187">
        <v>0</v>
      </c>
      <c r="BC113" s="44">
        <v>0</v>
      </c>
      <c r="BD113" s="191">
        <f t="shared" si="23"/>
        <v>0</v>
      </c>
      <c r="BE113" s="23"/>
      <c r="BF113" s="23"/>
      <c r="BG113" s="23"/>
      <c r="BH113" s="23"/>
      <c r="BI113" s="23"/>
      <c r="BJ113" s="23"/>
      <c r="BK113" s="40"/>
      <c r="BL113" s="44"/>
      <c r="BM113" s="41"/>
      <c r="BN113" s="45"/>
    </row>
    <row r="114" spans="1:66" s="19" customFormat="1" x14ac:dyDescent="0.25">
      <c r="A114" s="218">
        <v>35226622</v>
      </c>
      <c r="B114" s="222" t="s">
        <v>5499</v>
      </c>
      <c r="C114" s="23">
        <v>13</v>
      </c>
      <c r="D114" s="23" t="str" cm="1">
        <f t="array" ref="D114">IFERROR(_xlfn.IFS(U114&lt;727,"MEET", AB114="FRRB","MEET", AB114="PSPS","MEET"),"No")</f>
        <v>MEET</v>
      </c>
      <c r="E114" s="23" t="str" cm="1">
        <f t="array" ref="E114">IFERROR(_xlfn.IFS(AM114&gt;0,"MEET", AN114&gt;0,"MEET"),"No")</f>
        <v>No</v>
      </c>
      <c r="F114" s="100">
        <v>2021059</v>
      </c>
      <c r="G114" s="37"/>
      <c r="H114" s="37">
        <f t="shared" si="19"/>
        <v>0.87840909090909092</v>
      </c>
      <c r="I114" s="37">
        <f t="shared" si="20"/>
        <v>0.87840909090909092</v>
      </c>
      <c r="J114" s="20">
        <v>2021</v>
      </c>
      <c r="K114" s="37"/>
      <c r="L114" s="37"/>
      <c r="M114" s="37">
        <f t="shared" si="21"/>
        <v>0</v>
      </c>
      <c r="N114" s="21">
        <v>0</v>
      </c>
      <c r="O114" s="23" t="s">
        <v>4878</v>
      </c>
      <c r="P114" s="22">
        <v>43141101</v>
      </c>
      <c r="Q114" s="19" t="s">
        <v>2411</v>
      </c>
      <c r="R114" s="23" t="s">
        <v>2417</v>
      </c>
      <c r="S114" s="38">
        <f>IFERROR(VLOOKUP(R114,[47]conductor_pz_summary_hftd_23_re!$B$2:$Q$3636,8,FALSE),0)</f>
        <v>110</v>
      </c>
      <c r="T114" s="201">
        <f>IFERROR(VLOOKUP(R114,[48]conductor_pz_summary_hftd_23_re!$B$2:$H$3636,7,0),0)/1609</f>
        <v>10.699357953170976</v>
      </c>
      <c r="U114" s="23">
        <f>IFERROR(VLOOKUP(R114,[47]conductor_pz_summary_hftd_23_re!$B$2:$Q$3636,14,FALSE),0)</f>
        <v>468</v>
      </c>
      <c r="V114" s="37">
        <f t="shared" si="12"/>
        <v>17.632724796949901</v>
      </c>
      <c r="W114" s="202">
        <f>IFERROR(VLOOKUP(R114,[47]conductor_pz_summary_hftd_23_re!$B$2:$Q$3636,13,FALSE),0)</f>
        <v>0.16029749815409</v>
      </c>
      <c r="X114" s="73">
        <f>IFERROR(VLOOKUP(R114,conductor_pz_summary_hftd_23_re!$B$2:$N$3636,13,FALSE),0)</f>
        <v>729</v>
      </c>
      <c r="Y114" s="203">
        <f t="shared" si="13"/>
        <v>0.89753258211349896</v>
      </c>
      <c r="Z114" s="23">
        <v>375</v>
      </c>
      <c r="AA114" s="23" t="s">
        <v>4871</v>
      </c>
      <c r="AB114" s="23" t="s">
        <v>4868</v>
      </c>
      <c r="AC114" s="19" t="s">
        <v>4872</v>
      </c>
      <c r="AD114" s="19" t="s">
        <v>4873</v>
      </c>
      <c r="AE114" s="19" t="s">
        <v>4874</v>
      </c>
      <c r="AF114" s="19" t="s">
        <v>4875</v>
      </c>
      <c r="AG114" s="23">
        <v>5795152</v>
      </c>
      <c r="AH114" s="23" t="s">
        <v>6101</v>
      </c>
      <c r="AI114" s="23">
        <v>120445225</v>
      </c>
      <c r="AJ114" s="120">
        <v>35226622</v>
      </c>
      <c r="AK114" s="23" t="s">
        <v>6097</v>
      </c>
      <c r="AL114" s="20">
        <v>4638</v>
      </c>
      <c r="AM114" s="20">
        <v>0</v>
      </c>
      <c r="AN114" s="20">
        <v>0</v>
      </c>
      <c r="AO114" s="20">
        <v>0</v>
      </c>
      <c r="AP114" s="48" t="s">
        <v>5368</v>
      </c>
      <c r="AQ114" s="39" t="s">
        <v>5367</v>
      </c>
      <c r="AR114" s="23">
        <v>0</v>
      </c>
      <c r="AS114" s="40">
        <v>0</v>
      </c>
      <c r="AT114" s="41">
        <v>0</v>
      </c>
      <c r="AU114" s="39" t="s">
        <v>6332</v>
      </c>
      <c r="AV114" s="19">
        <v>0</v>
      </c>
      <c r="AW114" s="19">
        <v>0</v>
      </c>
      <c r="AX114" s="19">
        <v>4638</v>
      </c>
      <c r="AY114" s="23">
        <f t="shared" si="22"/>
        <v>4638</v>
      </c>
      <c r="AZ114" s="40">
        <f t="shared" si="24"/>
        <v>0.87840909090909092</v>
      </c>
      <c r="BA114" s="41">
        <v>1129975</v>
      </c>
      <c r="BB114" s="187">
        <v>0</v>
      </c>
      <c r="BC114" s="44">
        <v>0</v>
      </c>
      <c r="BD114" s="191">
        <f t="shared" si="23"/>
        <v>0</v>
      </c>
      <c r="BE114" s="23"/>
      <c r="BF114" s="23"/>
      <c r="BG114" s="23"/>
      <c r="BH114" s="23"/>
      <c r="BI114" s="23"/>
      <c r="BJ114" s="23"/>
      <c r="BK114" s="40"/>
      <c r="BL114" s="44"/>
      <c r="BM114" s="41"/>
      <c r="BN114" s="45"/>
    </row>
    <row r="115" spans="1:66" s="19" customFormat="1" x14ac:dyDescent="0.25">
      <c r="A115" s="218">
        <v>35226623</v>
      </c>
      <c r="B115" s="222" t="s">
        <v>5499</v>
      </c>
      <c r="C115" s="23">
        <v>13</v>
      </c>
      <c r="D115" s="23" t="str" cm="1">
        <f t="array" ref="D115">IFERROR(_xlfn.IFS(U115&lt;727,"MEET", AB115="FRRB","MEET", AB115="PSPS","MEET"),"No")</f>
        <v>MEET</v>
      </c>
      <c r="E115" s="23" t="str" cm="1">
        <f t="array" ref="E115">IFERROR(_xlfn.IFS(AM115&gt;0,"MEET", AN115&gt;0,"MEET"),"No")</f>
        <v>No</v>
      </c>
      <c r="F115" s="100">
        <v>2021060</v>
      </c>
      <c r="G115" s="37"/>
      <c r="H115" s="37">
        <f t="shared" si="19"/>
        <v>1.2952651515151514</v>
      </c>
      <c r="I115" s="37">
        <f t="shared" si="20"/>
        <v>1.2952651515151514</v>
      </c>
      <c r="J115" s="20">
        <v>2021</v>
      </c>
      <c r="K115" s="37"/>
      <c r="L115" s="37"/>
      <c r="M115" s="37">
        <f t="shared" si="21"/>
        <v>0</v>
      </c>
      <c r="N115" s="21">
        <v>0</v>
      </c>
      <c r="O115" s="23" t="s">
        <v>4878</v>
      </c>
      <c r="P115" s="22">
        <v>43141101</v>
      </c>
      <c r="Q115" s="19" t="s">
        <v>2411</v>
      </c>
      <c r="R115" s="23" t="s">
        <v>2417</v>
      </c>
      <c r="S115" s="38">
        <f>IFERROR(VLOOKUP(R115,[47]conductor_pz_summary_hftd_23_re!$B$2:$Q$3636,8,FALSE),0)</f>
        <v>110</v>
      </c>
      <c r="T115" s="201">
        <f>IFERROR(VLOOKUP(R115,[48]conductor_pz_summary_hftd_23_re!$B$2:$H$3636,7,0),0)/1609</f>
        <v>10.699357953170976</v>
      </c>
      <c r="U115" s="23">
        <f>IFERROR(VLOOKUP(R115,[47]conductor_pz_summary_hftd_23_re!$B$2:$Q$3636,14,FALSE),0)</f>
        <v>468</v>
      </c>
      <c r="V115" s="37">
        <f t="shared" si="12"/>
        <v>17.632724796949901</v>
      </c>
      <c r="W115" s="202">
        <f>IFERROR(VLOOKUP(R115,[47]conductor_pz_summary_hftd_23_re!$B$2:$Q$3636,13,FALSE),0)</f>
        <v>0.16029749815409</v>
      </c>
      <c r="X115" s="73">
        <f>IFERROR(VLOOKUP(R115,conductor_pz_summary_hftd_23_re!$B$2:$N$3636,13,FALSE),0)</f>
        <v>729</v>
      </c>
      <c r="Y115" s="203">
        <f t="shared" si="13"/>
        <v>1.323463848442048</v>
      </c>
      <c r="Z115" s="23">
        <v>375</v>
      </c>
      <c r="AA115" s="23" t="s">
        <v>4871</v>
      </c>
      <c r="AB115" s="23" t="s">
        <v>4868</v>
      </c>
      <c r="AC115" s="19" t="s">
        <v>4872</v>
      </c>
      <c r="AD115" s="19" t="s">
        <v>4873</v>
      </c>
      <c r="AE115" s="19" t="s">
        <v>4874</v>
      </c>
      <c r="AF115" s="19" t="s">
        <v>4875</v>
      </c>
      <c r="AG115" s="23">
        <v>5795152</v>
      </c>
      <c r="AH115" s="23" t="s">
        <v>6102</v>
      </c>
      <c r="AI115" s="23">
        <v>120445227</v>
      </c>
      <c r="AJ115" s="120">
        <v>35226623</v>
      </c>
      <c r="AK115" s="23" t="s">
        <v>6098</v>
      </c>
      <c r="AL115" s="20">
        <v>6839</v>
      </c>
      <c r="AM115" s="20">
        <v>0</v>
      </c>
      <c r="AN115" s="20">
        <v>0</v>
      </c>
      <c r="AO115" s="20">
        <v>0</v>
      </c>
      <c r="AP115" s="48" t="s">
        <v>5368</v>
      </c>
      <c r="AQ115" s="39" t="s">
        <v>5367</v>
      </c>
      <c r="AR115" s="23">
        <v>0</v>
      </c>
      <c r="AS115" s="40">
        <v>0</v>
      </c>
      <c r="AT115" s="41">
        <v>0</v>
      </c>
      <c r="AU115" s="39" t="s">
        <v>6332</v>
      </c>
      <c r="AV115" s="19">
        <v>0</v>
      </c>
      <c r="AW115" s="19">
        <v>0</v>
      </c>
      <c r="AX115" s="19">
        <v>6839</v>
      </c>
      <c r="AY115" s="23">
        <f t="shared" si="22"/>
        <v>6839</v>
      </c>
      <c r="AZ115" s="40">
        <f t="shared" si="24"/>
        <v>1.2952651515151514</v>
      </c>
      <c r="BA115" s="41">
        <v>1454442</v>
      </c>
      <c r="BB115" s="187">
        <v>0</v>
      </c>
      <c r="BC115" s="44">
        <v>0</v>
      </c>
      <c r="BD115" s="191">
        <f t="shared" si="23"/>
        <v>0</v>
      </c>
      <c r="BE115" s="23"/>
      <c r="BF115" s="23"/>
      <c r="BG115" s="23"/>
      <c r="BH115" s="23"/>
      <c r="BI115" s="23"/>
      <c r="BJ115" s="23"/>
      <c r="BK115" s="40"/>
      <c r="BL115" s="44"/>
      <c r="BM115" s="41"/>
      <c r="BN115" s="45"/>
    </row>
    <row r="116" spans="1:66" s="19" customFormat="1" x14ac:dyDescent="0.25">
      <c r="A116" s="218">
        <v>35226624</v>
      </c>
      <c r="B116" s="222" t="s">
        <v>5499</v>
      </c>
      <c r="C116" s="23">
        <v>13</v>
      </c>
      <c r="D116" s="23" t="str" cm="1">
        <f t="array" ref="D116">IFERROR(_xlfn.IFS(U116&lt;727,"MEET", AB116="FRRB","MEET", AB116="PSPS","MEET"),"No")</f>
        <v>MEET</v>
      </c>
      <c r="E116" s="23" t="str" cm="1">
        <f t="array" ref="E116">IFERROR(_xlfn.IFS(AM116&gt;0,"MEET", AN116&gt;0,"MEET"),"No")</f>
        <v>No</v>
      </c>
      <c r="F116" s="100">
        <v>2021061</v>
      </c>
      <c r="G116" s="37"/>
      <c r="H116" s="37">
        <f t="shared" si="19"/>
        <v>0.7079545454545455</v>
      </c>
      <c r="I116" s="37">
        <f t="shared" si="20"/>
        <v>0.7079545454545455</v>
      </c>
      <c r="J116" s="20">
        <v>2021</v>
      </c>
      <c r="K116" s="37"/>
      <c r="L116" s="37"/>
      <c r="M116" s="37">
        <f t="shared" si="21"/>
        <v>0</v>
      </c>
      <c r="N116" s="21">
        <v>0</v>
      </c>
      <c r="O116" s="23" t="s">
        <v>4878</v>
      </c>
      <c r="P116" s="22">
        <v>43141101</v>
      </c>
      <c r="Q116" s="19" t="s">
        <v>2411</v>
      </c>
      <c r="R116" s="23" t="s">
        <v>2417</v>
      </c>
      <c r="S116" s="38">
        <f>IFERROR(VLOOKUP(R116,[47]conductor_pz_summary_hftd_23_re!$B$2:$Q$3636,8,FALSE),0)</f>
        <v>110</v>
      </c>
      <c r="T116" s="201">
        <f>IFERROR(VLOOKUP(R116,[48]conductor_pz_summary_hftd_23_re!$B$2:$H$3636,7,0),0)/1609</f>
        <v>10.699357953170976</v>
      </c>
      <c r="U116" s="23">
        <f>IFERROR(VLOOKUP(R116,[47]conductor_pz_summary_hftd_23_re!$B$2:$Q$3636,14,FALSE),0)</f>
        <v>468</v>
      </c>
      <c r="V116" s="37">
        <f t="shared" si="12"/>
        <v>17.632724796949901</v>
      </c>
      <c r="W116" s="202">
        <f>IFERROR(VLOOKUP(R116,[47]conductor_pz_summary_hftd_23_re!$B$2:$Q$3636,13,FALSE),0)</f>
        <v>0.16029749815409</v>
      </c>
      <c r="X116" s="73">
        <f>IFERROR(VLOOKUP(R116,conductor_pz_summary_hftd_23_re!$B$2:$N$3636,13,FALSE),0)</f>
        <v>729</v>
      </c>
      <c r="Y116" s="203">
        <f t="shared" si="13"/>
        <v>0.72336713927129348</v>
      </c>
      <c r="Z116" s="23">
        <v>375</v>
      </c>
      <c r="AA116" s="23" t="s">
        <v>4871</v>
      </c>
      <c r="AB116" s="23" t="s">
        <v>4868</v>
      </c>
      <c r="AC116" s="19" t="s">
        <v>4872</v>
      </c>
      <c r="AD116" s="19" t="s">
        <v>4873</v>
      </c>
      <c r="AE116" s="19" t="s">
        <v>4874</v>
      </c>
      <c r="AF116" s="19" t="s">
        <v>4875</v>
      </c>
      <c r="AG116" s="23">
        <v>5795152</v>
      </c>
      <c r="AH116" s="23" t="s">
        <v>6103</v>
      </c>
      <c r="AI116" s="23">
        <v>120445228</v>
      </c>
      <c r="AJ116" s="120">
        <v>35226624</v>
      </c>
      <c r="AK116" s="23" t="s">
        <v>6099</v>
      </c>
      <c r="AL116" s="20">
        <v>3738</v>
      </c>
      <c r="AM116" s="20">
        <v>0</v>
      </c>
      <c r="AN116" s="20">
        <v>0</v>
      </c>
      <c r="AO116" s="20">
        <v>0</v>
      </c>
      <c r="AP116" s="48" t="s">
        <v>5368</v>
      </c>
      <c r="AQ116" s="39" t="s">
        <v>5367</v>
      </c>
      <c r="AR116" s="23">
        <v>0</v>
      </c>
      <c r="AS116" s="40">
        <v>0</v>
      </c>
      <c r="AT116" s="41">
        <v>0</v>
      </c>
      <c r="AU116" s="39" t="s">
        <v>6332</v>
      </c>
      <c r="AV116" s="19">
        <v>0</v>
      </c>
      <c r="AW116" s="19">
        <v>0</v>
      </c>
      <c r="AX116" s="19">
        <v>3738</v>
      </c>
      <c r="AY116" s="23">
        <f t="shared" si="22"/>
        <v>3738</v>
      </c>
      <c r="AZ116" s="40">
        <f t="shared" si="24"/>
        <v>0.7079545454545455</v>
      </c>
      <c r="BA116" s="41">
        <v>783093</v>
      </c>
      <c r="BB116" s="187">
        <v>0</v>
      </c>
      <c r="BC116" s="44">
        <v>0</v>
      </c>
      <c r="BD116" s="191">
        <f t="shared" si="23"/>
        <v>0</v>
      </c>
      <c r="BE116" s="23"/>
      <c r="BF116" s="23"/>
      <c r="BG116" s="23"/>
      <c r="BH116" s="23"/>
      <c r="BI116" s="23"/>
      <c r="BJ116" s="23"/>
      <c r="BK116" s="40"/>
      <c r="BL116" s="44"/>
      <c r="BM116" s="41"/>
      <c r="BN116" s="45"/>
    </row>
    <row r="117" spans="1:66" s="19" customFormat="1" x14ac:dyDescent="0.25">
      <c r="A117" s="218">
        <v>35192292</v>
      </c>
      <c r="B117" s="222" t="s">
        <v>5499</v>
      </c>
      <c r="C117" s="23">
        <v>13</v>
      </c>
      <c r="D117" s="23" t="str" cm="1">
        <f t="array" ref="D117">IFERROR(_xlfn.IFS(U117&lt;727,"MEET", AB117="FRRB","MEET", AB117="PSPS","MEET"),"No")</f>
        <v>MEET</v>
      </c>
      <c r="E117" s="23" t="str" cm="1">
        <f t="array" ref="E117">IFERROR(_xlfn.IFS(AM117&gt;0,"MEET", AN117&gt;0,"MEET"),"No")</f>
        <v>MEET</v>
      </c>
      <c r="F117" s="100">
        <v>2021062</v>
      </c>
      <c r="G117" s="37"/>
      <c r="H117" s="37">
        <f t="shared" si="19"/>
        <v>0.95113636363636367</v>
      </c>
      <c r="I117" s="37">
        <f t="shared" si="20"/>
        <v>0.95113636363636367</v>
      </c>
      <c r="J117" s="20">
        <v>2021</v>
      </c>
      <c r="K117" s="37"/>
      <c r="L117" s="37"/>
      <c r="M117" s="37">
        <f t="shared" si="21"/>
        <v>0</v>
      </c>
      <c r="N117" s="21">
        <v>54096.84</v>
      </c>
      <c r="O117" s="217" t="s">
        <v>4878</v>
      </c>
      <c r="P117" s="22">
        <v>42561107</v>
      </c>
      <c r="Q117" s="19" t="s">
        <v>1571</v>
      </c>
      <c r="R117" s="23" t="s">
        <v>1572</v>
      </c>
      <c r="S117" s="38">
        <f>IFERROR(VLOOKUP(R117,[47]conductor_pz_summary_hftd_23_re!$B$2:$Q$3636,8,FALSE),0)</f>
        <v>169</v>
      </c>
      <c r="T117" s="201">
        <f>IFERROR(VLOOKUP(R117,[48]conductor_pz_summary_hftd_23_re!$B$2:$H$3636,7,0),0)/1609</f>
        <v>17.438579305421875</v>
      </c>
      <c r="U117" s="23">
        <f>IFERROR(VLOOKUP(R117,[47]conductor_pz_summary_hftd_23_re!$B$2:$Q$3636,14,FALSE),0)</f>
        <v>637</v>
      </c>
      <c r="V117" s="37">
        <f t="shared" si="12"/>
        <v>20.566094932518602</v>
      </c>
      <c r="W117" s="202">
        <f>IFERROR(VLOOKUP(R117,[47]conductor_pz_summary_hftd_23_re!$B$2:$Q$3636,13,FALSE),0)</f>
        <v>0.12169286942318699</v>
      </c>
      <c r="X117" s="73">
        <f>IFERROR(VLOOKUP(R117,conductor_pz_summary_hftd_23_re!$B$2:$N$3636,13,FALSE),0)</f>
        <v>641</v>
      </c>
      <c r="Y117" s="203">
        <f t="shared" si="1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6074</v>
      </c>
      <c r="AL117" s="20">
        <v>830</v>
      </c>
      <c r="AM117" s="20">
        <v>4192</v>
      </c>
      <c r="AN117" s="20">
        <v>0</v>
      </c>
      <c r="AO117" s="20">
        <v>0</v>
      </c>
      <c r="AP117" s="48" t="s">
        <v>5372</v>
      </c>
      <c r="AQ117" s="39" t="s">
        <v>5371</v>
      </c>
      <c r="AR117" s="23">
        <f>AS117*5280</f>
        <v>19800</v>
      </c>
      <c r="AS117" s="40">
        <v>3.75</v>
      </c>
      <c r="AT117" s="41">
        <v>4686150</v>
      </c>
      <c r="AU117" s="169" t="s">
        <v>6371</v>
      </c>
      <c r="AV117" s="19">
        <v>0</v>
      </c>
      <c r="AW117" s="19">
        <v>4192</v>
      </c>
      <c r="AX117" s="19">
        <v>830</v>
      </c>
      <c r="AY117" s="23">
        <f t="shared" si="22"/>
        <v>5022</v>
      </c>
      <c r="AZ117" s="40">
        <f t="shared" si="24"/>
        <v>0.95113636363636367</v>
      </c>
      <c r="BA117" s="41">
        <v>1887200</v>
      </c>
      <c r="BB117" s="187"/>
      <c r="BC117" s="44"/>
      <c r="BD117" s="191">
        <f t="shared" si="23"/>
        <v>0</v>
      </c>
      <c r="BE117" s="23"/>
      <c r="BF117" s="23"/>
      <c r="BG117" s="23"/>
      <c r="BH117" s="23"/>
      <c r="BI117" s="23"/>
      <c r="BJ117" s="23"/>
      <c r="BK117" s="40"/>
      <c r="BL117" s="44"/>
      <c r="BM117" s="41"/>
      <c r="BN117" s="45"/>
    </row>
    <row r="118" spans="1:66" s="19" customFormat="1" x14ac:dyDescent="0.25">
      <c r="A118" s="218">
        <v>35225594</v>
      </c>
      <c r="B118" s="222" t="s">
        <v>5499</v>
      </c>
      <c r="C118" s="23">
        <v>13</v>
      </c>
      <c r="D118" s="23" t="str" cm="1">
        <f t="array" ref="D118">IFERROR(_xlfn.IFS(U118&lt;727,"MEET", AB118="FRRB","MEET", AB118="PSPS","MEET"),"No")</f>
        <v>MEET</v>
      </c>
      <c r="E118" s="23" t="str" cm="1">
        <f t="array" ref="E118">IFERROR(_xlfn.IFS(AM118&gt;0,"MEET", AN118&gt;0,"MEET"),"No")</f>
        <v>MEET</v>
      </c>
      <c r="F118" s="100">
        <v>2021063</v>
      </c>
      <c r="G118" s="37"/>
      <c r="H118" s="37">
        <f t="shared" si="19"/>
        <v>0.52859848484848482</v>
      </c>
      <c r="I118" s="37">
        <f t="shared" si="20"/>
        <v>0.52859848484848482</v>
      </c>
      <c r="J118" s="20">
        <v>2021</v>
      </c>
      <c r="K118" s="37"/>
      <c r="L118" s="37"/>
      <c r="M118" s="37">
        <f t="shared" si="21"/>
        <v>0</v>
      </c>
      <c r="N118" s="21">
        <v>1447.31</v>
      </c>
      <c r="O118" s="23" t="s">
        <v>4878</v>
      </c>
      <c r="P118" s="22">
        <v>42561107</v>
      </c>
      <c r="Q118" s="19" t="s">
        <v>1571</v>
      </c>
      <c r="R118" s="23" t="s">
        <v>1572</v>
      </c>
      <c r="S118" s="38">
        <f>IFERROR(VLOOKUP(R118,[47]conductor_pz_summary_hftd_23_re!$B$2:$Q$3636,8,FALSE),0)</f>
        <v>169</v>
      </c>
      <c r="T118" s="201">
        <f>IFERROR(VLOOKUP(R118,[48]conductor_pz_summary_hftd_23_re!$B$2:$H$3636,7,0),0)/1609</f>
        <v>17.438579305421875</v>
      </c>
      <c r="U118" s="23">
        <f>IFERROR(VLOOKUP(R118,[47]conductor_pz_summary_hftd_23_re!$B$2:$Q$3636,14,FALSE),0)</f>
        <v>637</v>
      </c>
      <c r="V118" s="37">
        <f t="shared" si="12"/>
        <v>20.566094932518602</v>
      </c>
      <c r="W118" s="202">
        <f>IFERROR(VLOOKUP(R118,[47]conductor_pz_summary_hftd_23_re!$B$2:$Q$3636,13,FALSE),0)</f>
        <v>0.12169286942318699</v>
      </c>
      <c r="X118" s="73">
        <f>IFERROR(VLOOKUP(R118,conductor_pz_summary_hftd_23_re!$B$2:$N$3636,13,FALSE),0)</f>
        <v>641</v>
      </c>
      <c r="Y118" s="203">
        <f t="shared" si="13"/>
        <v>0.59559584357546336</v>
      </c>
      <c r="Z118" s="23">
        <v>225</v>
      </c>
      <c r="AA118" s="23" t="s">
        <v>4871</v>
      </c>
      <c r="AB118" s="23" t="s">
        <v>4868</v>
      </c>
      <c r="AC118" s="19" t="s">
        <v>4924</v>
      </c>
      <c r="AD118" s="19" t="s">
        <v>4925</v>
      </c>
      <c r="AE118" s="19" t="s">
        <v>4925</v>
      </c>
      <c r="AF118" s="19" t="s">
        <v>4875</v>
      </c>
      <c r="AG118" s="23">
        <v>5795144</v>
      </c>
      <c r="AH118" s="23" t="s">
        <v>6075</v>
      </c>
      <c r="AI118" s="23">
        <v>120424183</v>
      </c>
      <c r="AJ118" s="120">
        <v>35225594</v>
      </c>
      <c r="AK118" s="23" t="s">
        <v>6079</v>
      </c>
      <c r="AL118" s="20">
        <v>261</v>
      </c>
      <c r="AM118" s="20">
        <v>2530</v>
      </c>
      <c r="AN118" s="20">
        <v>0</v>
      </c>
      <c r="AO118" s="20">
        <v>0</v>
      </c>
      <c r="AP118" s="48"/>
      <c r="AQ118" s="39" t="s">
        <v>5371</v>
      </c>
      <c r="AR118" s="23">
        <v>0</v>
      </c>
      <c r="AS118" s="40">
        <v>0</v>
      </c>
      <c r="AT118" s="41">
        <v>0</v>
      </c>
      <c r="AU118" s="169" t="s">
        <v>6371</v>
      </c>
      <c r="AV118" s="19">
        <v>0</v>
      </c>
      <c r="AW118" s="19">
        <v>2530</v>
      </c>
      <c r="AX118" s="19">
        <v>389</v>
      </c>
      <c r="AY118" s="23">
        <f t="shared" si="22"/>
        <v>2919</v>
      </c>
      <c r="AZ118" s="40">
        <f t="shared" si="24"/>
        <v>0.55284090909090911</v>
      </c>
      <c r="BA118" s="41">
        <v>864959</v>
      </c>
      <c r="BB118" s="187"/>
      <c r="BC118" s="44"/>
      <c r="BD118" s="191">
        <f t="shared" si="23"/>
        <v>0</v>
      </c>
      <c r="BE118" s="23"/>
      <c r="BF118" s="23"/>
      <c r="BG118" s="23"/>
      <c r="BH118" s="23"/>
      <c r="BI118" s="23"/>
      <c r="BJ118" s="23"/>
      <c r="BK118" s="40"/>
      <c r="BL118" s="44"/>
      <c r="BM118" s="41"/>
      <c r="BN118" s="45"/>
    </row>
    <row r="119" spans="1:66" s="19" customFormat="1" x14ac:dyDescent="0.25">
      <c r="A119" s="218">
        <v>35225595</v>
      </c>
      <c r="B119" s="222" t="s">
        <v>5499</v>
      </c>
      <c r="C119" s="23">
        <v>13</v>
      </c>
      <c r="D119" s="23" t="str" cm="1">
        <f t="array" ref="D119">IFERROR(_xlfn.IFS(U119&lt;727,"MEET", AB119="FRRB","MEET", AB119="PSPS","MEET"),"No")</f>
        <v>MEET</v>
      </c>
      <c r="E119" s="23" t="str" cm="1">
        <f t="array" ref="E119">IFERROR(_xlfn.IFS(AM119&gt;0,"MEET", AN119&gt;0,"MEET"),"No")</f>
        <v>No</v>
      </c>
      <c r="F119" s="100">
        <v>2021064</v>
      </c>
      <c r="G119" s="37"/>
      <c r="H119" s="37">
        <f t="shared" si="19"/>
        <v>0.87803030303030305</v>
      </c>
      <c r="I119" s="37">
        <f t="shared" si="20"/>
        <v>0.87803030303030305</v>
      </c>
      <c r="J119" s="20">
        <v>2021</v>
      </c>
      <c r="K119" s="37"/>
      <c r="L119" s="37"/>
      <c r="M119" s="37">
        <f t="shared" si="21"/>
        <v>0</v>
      </c>
      <c r="N119" s="21">
        <v>869.34</v>
      </c>
      <c r="O119" s="23" t="s">
        <v>4878</v>
      </c>
      <c r="P119" s="22">
        <v>42561107</v>
      </c>
      <c r="Q119" s="19" t="s">
        <v>1571</v>
      </c>
      <c r="R119" s="23" t="s">
        <v>1572</v>
      </c>
      <c r="S119" s="38">
        <f>IFERROR(VLOOKUP(R119,[47]conductor_pz_summary_hftd_23_re!$B$2:$Q$3636,8,FALSE),0)</f>
        <v>169</v>
      </c>
      <c r="T119" s="201">
        <f>IFERROR(VLOOKUP(R119,[48]conductor_pz_summary_hftd_23_re!$B$2:$H$3636,7,0),0)/1609</f>
        <v>17.438579305421875</v>
      </c>
      <c r="U119" s="23">
        <f>IFERROR(VLOOKUP(R119,[47]conductor_pz_summary_hftd_23_re!$B$2:$Q$3636,14,FALSE),0)</f>
        <v>637</v>
      </c>
      <c r="V119" s="37">
        <f t="shared" si="12"/>
        <v>20.566094932518602</v>
      </c>
      <c r="W119" s="202">
        <f>IFERROR(VLOOKUP(R119,[47]conductor_pz_summary_hftd_23_re!$B$2:$Q$3636,13,FALSE),0)</f>
        <v>0.12169286942318699</v>
      </c>
      <c r="X119" s="73">
        <f>IFERROR(VLOOKUP(R119,conductor_pz_summary_hftd_23_re!$B$2:$N$3636,13,FALSE),0)</f>
        <v>641</v>
      </c>
      <c r="Y119" s="203">
        <f t="shared" si="13"/>
        <v>0.64201020247582086</v>
      </c>
      <c r="Z119" s="23">
        <v>225</v>
      </c>
      <c r="AA119" s="23" t="s">
        <v>4871</v>
      </c>
      <c r="AB119" s="23" t="s">
        <v>4868</v>
      </c>
      <c r="AC119" s="19" t="s">
        <v>4924</v>
      </c>
      <c r="AD119" s="19" t="s">
        <v>4925</v>
      </c>
      <c r="AE119" s="19" t="s">
        <v>4925</v>
      </c>
      <c r="AF119" s="19" t="s">
        <v>4875</v>
      </c>
      <c r="AG119" s="23">
        <v>5795144</v>
      </c>
      <c r="AH119" s="23" t="s">
        <v>6076</v>
      </c>
      <c r="AI119" s="23">
        <v>120424186</v>
      </c>
      <c r="AJ119" s="120">
        <v>35225595</v>
      </c>
      <c r="AK119" s="23" t="s">
        <v>6080</v>
      </c>
      <c r="AL119" s="20">
        <v>4636</v>
      </c>
      <c r="AM119" s="20">
        <v>0</v>
      </c>
      <c r="AN119" s="20">
        <v>0</v>
      </c>
      <c r="AO119" s="20">
        <v>0</v>
      </c>
      <c r="AP119" s="48"/>
      <c r="AQ119" s="39" t="s">
        <v>5371</v>
      </c>
      <c r="AR119" s="23">
        <v>0</v>
      </c>
      <c r="AS119" s="40">
        <v>0</v>
      </c>
      <c r="AT119" s="41">
        <v>0</v>
      </c>
      <c r="AU119" s="169" t="s">
        <v>6371</v>
      </c>
      <c r="AV119" s="19">
        <v>0</v>
      </c>
      <c r="AW119" s="19">
        <v>0</v>
      </c>
      <c r="AX119" s="19">
        <v>4636</v>
      </c>
      <c r="AY119" s="23">
        <f t="shared" si="22"/>
        <v>4636</v>
      </c>
      <c r="AZ119" s="40">
        <f t="shared" si="24"/>
        <v>0.87803030303030305</v>
      </c>
      <c r="BA119" s="41">
        <v>2648900</v>
      </c>
      <c r="BB119" s="187"/>
      <c r="BC119" s="44"/>
      <c r="BD119" s="191">
        <f t="shared" si="23"/>
        <v>0</v>
      </c>
      <c r="BE119" s="23"/>
      <c r="BF119" s="23"/>
      <c r="BG119" s="23"/>
      <c r="BH119" s="23"/>
      <c r="BI119" s="23"/>
      <c r="BJ119" s="23"/>
      <c r="BK119" s="40"/>
      <c r="BL119" s="44"/>
      <c r="BM119" s="41"/>
      <c r="BN119" s="45"/>
    </row>
    <row r="120" spans="1:66" s="19" customFormat="1" x14ac:dyDescent="0.25">
      <c r="A120" s="218">
        <v>35225597</v>
      </c>
      <c r="B120" s="222" t="s">
        <v>5499</v>
      </c>
      <c r="C120" s="23">
        <v>14</v>
      </c>
      <c r="D120" s="23" t="str" cm="1">
        <f t="array" ref="D120">IFERROR(_xlfn.IFS(U120&lt;727,"MEET", AB120="FRRB","MEET", AB120="PSPS","MEET"),"No")</f>
        <v>MEET</v>
      </c>
      <c r="E120" s="23" t="str" cm="1">
        <f t="array" ref="E120">IFERROR(_xlfn.IFS(AM120&gt;0,"MEET", AN120&gt;0,"MEET"),"No")</f>
        <v>No</v>
      </c>
      <c r="F120" s="100">
        <v>2021065</v>
      </c>
      <c r="G120" s="37"/>
      <c r="H120" s="37">
        <f t="shared" ref="H120:H155" si="25">SUM(AL120:AO120)/5280</f>
        <v>0.77575757575757576</v>
      </c>
      <c r="I120" s="37">
        <f t="shared" ref="I120:I155" si="26">H120-M120</f>
        <v>0.77575757575757576</v>
      </c>
      <c r="J120" s="20">
        <v>2021</v>
      </c>
      <c r="K120" s="37"/>
      <c r="L120" s="37"/>
      <c r="M120" s="37">
        <f t="shared" ref="M120:M155" si="27">SUM(K120:L120)</f>
        <v>0</v>
      </c>
      <c r="N120" s="21">
        <v>943.79</v>
      </c>
      <c r="O120" s="183" t="s">
        <v>4870</v>
      </c>
      <c r="P120" s="22">
        <v>42561107</v>
      </c>
      <c r="Q120" s="19" t="s">
        <v>1571</v>
      </c>
      <c r="R120" s="23" t="s">
        <v>1572</v>
      </c>
      <c r="S120" s="38">
        <f>IFERROR(VLOOKUP(R120,[47]conductor_pz_summary_hftd_23_re!$B$2:$Q$3636,8,FALSE),0)</f>
        <v>169</v>
      </c>
      <c r="T120" s="201">
        <f>IFERROR(VLOOKUP(R120,[48]conductor_pz_summary_hftd_23_re!$B$2:$H$3636,7,0),0)/1609</f>
        <v>17.438579305421875</v>
      </c>
      <c r="U120" s="23">
        <f>IFERROR(VLOOKUP(R120,[47]conductor_pz_summary_hftd_23_re!$B$2:$Q$3636,14,FALSE),0)</f>
        <v>637</v>
      </c>
      <c r="V120" s="37">
        <f t="shared" ref="V120:V187" si="28">IFERROR(W120*S120,0)</f>
        <v>20.566094932518602</v>
      </c>
      <c r="W120" s="202">
        <f>IFERROR(VLOOKUP(R120,[47]conductor_pz_summary_hftd_23_re!$B$2:$Q$3636,13,FALSE),0)</f>
        <v>0.12169286942318699</v>
      </c>
      <c r="X120" s="73">
        <f>IFERROR(VLOOKUP(R120,conductor_pz_summary_hftd_23_re!$B$2:$N$3636,13,FALSE),0)</f>
        <v>641</v>
      </c>
      <c r="Y120" s="203">
        <f t="shared" ref="Y120:Y187" si="29">(AL120*0.62+AM120*0.99+AN120+AO120*0.99)/(SUM(AL120:AO120))*V120*(H120/T120)</f>
        <v>0.5672290313505095</v>
      </c>
      <c r="Z120" s="23">
        <v>225</v>
      </c>
      <c r="AA120" s="23" t="s">
        <v>4871</v>
      </c>
      <c r="AB120" s="23" t="s">
        <v>4868</v>
      </c>
      <c r="AC120" s="19" t="s">
        <v>4924</v>
      </c>
      <c r="AD120" s="19" t="s">
        <v>4925</v>
      </c>
      <c r="AE120" s="19" t="s">
        <v>4925</v>
      </c>
      <c r="AF120" s="19" t="s">
        <v>4875</v>
      </c>
      <c r="AG120" s="23">
        <v>5795144</v>
      </c>
      <c r="AH120" s="23" t="s">
        <v>6077</v>
      </c>
      <c r="AI120" s="23">
        <v>124024187</v>
      </c>
      <c r="AJ120" s="120">
        <v>35225597</v>
      </c>
      <c r="AK120" s="23" t="s">
        <v>6081</v>
      </c>
      <c r="AL120" s="20">
        <v>4096</v>
      </c>
      <c r="AM120" s="20">
        <v>0</v>
      </c>
      <c r="AN120" s="20">
        <v>0</v>
      </c>
      <c r="AO120" s="20">
        <v>0</v>
      </c>
      <c r="AP120" s="48"/>
      <c r="AQ120" s="39" t="s">
        <v>5371</v>
      </c>
      <c r="AR120" s="23">
        <v>0</v>
      </c>
      <c r="AS120" s="40">
        <v>0</v>
      </c>
      <c r="AT120" s="41">
        <v>0</v>
      </c>
      <c r="AU120" s="169" t="s">
        <v>6371</v>
      </c>
      <c r="AV120" s="19">
        <v>0</v>
      </c>
      <c r="AW120" s="19">
        <v>0</v>
      </c>
      <c r="AX120" s="19">
        <v>4096</v>
      </c>
      <c r="AY120" s="23">
        <f t="shared" ref="AY120:AY155" si="30">SUM(AV120:AX120)</f>
        <v>4096</v>
      </c>
      <c r="AZ120" s="40">
        <f t="shared" si="24"/>
        <v>0.77575757575757576</v>
      </c>
      <c r="BA120" s="41">
        <v>1917600</v>
      </c>
      <c r="BB120" s="187"/>
      <c r="BC120" s="44"/>
      <c r="BD120" s="191">
        <f t="shared" ref="BD120:BD155" si="31">IFERROR(BC120/BB120,0)</f>
        <v>0</v>
      </c>
      <c r="BE120" s="23"/>
      <c r="BF120" s="23"/>
      <c r="BG120" s="23"/>
      <c r="BH120" s="23"/>
      <c r="BI120" s="23"/>
      <c r="BJ120" s="23"/>
      <c r="BK120" s="40"/>
      <c r="BL120" s="44"/>
      <c r="BM120" s="41"/>
      <c r="BN120" s="45"/>
    </row>
    <row r="121" spans="1:66" s="19" customFormat="1" x14ac:dyDescent="0.25">
      <c r="A121" s="218">
        <v>35225598</v>
      </c>
      <c r="B121" s="222" t="s">
        <v>5499</v>
      </c>
      <c r="C121" s="23">
        <v>14</v>
      </c>
      <c r="D121" s="23" t="str" cm="1">
        <f t="array" ref="D121">IFERROR(_xlfn.IFS(U121&lt;727,"MEET", AB121="FRRB","MEET", AB121="PSPS","MEET"),"No")</f>
        <v>MEET</v>
      </c>
      <c r="E121" s="23" t="str" cm="1">
        <f t="array" ref="E121">IFERROR(_xlfn.IFS(AM121&gt;0,"MEET", AN121&gt;0,"MEET"),"No")</f>
        <v>No</v>
      </c>
      <c r="F121" s="100">
        <v>2021066</v>
      </c>
      <c r="G121" s="37"/>
      <c r="H121" s="37">
        <f t="shared" si="25"/>
        <v>0.88143939393939397</v>
      </c>
      <c r="I121" s="37">
        <f t="shared" si="26"/>
        <v>0.88143939393939397</v>
      </c>
      <c r="J121" s="20">
        <v>2021</v>
      </c>
      <c r="K121" s="37"/>
      <c r="L121" s="37"/>
      <c r="M121" s="37">
        <f t="shared" si="27"/>
        <v>0</v>
      </c>
      <c r="N121" s="21">
        <v>943.79</v>
      </c>
      <c r="O121" s="183" t="s">
        <v>4870</v>
      </c>
      <c r="P121" s="22">
        <v>42561107</v>
      </c>
      <c r="Q121" s="19" t="s">
        <v>1571</v>
      </c>
      <c r="R121" s="23" t="s">
        <v>1572</v>
      </c>
      <c r="S121" s="38">
        <f>IFERROR(VLOOKUP(R121,[47]conductor_pz_summary_hftd_23_re!$B$2:$Q$3636,8,FALSE),0)</f>
        <v>169</v>
      </c>
      <c r="T121" s="201">
        <f>IFERROR(VLOOKUP(R121,[48]conductor_pz_summary_hftd_23_re!$B$2:$H$3636,7,0),0)/1609</f>
        <v>17.438579305421875</v>
      </c>
      <c r="U121" s="23">
        <f>IFERROR(VLOOKUP(R121,[47]conductor_pz_summary_hftd_23_re!$B$2:$Q$3636,14,FALSE),0)</f>
        <v>637</v>
      </c>
      <c r="V121" s="37">
        <f t="shared" si="28"/>
        <v>20.566094932518602</v>
      </c>
      <c r="W121" s="202">
        <f>IFERROR(VLOOKUP(R121,[47]conductor_pz_summary_hftd_23_re!$B$2:$Q$3636,13,FALSE),0)</f>
        <v>0.12169286942318699</v>
      </c>
      <c r="X121" s="73">
        <f>IFERROR(VLOOKUP(R121,conductor_pz_summary_hftd_23_re!$B$2:$N$3636,13,FALSE),0)</f>
        <v>641</v>
      </c>
      <c r="Y121" s="203">
        <f t="shared" si="29"/>
        <v>0.64450290817999789</v>
      </c>
      <c r="Z121" s="23">
        <v>225</v>
      </c>
      <c r="AA121" s="23" t="s">
        <v>4871</v>
      </c>
      <c r="AB121" s="23" t="s">
        <v>4868</v>
      </c>
      <c r="AC121" s="19" t="s">
        <v>4924</v>
      </c>
      <c r="AD121" s="19" t="s">
        <v>4925</v>
      </c>
      <c r="AE121" s="19" t="s">
        <v>4925</v>
      </c>
      <c r="AF121" s="19" t="s">
        <v>4875</v>
      </c>
      <c r="AG121" s="23">
        <v>5795144</v>
      </c>
      <c r="AH121" s="23" t="s">
        <v>6078</v>
      </c>
      <c r="AI121" s="23">
        <v>120424188</v>
      </c>
      <c r="AJ121" s="120">
        <v>35225598</v>
      </c>
      <c r="AK121" s="23" t="s">
        <v>6082</v>
      </c>
      <c r="AL121" s="20">
        <v>4654</v>
      </c>
      <c r="AM121" s="20">
        <v>0</v>
      </c>
      <c r="AN121" s="20">
        <v>0</v>
      </c>
      <c r="AO121" s="20">
        <v>0</v>
      </c>
      <c r="AP121" s="48"/>
      <c r="AQ121" s="39" t="s">
        <v>5371</v>
      </c>
      <c r="AR121" s="23">
        <v>0</v>
      </c>
      <c r="AS121" s="40">
        <v>0</v>
      </c>
      <c r="AT121" s="41">
        <v>0</v>
      </c>
      <c r="AU121" s="169" t="s">
        <v>6371</v>
      </c>
      <c r="AV121" s="19">
        <v>0</v>
      </c>
      <c r="AW121" s="19">
        <v>0</v>
      </c>
      <c r="AX121" s="19">
        <v>4654</v>
      </c>
      <c r="AY121" s="23">
        <f t="shared" si="30"/>
        <v>4654</v>
      </c>
      <c r="AZ121" s="40">
        <f t="shared" si="24"/>
        <v>0.88143939393939397</v>
      </c>
      <c r="BA121" s="41">
        <v>1766100</v>
      </c>
      <c r="BB121" s="187"/>
      <c r="BC121" s="44"/>
      <c r="BD121" s="191">
        <f t="shared" si="31"/>
        <v>0</v>
      </c>
      <c r="BE121" s="23"/>
      <c r="BF121" s="23"/>
      <c r="BG121" s="23"/>
      <c r="BH121" s="23"/>
      <c r="BI121" s="23"/>
      <c r="BJ121" s="23"/>
      <c r="BK121" s="40"/>
      <c r="BL121" s="44"/>
      <c r="BM121" s="41"/>
      <c r="BN121" s="45"/>
    </row>
    <row r="122" spans="1:66" s="19" customFormat="1" x14ac:dyDescent="0.25">
      <c r="A122" s="218">
        <v>35174478</v>
      </c>
      <c r="B122" s="222" t="s">
        <v>5499</v>
      </c>
      <c r="C122" s="23">
        <v>13</v>
      </c>
      <c r="D122" s="23" t="str" cm="1">
        <f t="array" ref="D122">IFERROR(_xlfn.IFS(U122&lt;727,"MEET", AB122="FRRB","MEET", AB122="PSPS","MEET"),"No")</f>
        <v>MEET</v>
      </c>
      <c r="E122" s="23" t="str" cm="1">
        <f t="array" ref="E122">IFERROR(_xlfn.IFS(AM122&gt;0,"MEET", AN122&gt;0,"MEET"),"No")</f>
        <v>MEET</v>
      </c>
      <c r="F122" s="100">
        <v>2021067</v>
      </c>
      <c r="G122" s="37"/>
      <c r="H122" s="37">
        <f t="shared" si="25"/>
        <v>1.79</v>
      </c>
      <c r="I122" s="37">
        <f t="shared" si="26"/>
        <v>1.79</v>
      </c>
      <c r="J122" s="20">
        <v>2021</v>
      </c>
      <c r="K122" s="37"/>
      <c r="L122" s="37"/>
      <c r="M122" s="37">
        <f t="shared" si="27"/>
        <v>0</v>
      </c>
      <c r="N122" s="21">
        <v>8194.2800000000007</v>
      </c>
      <c r="O122" s="217" t="s">
        <v>4878</v>
      </c>
      <c r="P122" s="22">
        <v>43141101</v>
      </c>
      <c r="Q122" s="19" t="s">
        <v>2411</v>
      </c>
      <c r="R122" s="23" t="s">
        <v>2418</v>
      </c>
      <c r="S122" s="38">
        <f>IFERROR(VLOOKUP(R122,[47]conductor_pz_summary_hftd_23_re!$B$2:$Q$3636,8,FALSE),0)</f>
        <v>298</v>
      </c>
      <c r="T122" s="201">
        <f>IFERROR(VLOOKUP(R122,[48]conductor_pz_summary_hftd_23_re!$B$2:$H$3636,7,0),0)/1609</f>
        <v>27.408190713785519</v>
      </c>
      <c r="U122" s="23">
        <f>IFERROR(VLOOKUP(R122,[47]conductor_pz_summary_hftd_23_re!$B$2:$Q$3636,14,FALSE),0)</f>
        <v>474</v>
      </c>
      <c r="V122" s="37">
        <f t="shared" si="28"/>
        <v>47.487768087276564</v>
      </c>
      <c r="W122" s="202">
        <f>IFERROR(VLOOKUP(R122,[47]conductor_pz_summary_hftd_23_re!$B$2:$Q$3636,13,FALSE),0)</f>
        <v>0.15935492646737101</v>
      </c>
      <c r="X122" s="73">
        <f>IFERROR(VLOOKUP(R122,conductor_pz_summary_hftd_23_re!$B$2:$N$3636,13,FALSE),0)</f>
        <v>1108</v>
      </c>
      <c r="Y122" s="203">
        <f t="shared" si="29"/>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6125</v>
      </c>
      <c r="AL122" s="20">
        <v>0</v>
      </c>
      <c r="AM122" s="20">
        <f>1.79*5280</f>
        <v>9451.2000000000007</v>
      </c>
      <c r="AN122" s="20">
        <v>0</v>
      </c>
      <c r="AO122" s="20">
        <v>0</v>
      </c>
      <c r="AP122" s="48" t="s">
        <v>4914</v>
      </c>
      <c r="AQ122" s="39" t="s">
        <v>4915</v>
      </c>
      <c r="AR122" s="23">
        <f>AS122*5280</f>
        <v>21489.600000000002</v>
      </c>
      <c r="AS122" s="40">
        <v>4.07</v>
      </c>
      <c r="AT122" s="41">
        <v>6162189</v>
      </c>
      <c r="AU122" s="39" t="s">
        <v>6347</v>
      </c>
      <c r="AV122" s="19">
        <v>0</v>
      </c>
      <c r="AW122" s="19">
        <v>9463</v>
      </c>
      <c r="AX122" s="19">
        <v>518</v>
      </c>
      <c r="AY122" s="23">
        <f t="shared" si="30"/>
        <v>9981</v>
      </c>
      <c r="AZ122" s="40">
        <f t="shared" si="24"/>
        <v>1.8903409090909091</v>
      </c>
      <c r="BA122" s="41">
        <v>3159460</v>
      </c>
      <c r="BB122" s="187"/>
      <c r="BC122" s="44"/>
      <c r="BD122" s="191">
        <f t="shared" si="31"/>
        <v>0</v>
      </c>
      <c r="BE122" s="23"/>
      <c r="BF122" s="23"/>
      <c r="BG122" s="23"/>
      <c r="BH122" s="23"/>
      <c r="BI122" s="23"/>
      <c r="BJ122" s="23"/>
      <c r="BK122" s="40"/>
      <c r="BL122" s="44"/>
      <c r="BM122" s="41"/>
      <c r="BN122" s="45"/>
    </row>
    <row r="123" spans="1:66" s="19" customFormat="1" x14ac:dyDescent="0.25">
      <c r="A123" s="218">
        <v>35226857</v>
      </c>
      <c r="B123" s="222" t="s">
        <v>5499</v>
      </c>
      <c r="C123" s="23">
        <v>13</v>
      </c>
      <c r="D123" s="23" t="str" cm="1">
        <f t="array" ref="D123">IFERROR(_xlfn.IFS(U123&lt;727,"MEET", AB123="FRRB","MEET", AB123="PSPS","MEET"),"No")</f>
        <v>MEET</v>
      </c>
      <c r="E123" s="23" t="str" cm="1">
        <f t="array" ref="E123">IFERROR(_xlfn.IFS(AM123&gt;0,"MEET", AN123&gt;0,"MEET"),"No")</f>
        <v>MEET</v>
      </c>
      <c r="F123" s="100">
        <v>2021068</v>
      </c>
      <c r="G123" s="37"/>
      <c r="H123" s="37">
        <f t="shared" si="25"/>
        <v>1.9399999999999997</v>
      </c>
      <c r="I123" s="37">
        <f t="shared" si="26"/>
        <v>1.9399999999999997</v>
      </c>
      <c r="J123" s="20">
        <v>2021</v>
      </c>
      <c r="K123" s="37"/>
      <c r="L123" s="37"/>
      <c r="M123" s="37">
        <f t="shared" si="27"/>
        <v>0</v>
      </c>
      <c r="N123" s="21">
        <v>0</v>
      </c>
      <c r="O123" s="23" t="s">
        <v>4878</v>
      </c>
      <c r="P123" s="22">
        <v>43141101</v>
      </c>
      <c r="Q123" s="19" t="s">
        <v>2411</v>
      </c>
      <c r="R123" s="23" t="s">
        <v>2418</v>
      </c>
      <c r="S123" s="38">
        <f>IFERROR(VLOOKUP(R123,[47]conductor_pz_summary_hftd_23_re!$B$2:$Q$3636,8,FALSE),0)</f>
        <v>298</v>
      </c>
      <c r="T123" s="201">
        <f>IFERROR(VLOOKUP(R123,[48]conductor_pz_summary_hftd_23_re!$B$2:$H$3636,7,0),0)/1609</f>
        <v>27.408190713785519</v>
      </c>
      <c r="U123" s="23">
        <f>IFERROR(VLOOKUP(R123,[47]conductor_pz_summary_hftd_23_re!$B$2:$Q$3636,14,FALSE),0)</f>
        <v>474</v>
      </c>
      <c r="V123" s="37">
        <f t="shared" si="28"/>
        <v>47.487768087276564</v>
      </c>
      <c r="W123" s="202">
        <f>IFERROR(VLOOKUP(R123,[47]conductor_pz_summary_hftd_23_re!$B$2:$Q$3636,13,FALSE),0)</f>
        <v>0.15935492646737101</v>
      </c>
      <c r="X123" s="73">
        <f>IFERROR(VLOOKUP(R123,conductor_pz_summary_hftd_23_re!$B$2:$N$3636,13,FALSE),0)</f>
        <v>1108</v>
      </c>
      <c r="Y123" s="203">
        <f t="shared" si="29"/>
        <v>3.3276551648682853</v>
      </c>
      <c r="Z123" s="23">
        <v>30</v>
      </c>
      <c r="AA123" s="23" t="s">
        <v>4871</v>
      </c>
      <c r="AB123" s="23" t="s">
        <v>4868</v>
      </c>
      <c r="AC123" s="19" t="s">
        <v>4872</v>
      </c>
      <c r="AD123" s="19" t="s">
        <v>4873</v>
      </c>
      <c r="AE123" s="19" t="s">
        <v>4874</v>
      </c>
      <c r="AF123" s="19" t="s">
        <v>4875</v>
      </c>
      <c r="AG123" s="23">
        <v>5795300</v>
      </c>
      <c r="AH123" s="23" t="s">
        <v>6131</v>
      </c>
      <c r="AI123" s="23">
        <v>120449200</v>
      </c>
      <c r="AJ123" s="120">
        <v>35226857</v>
      </c>
      <c r="AK123" s="23" t="s">
        <v>6126</v>
      </c>
      <c r="AL123" s="20">
        <v>0</v>
      </c>
      <c r="AM123" s="20">
        <f>1.94*5280</f>
        <v>10243.199999999999</v>
      </c>
      <c r="AN123" s="20">
        <v>0</v>
      </c>
      <c r="AO123" s="20">
        <v>0</v>
      </c>
      <c r="AP123" s="48"/>
      <c r="AQ123" s="39" t="s">
        <v>4915</v>
      </c>
      <c r="AR123" s="23">
        <v>0</v>
      </c>
      <c r="AS123" s="40">
        <v>0</v>
      </c>
      <c r="AT123" s="41">
        <v>0</v>
      </c>
      <c r="AU123" s="39" t="s">
        <v>6347</v>
      </c>
      <c r="AV123" s="19">
        <v>0</v>
      </c>
      <c r="AW123" s="19">
        <v>10242</v>
      </c>
      <c r="AX123" s="19">
        <v>0</v>
      </c>
      <c r="AY123" s="23">
        <f t="shared" si="30"/>
        <v>10242</v>
      </c>
      <c r="AZ123" s="40">
        <f t="shared" si="24"/>
        <v>1.9397727272727272</v>
      </c>
      <c r="BA123" s="41">
        <v>3613740</v>
      </c>
      <c r="BB123" s="187"/>
      <c r="BC123" s="44"/>
      <c r="BD123" s="191">
        <f t="shared" si="31"/>
        <v>0</v>
      </c>
      <c r="BE123" s="23"/>
      <c r="BF123" s="23"/>
      <c r="BG123" s="23"/>
      <c r="BH123" s="23"/>
      <c r="BI123" s="23"/>
      <c r="BJ123" s="23"/>
      <c r="BK123" s="40"/>
      <c r="BL123" s="44"/>
      <c r="BM123" s="41"/>
      <c r="BN123" s="45"/>
    </row>
    <row r="124" spans="1:66" s="19" customFormat="1" x14ac:dyDescent="0.25">
      <c r="A124" s="218">
        <v>35226858</v>
      </c>
      <c r="B124" s="222" t="s">
        <v>5499</v>
      </c>
      <c r="C124" s="23">
        <v>13</v>
      </c>
      <c r="D124" s="23" t="str" cm="1">
        <f t="array" ref="D124">IFERROR(_xlfn.IFS(U124&lt;727,"MEET", AB124="FRRB","MEET", AB124="PSPS","MEET"),"No")</f>
        <v>MEET</v>
      </c>
      <c r="E124" s="23" t="str" cm="1">
        <f t="array" ref="E124">IFERROR(_xlfn.IFS(AM124&gt;0,"MEET", AN124&gt;0,"MEET"),"No")</f>
        <v>MEET</v>
      </c>
      <c r="F124" s="100">
        <v>2021069</v>
      </c>
      <c r="G124" s="37"/>
      <c r="H124" s="37">
        <f t="shared" si="25"/>
        <v>0.74295454545454553</v>
      </c>
      <c r="I124" s="37">
        <f t="shared" si="26"/>
        <v>0.74295454545454553</v>
      </c>
      <c r="J124" s="20">
        <v>2021</v>
      </c>
      <c r="K124" s="37"/>
      <c r="L124" s="37"/>
      <c r="M124" s="37">
        <f t="shared" si="27"/>
        <v>0</v>
      </c>
      <c r="N124" s="21">
        <v>0</v>
      </c>
      <c r="O124" s="23" t="s">
        <v>4878</v>
      </c>
      <c r="P124" s="22">
        <v>43141101</v>
      </c>
      <c r="Q124" s="19" t="s">
        <v>2411</v>
      </c>
      <c r="R124" s="23" t="s">
        <v>2418</v>
      </c>
      <c r="S124" s="38">
        <f>IFERROR(VLOOKUP(R124,[47]conductor_pz_summary_hftd_23_re!$B$2:$Q$3636,8,FALSE),0)</f>
        <v>298</v>
      </c>
      <c r="T124" s="201">
        <f>IFERROR(VLOOKUP(R124,[48]conductor_pz_summary_hftd_23_re!$B$2:$H$3636,7,0),0)/1609</f>
        <v>27.408190713785519</v>
      </c>
      <c r="U124" s="23">
        <f>IFERROR(VLOOKUP(R124,[47]conductor_pz_summary_hftd_23_re!$B$2:$Q$3636,14,FALSE),0)</f>
        <v>474</v>
      </c>
      <c r="V124" s="37">
        <f t="shared" si="28"/>
        <v>47.487768087276564</v>
      </c>
      <c r="W124" s="202">
        <f>IFERROR(VLOOKUP(R124,[47]conductor_pz_summary_hftd_23_re!$B$2:$Q$3636,13,FALSE),0)</f>
        <v>0.15935492646737101</v>
      </c>
      <c r="X124" s="73">
        <f>IFERROR(VLOOKUP(R124,conductor_pz_summary_hftd_23_re!$B$2:$N$3636,13,FALSE),0)</f>
        <v>1108</v>
      </c>
      <c r="Y124" s="203">
        <f t="shared" si="29"/>
        <v>1.0502308153130306</v>
      </c>
      <c r="Z124" s="23">
        <v>30</v>
      </c>
      <c r="AA124" s="23" t="s">
        <v>4871</v>
      </c>
      <c r="AB124" s="23" t="s">
        <v>4868</v>
      </c>
      <c r="AC124" s="19" t="s">
        <v>4872</v>
      </c>
      <c r="AD124" s="19" t="s">
        <v>4873</v>
      </c>
      <c r="AE124" s="19" t="s">
        <v>4874</v>
      </c>
      <c r="AF124" s="19" t="s">
        <v>4875</v>
      </c>
      <c r="AG124" s="23">
        <v>5795300</v>
      </c>
      <c r="AH124" s="23" t="s">
        <v>6132</v>
      </c>
      <c r="AI124" s="23">
        <v>120449201</v>
      </c>
      <c r="AJ124" s="120">
        <v>35226858</v>
      </c>
      <c r="AK124" s="23" t="s">
        <v>6127</v>
      </c>
      <c r="AL124" s="20">
        <f>0.36*5280</f>
        <v>1900.8</v>
      </c>
      <c r="AM124" s="20">
        <v>0</v>
      </c>
      <c r="AN124" s="20">
        <v>2022</v>
      </c>
      <c r="AO124" s="20">
        <v>0</v>
      </c>
      <c r="AP124" s="48"/>
      <c r="AQ124" s="39" t="s">
        <v>4915</v>
      </c>
      <c r="AR124" s="23">
        <v>0</v>
      </c>
      <c r="AS124" s="40">
        <v>0</v>
      </c>
      <c r="AT124" s="41">
        <v>0</v>
      </c>
      <c r="AU124" s="39" t="s">
        <v>6347</v>
      </c>
      <c r="AV124" s="19">
        <v>2022</v>
      </c>
      <c r="AW124" s="19">
        <v>0</v>
      </c>
      <c r="AX124" s="19">
        <v>1889</v>
      </c>
      <c r="AY124" s="23">
        <f t="shared" si="30"/>
        <v>3911</v>
      </c>
      <c r="AZ124" s="40">
        <f t="shared" ref="AZ124:AZ159" si="32">AY124/5280</f>
        <v>0.74071969696969697</v>
      </c>
      <c r="BA124" s="41">
        <v>510683</v>
      </c>
      <c r="BB124" s="187"/>
      <c r="BC124" s="44"/>
      <c r="BD124" s="191">
        <f t="shared" si="31"/>
        <v>0</v>
      </c>
      <c r="BE124" s="23"/>
      <c r="BF124" s="23"/>
      <c r="BG124" s="23"/>
      <c r="BH124" s="23"/>
      <c r="BI124" s="23"/>
      <c r="BJ124" s="23"/>
      <c r="BK124" s="40"/>
      <c r="BL124" s="44"/>
      <c r="BM124" s="41"/>
      <c r="BN124" s="45"/>
    </row>
    <row r="125" spans="1:66" s="19" customFormat="1" x14ac:dyDescent="0.25">
      <c r="A125" s="218">
        <v>35226859</v>
      </c>
      <c r="B125" s="222" t="s">
        <v>5499</v>
      </c>
      <c r="C125" s="23">
        <v>13</v>
      </c>
      <c r="D125" s="23" t="str" cm="1">
        <f t="array" ref="D125">IFERROR(_xlfn.IFS(U125&lt;727,"MEET", AB125="FRRB","MEET", AB125="PSPS","MEET"),"No")</f>
        <v>MEET</v>
      </c>
      <c r="E125" s="23" t="str" cm="1">
        <f t="array" ref="E125">IFERROR(_xlfn.IFS(AM125&gt;0,"MEET", AN125&gt;0,"MEET"),"No")</f>
        <v>No</v>
      </c>
      <c r="F125" s="100">
        <v>2021070</v>
      </c>
      <c r="G125" s="37"/>
      <c r="H125" s="37">
        <f t="shared" si="25"/>
        <v>0.87999999999999989</v>
      </c>
      <c r="I125" s="37">
        <f t="shared" si="26"/>
        <v>0.87999999999999989</v>
      </c>
      <c r="J125" s="20">
        <v>2021</v>
      </c>
      <c r="K125" s="37"/>
      <c r="L125" s="37"/>
      <c r="M125" s="37">
        <f t="shared" si="27"/>
        <v>0</v>
      </c>
      <c r="N125" s="21">
        <v>0</v>
      </c>
      <c r="O125" s="23" t="s">
        <v>4878</v>
      </c>
      <c r="P125" s="22">
        <v>43141101</v>
      </c>
      <c r="Q125" s="19" t="s">
        <v>2411</v>
      </c>
      <c r="R125" s="23" t="s">
        <v>2418</v>
      </c>
      <c r="S125" s="38">
        <f>IFERROR(VLOOKUP(R125,[47]conductor_pz_summary_hftd_23_re!$B$2:$Q$3636,8,FALSE),0)</f>
        <v>298</v>
      </c>
      <c r="T125" s="201">
        <f>IFERROR(VLOOKUP(R125,[48]conductor_pz_summary_hftd_23_re!$B$2:$H$3636,7,0),0)/1609</f>
        <v>27.408190713785519</v>
      </c>
      <c r="U125" s="23">
        <f>IFERROR(VLOOKUP(R125,[47]conductor_pz_summary_hftd_23_re!$B$2:$Q$3636,14,FALSE),0)</f>
        <v>474</v>
      </c>
      <c r="V125" s="37">
        <f t="shared" si="28"/>
        <v>47.487768087276564</v>
      </c>
      <c r="W125" s="202">
        <f>IFERROR(VLOOKUP(R125,[47]conductor_pz_summary_hftd_23_re!$B$2:$Q$3636,13,FALSE),0)</f>
        <v>0.15935492646737101</v>
      </c>
      <c r="X125" s="73">
        <f>IFERROR(VLOOKUP(R125,conductor_pz_summary_hftd_23_re!$B$2:$N$3636,13,FALSE),0)</f>
        <v>1108</v>
      </c>
      <c r="Y125" s="203">
        <f t="shared" si="29"/>
        <v>0.94531326562123108</v>
      </c>
      <c r="Z125" s="23">
        <v>30</v>
      </c>
      <c r="AA125" s="23" t="s">
        <v>4871</v>
      </c>
      <c r="AB125" s="23" t="s">
        <v>4868</v>
      </c>
      <c r="AC125" s="19" t="s">
        <v>4872</v>
      </c>
      <c r="AD125" s="19" t="s">
        <v>4873</v>
      </c>
      <c r="AE125" s="19" t="s">
        <v>4874</v>
      </c>
      <c r="AF125" s="19" t="s">
        <v>4875</v>
      </c>
      <c r="AG125" s="23">
        <v>5795300</v>
      </c>
      <c r="AH125" s="23" t="s">
        <v>6133</v>
      </c>
      <c r="AI125" s="23">
        <v>120449202</v>
      </c>
      <c r="AJ125" s="120">
        <v>35226859</v>
      </c>
      <c r="AK125" s="23" t="s">
        <v>6128</v>
      </c>
      <c r="AL125" s="20">
        <f>0.88*5280</f>
        <v>4646.3999999999996</v>
      </c>
      <c r="AM125" s="20">
        <v>0</v>
      </c>
      <c r="AN125" s="20">
        <v>0</v>
      </c>
      <c r="AO125" s="20">
        <v>0</v>
      </c>
      <c r="AP125" s="48"/>
      <c r="AQ125" s="39" t="s">
        <v>4915</v>
      </c>
      <c r="AR125" s="23">
        <v>0</v>
      </c>
      <c r="AS125" s="40">
        <v>0</v>
      </c>
      <c r="AT125" s="41">
        <v>0</v>
      </c>
      <c r="AU125" s="39" t="s">
        <v>6347</v>
      </c>
      <c r="AV125" s="19">
        <v>0</v>
      </c>
      <c r="AW125" s="19">
        <v>0</v>
      </c>
      <c r="AX125" s="19">
        <v>4659</v>
      </c>
      <c r="AY125" s="23">
        <f t="shared" si="30"/>
        <v>4659</v>
      </c>
      <c r="AZ125" s="40">
        <f t="shared" si="32"/>
        <v>0.88238636363636369</v>
      </c>
      <c r="BA125" s="41">
        <v>1123574</v>
      </c>
      <c r="BB125" s="187"/>
      <c r="BC125" s="44"/>
      <c r="BD125" s="191">
        <f t="shared" si="31"/>
        <v>0</v>
      </c>
      <c r="BE125" s="23"/>
      <c r="BF125" s="23"/>
      <c r="BG125" s="23"/>
      <c r="BH125" s="23"/>
      <c r="BI125" s="23"/>
      <c r="BJ125" s="23"/>
      <c r="BK125" s="40"/>
      <c r="BL125" s="44"/>
      <c r="BM125" s="41"/>
      <c r="BN125" s="45"/>
    </row>
    <row r="126" spans="1:66" s="19" customFormat="1" x14ac:dyDescent="0.25">
      <c r="A126" s="218">
        <v>35226861</v>
      </c>
      <c r="B126" s="222" t="s">
        <v>5499</v>
      </c>
      <c r="C126" s="23">
        <v>13</v>
      </c>
      <c r="D126" s="23" t="str" cm="1">
        <f t="array" ref="D126">IFERROR(_xlfn.IFS(U126&lt;727,"MEET", AB126="FRRB","MEET", AB126="PSPS","MEET"),"No")</f>
        <v>MEET</v>
      </c>
      <c r="E126" s="23" t="str" cm="1">
        <f t="array" ref="E126">IFERROR(_xlfn.IFS(AM126&gt;0,"MEET", AN126&gt;0,"MEET"),"No")</f>
        <v>No</v>
      </c>
      <c r="F126" s="100">
        <v>2021071</v>
      </c>
      <c r="G126" s="37"/>
      <c r="H126" s="37">
        <f t="shared" si="25"/>
        <v>0.75</v>
      </c>
      <c r="I126" s="37">
        <f t="shared" si="26"/>
        <v>0.75</v>
      </c>
      <c r="J126" s="20">
        <v>2021</v>
      </c>
      <c r="K126" s="37"/>
      <c r="L126" s="37"/>
      <c r="M126" s="37">
        <f t="shared" si="27"/>
        <v>0</v>
      </c>
      <c r="N126" s="21">
        <v>0</v>
      </c>
      <c r="O126" s="23" t="s">
        <v>4878</v>
      </c>
      <c r="P126" s="22">
        <v>43141101</v>
      </c>
      <c r="Q126" s="19" t="s">
        <v>2411</v>
      </c>
      <c r="R126" s="23" t="s">
        <v>2418</v>
      </c>
      <c r="S126" s="38">
        <f>IFERROR(VLOOKUP(R126,[47]conductor_pz_summary_hftd_23_re!$B$2:$Q$3636,8,FALSE),0)</f>
        <v>298</v>
      </c>
      <c r="T126" s="201">
        <f>IFERROR(VLOOKUP(R126,[48]conductor_pz_summary_hftd_23_re!$B$2:$H$3636,7,0),0)/1609</f>
        <v>27.408190713785519</v>
      </c>
      <c r="U126" s="23">
        <f>IFERROR(VLOOKUP(R126,[47]conductor_pz_summary_hftd_23_re!$B$2:$Q$3636,14,FALSE),0)</f>
        <v>474</v>
      </c>
      <c r="V126" s="37">
        <f t="shared" si="28"/>
        <v>47.487768087276564</v>
      </c>
      <c r="W126" s="202">
        <f>IFERROR(VLOOKUP(R126,[47]conductor_pz_summary_hftd_23_re!$B$2:$Q$3636,13,FALSE),0)</f>
        <v>0.15935492646737101</v>
      </c>
      <c r="X126" s="73">
        <f>IFERROR(VLOOKUP(R126,conductor_pz_summary_hftd_23_re!$B$2:$N$3636,13,FALSE),0)</f>
        <v>1108</v>
      </c>
      <c r="Y126" s="203">
        <f t="shared" si="29"/>
        <v>0.80566471501809467</v>
      </c>
      <c r="Z126" s="23">
        <v>30</v>
      </c>
      <c r="AA126" s="23" t="s">
        <v>4871</v>
      </c>
      <c r="AB126" s="23" t="s">
        <v>4868</v>
      </c>
      <c r="AC126" s="19" t="s">
        <v>4872</v>
      </c>
      <c r="AD126" s="19" t="s">
        <v>4873</v>
      </c>
      <c r="AE126" s="19" t="s">
        <v>4874</v>
      </c>
      <c r="AF126" s="19" t="s">
        <v>4875</v>
      </c>
      <c r="AG126" s="23">
        <v>5795300</v>
      </c>
      <c r="AH126" s="23" t="s">
        <v>6134</v>
      </c>
      <c r="AI126" s="23">
        <v>120449203</v>
      </c>
      <c r="AJ126" s="120">
        <v>35226861</v>
      </c>
      <c r="AK126" s="23" t="s">
        <v>6129</v>
      </c>
      <c r="AL126" s="20">
        <f>0.75*5280</f>
        <v>3960</v>
      </c>
      <c r="AM126" s="20">
        <v>0</v>
      </c>
      <c r="AN126" s="20">
        <v>0</v>
      </c>
      <c r="AO126" s="20">
        <v>0</v>
      </c>
      <c r="AP126" s="48"/>
      <c r="AQ126" s="39" t="s">
        <v>4915</v>
      </c>
      <c r="AR126" s="23">
        <v>0</v>
      </c>
      <c r="AS126" s="40">
        <v>0</v>
      </c>
      <c r="AT126" s="41">
        <v>0</v>
      </c>
      <c r="AU126" s="39" t="s">
        <v>6347</v>
      </c>
      <c r="AW126" s="19">
        <v>0</v>
      </c>
      <c r="AX126" s="19">
        <v>3986</v>
      </c>
      <c r="AY126" s="23">
        <f t="shared" si="30"/>
        <v>3986</v>
      </c>
      <c r="AZ126" s="40">
        <f t="shared" si="32"/>
        <v>0.75492424242424239</v>
      </c>
      <c r="BA126" s="41">
        <v>824385</v>
      </c>
      <c r="BB126" s="187"/>
      <c r="BC126" s="44"/>
      <c r="BD126" s="191">
        <f t="shared" si="31"/>
        <v>0</v>
      </c>
      <c r="BE126" s="23"/>
      <c r="BF126" s="23"/>
      <c r="BG126" s="23"/>
      <c r="BH126" s="23"/>
      <c r="BI126" s="23"/>
      <c r="BJ126" s="23"/>
      <c r="BK126" s="40"/>
      <c r="BL126" s="44"/>
      <c r="BM126" s="41"/>
      <c r="BN126" s="45"/>
    </row>
    <row r="127" spans="1:66" s="19" customFormat="1" x14ac:dyDescent="0.25">
      <c r="A127" s="218">
        <v>35226862</v>
      </c>
      <c r="B127" s="222" t="s">
        <v>5499</v>
      </c>
      <c r="C127" s="23">
        <v>13</v>
      </c>
      <c r="D127" s="23" t="str" cm="1">
        <f t="array" ref="D127">IFERROR(_xlfn.IFS(U127&lt;727,"MEET", AB127="FRRB","MEET", AB127="PSPS","MEET"),"No")</f>
        <v>MEET</v>
      </c>
      <c r="E127" s="23" t="str" cm="1">
        <f t="array" ref="E127">IFERROR(_xlfn.IFS(AM127&gt;0,"MEET", AN127&gt;0,"MEET"),"No")</f>
        <v>No</v>
      </c>
      <c r="F127" s="100">
        <v>2021072</v>
      </c>
      <c r="G127" s="37"/>
      <c r="H127" s="37">
        <f t="shared" si="25"/>
        <v>0.57999999999999996</v>
      </c>
      <c r="I127" s="37">
        <f t="shared" si="26"/>
        <v>0.57999999999999996</v>
      </c>
      <c r="J127" s="20">
        <v>2021</v>
      </c>
      <c r="K127" s="37"/>
      <c r="L127" s="37"/>
      <c r="M127" s="37">
        <f t="shared" si="27"/>
        <v>0</v>
      </c>
      <c r="N127" s="21">
        <v>0</v>
      </c>
      <c r="O127" s="23" t="s">
        <v>4878</v>
      </c>
      <c r="P127" s="22">
        <v>43141101</v>
      </c>
      <c r="Q127" s="19" t="s">
        <v>2411</v>
      </c>
      <c r="R127" s="23" t="s">
        <v>2418</v>
      </c>
      <c r="S127" s="38">
        <f>IFERROR(VLOOKUP(R127,[47]conductor_pz_summary_hftd_23_re!$B$2:$Q$3636,8,FALSE),0)</f>
        <v>298</v>
      </c>
      <c r="T127" s="201">
        <f>IFERROR(VLOOKUP(R127,[48]conductor_pz_summary_hftd_23_re!$B$2:$H$3636,7,0),0)/1609</f>
        <v>27.408190713785519</v>
      </c>
      <c r="U127" s="23">
        <f>IFERROR(VLOOKUP(R127,[47]conductor_pz_summary_hftd_23_re!$B$2:$Q$3636,14,FALSE),0)</f>
        <v>474</v>
      </c>
      <c r="V127" s="37">
        <f t="shared" si="28"/>
        <v>47.487768087276564</v>
      </c>
      <c r="W127" s="202">
        <f>IFERROR(VLOOKUP(R127,[47]conductor_pz_summary_hftd_23_re!$B$2:$Q$3636,13,FALSE),0)</f>
        <v>0.15935492646737101</v>
      </c>
      <c r="X127" s="183">
        <f>IFERROR(VLOOKUP(R127,conductor_pz_summary_hftd_23_re!$B$2:$N$3636,13,FALSE),0)</f>
        <v>1108</v>
      </c>
      <c r="Y127" s="203">
        <f t="shared" si="29"/>
        <v>0.62304737961399326</v>
      </c>
      <c r="Z127" s="23">
        <v>30</v>
      </c>
      <c r="AA127" s="23" t="s">
        <v>4871</v>
      </c>
      <c r="AB127" s="23" t="s">
        <v>4868</v>
      </c>
      <c r="AC127" s="19" t="s">
        <v>4872</v>
      </c>
      <c r="AD127" s="19" t="s">
        <v>4873</v>
      </c>
      <c r="AE127" s="19" t="s">
        <v>4874</v>
      </c>
      <c r="AF127" s="19" t="s">
        <v>4875</v>
      </c>
      <c r="AG127" s="23">
        <v>5795300</v>
      </c>
      <c r="AH127" s="23" t="s">
        <v>6135</v>
      </c>
      <c r="AI127" s="23">
        <v>120449204</v>
      </c>
      <c r="AJ127" s="120">
        <v>35226862</v>
      </c>
      <c r="AK127" s="23" t="s">
        <v>6130</v>
      </c>
      <c r="AL127" s="20">
        <f>0.58*5280</f>
        <v>3062.3999999999996</v>
      </c>
      <c r="AM127" s="20">
        <v>0</v>
      </c>
      <c r="AN127" s="20">
        <v>0</v>
      </c>
      <c r="AO127" s="20">
        <v>0</v>
      </c>
      <c r="AP127" s="48"/>
      <c r="AQ127" s="39" t="s">
        <v>4915</v>
      </c>
      <c r="AR127" s="23">
        <v>0</v>
      </c>
      <c r="AS127" s="40">
        <v>0</v>
      </c>
      <c r="AT127" s="41">
        <v>0</v>
      </c>
      <c r="AU127" s="39" t="s">
        <v>6347</v>
      </c>
      <c r="AW127" s="19">
        <v>0</v>
      </c>
      <c r="AX127" s="19">
        <v>3073</v>
      </c>
      <c r="AY127" s="23">
        <f t="shared" si="30"/>
        <v>3073</v>
      </c>
      <c r="AZ127" s="40">
        <f t="shared" si="32"/>
        <v>0.58200757575757578</v>
      </c>
      <c r="BA127" s="41">
        <v>635558</v>
      </c>
      <c r="BB127" s="187"/>
      <c r="BC127" s="44"/>
      <c r="BD127" s="191">
        <f t="shared" si="31"/>
        <v>0</v>
      </c>
      <c r="BE127" s="23"/>
      <c r="BF127" s="23"/>
      <c r="BG127" s="23"/>
      <c r="BH127" s="23"/>
      <c r="BI127" s="23"/>
      <c r="BJ127" s="23"/>
      <c r="BK127" s="40"/>
      <c r="BL127" s="44"/>
      <c r="BM127" s="41"/>
      <c r="BN127" s="45"/>
    </row>
    <row r="128" spans="1:66" s="19" customFormat="1" x14ac:dyDescent="0.25">
      <c r="A128" s="218">
        <v>35174479</v>
      </c>
      <c r="B128" s="222" t="s">
        <v>5499</v>
      </c>
      <c r="C128" s="23">
        <v>13</v>
      </c>
      <c r="D128" s="23" t="str" cm="1">
        <f t="array" ref="D128">IFERROR(_xlfn.IFS(U128&lt;727,"MEET", AB128="FRRB","MEET", AB128="PSPS","MEET"),"No")</f>
        <v>MEET</v>
      </c>
      <c r="E128" s="23" t="str" cm="1">
        <f t="array" ref="E128">IFERROR(_xlfn.IFS(AM128&gt;0,"MEET", AN128&gt;0,"MEET"),"No")</f>
        <v>No</v>
      </c>
      <c r="F128" s="100">
        <v>2021073</v>
      </c>
      <c r="G128" s="37"/>
      <c r="H128" s="37">
        <f t="shared" si="25"/>
        <v>0.72159090909090906</v>
      </c>
      <c r="I128" s="37">
        <f t="shared" si="26"/>
        <v>0.72159090909090906</v>
      </c>
      <c r="J128" s="20">
        <v>2021</v>
      </c>
      <c r="K128" s="37"/>
      <c r="L128" s="37"/>
      <c r="M128" s="37">
        <f t="shared" si="27"/>
        <v>0</v>
      </c>
      <c r="N128" s="21">
        <v>21891.62</v>
      </c>
      <c r="O128" s="217" t="s">
        <v>4878</v>
      </c>
      <c r="P128" s="22">
        <v>43141101</v>
      </c>
      <c r="Q128" s="19" t="s">
        <v>2411</v>
      </c>
      <c r="R128" s="23" t="s">
        <v>2418</v>
      </c>
      <c r="S128" s="38">
        <f>IFERROR(VLOOKUP(R128,[47]conductor_pz_summary_hftd_23_re!$B$2:$Q$3636,8,FALSE),0)</f>
        <v>298</v>
      </c>
      <c r="T128" s="201">
        <f>IFERROR(VLOOKUP(R128,[48]conductor_pz_summary_hftd_23_re!$B$2:$H$3636,7,0),0)/1609</f>
        <v>27.408190713785519</v>
      </c>
      <c r="U128" s="23">
        <f>IFERROR(VLOOKUP(R128,[47]conductor_pz_summary_hftd_23_re!$B$2:$Q$3636,14,FALSE),0)</f>
        <v>474</v>
      </c>
      <c r="V128" s="37">
        <f t="shared" si="28"/>
        <v>47.487768087276564</v>
      </c>
      <c r="W128" s="202">
        <f>IFERROR(VLOOKUP(R128,[47]conductor_pz_summary_hftd_23_re!$B$2:$Q$3636,13,FALSE),0)</f>
        <v>0.15935492646737101</v>
      </c>
      <c r="X128" s="73">
        <f>IFERROR(VLOOKUP(R128,conductor_pz_summary_hftd_23_re!$B$2:$N$3636,13,FALSE),0)</f>
        <v>1108</v>
      </c>
      <c r="Y128" s="203">
        <f t="shared" si="29"/>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6136</v>
      </c>
      <c r="AL128" s="20">
        <v>3810</v>
      </c>
      <c r="AM128" s="20">
        <v>0</v>
      </c>
      <c r="AN128" s="20">
        <v>0</v>
      </c>
      <c r="AO128" s="20">
        <v>0</v>
      </c>
      <c r="AP128" s="39" t="s">
        <v>5369</v>
      </c>
      <c r="AQ128" s="39" t="s">
        <v>4917</v>
      </c>
      <c r="AR128" s="23">
        <v>48840</v>
      </c>
      <c r="AS128" s="40">
        <v>9.25</v>
      </c>
      <c r="AT128" s="41">
        <v>13481516</v>
      </c>
      <c r="AU128" s="39" t="s">
        <v>6346</v>
      </c>
      <c r="AV128" s="19">
        <v>0</v>
      </c>
      <c r="AW128" s="19">
        <v>0</v>
      </c>
      <c r="AX128" s="19">
        <v>3810</v>
      </c>
      <c r="AY128" s="23">
        <f t="shared" si="30"/>
        <v>3810</v>
      </c>
      <c r="AZ128" s="40">
        <f t="shared" si="32"/>
        <v>0.72159090909090906</v>
      </c>
      <c r="BA128" s="41">
        <v>20851272.727272727</v>
      </c>
      <c r="BB128" s="187"/>
      <c r="BC128" s="44"/>
      <c r="BD128" s="191">
        <f t="shared" si="31"/>
        <v>0</v>
      </c>
      <c r="BE128" s="23"/>
      <c r="BF128" s="23"/>
      <c r="BG128" s="23"/>
      <c r="BH128" s="23"/>
      <c r="BI128" s="23"/>
      <c r="BJ128" s="23"/>
      <c r="BK128" s="40"/>
      <c r="BL128" s="44"/>
      <c r="BM128" s="41"/>
      <c r="BN128" s="45"/>
    </row>
    <row r="129" spans="1:66" s="19" customFormat="1" x14ac:dyDescent="0.25">
      <c r="A129" s="218">
        <v>35226863</v>
      </c>
      <c r="B129" s="222" t="s">
        <v>5499</v>
      </c>
      <c r="C129" s="23">
        <v>13</v>
      </c>
      <c r="D129" s="23" t="str" cm="1">
        <f t="array" ref="D129">IFERROR(_xlfn.IFS(U129&lt;727,"MEET", AB129="FRRB","MEET", AB129="PSPS","MEET"),"No")</f>
        <v>MEET</v>
      </c>
      <c r="E129" s="23" t="str" cm="1">
        <f t="array" ref="E129">IFERROR(_xlfn.IFS(AM129&gt;0,"MEET", AN129&gt;0,"MEET"),"No")</f>
        <v>No</v>
      </c>
      <c r="F129" s="100">
        <v>2021074</v>
      </c>
      <c r="G129" s="37"/>
      <c r="H129" s="37">
        <f t="shared" si="25"/>
        <v>0.5276515151515152</v>
      </c>
      <c r="I129" s="37">
        <f t="shared" si="26"/>
        <v>0.5276515151515152</v>
      </c>
      <c r="J129" s="20">
        <v>2021</v>
      </c>
      <c r="K129" s="37"/>
      <c r="L129" s="37"/>
      <c r="M129" s="37">
        <f t="shared" si="27"/>
        <v>0</v>
      </c>
      <c r="N129" s="21">
        <v>0</v>
      </c>
      <c r="O129" s="23" t="s">
        <v>4878</v>
      </c>
      <c r="P129" s="22">
        <v>43141101</v>
      </c>
      <c r="Q129" s="19" t="s">
        <v>2411</v>
      </c>
      <c r="R129" s="23" t="s">
        <v>2418</v>
      </c>
      <c r="S129" s="38">
        <f>IFERROR(VLOOKUP(R129,[47]conductor_pz_summary_hftd_23_re!$B$2:$Q$3636,8,FALSE),0)</f>
        <v>298</v>
      </c>
      <c r="T129" s="201">
        <f>IFERROR(VLOOKUP(R129,[48]conductor_pz_summary_hftd_23_re!$B$2:$H$3636,7,0),0)/1609</f>
        <v>27.408190713785519</v>
      </c>
      <c r="U129" s="23">
        <f>IFERROR(VLOOKUP(R129,[47]conductor_pz_summary_hftd_23_re!$B$2:$Q$3636,14,FALSE),0)</f>
        <v>474</v>
      </c>
      <c r="V129" s="37">
        <f t="shared" si="28"/>
        <v>47.487768087276564</v>
      </c>
      <c r="W129" s="202">
        <f>IFERROR(VLOOKUP(R129,[47]conductor_pz_summary_hftd_23_re!$B$2:$Q$3636,13,FALSE),0)</f>
        <v>0.15935492646737101</v>
      </c>
      <c r="X129" s="73">
        <f>IFERROR(VLOOKUP(R129,conductor_pz_summary_hftd_23_re!$B$2:$N$3636,13,FALSE),0)</f>
        <v>1108</v>
      </c>
      <c r="Y129" s="203">
        <f t="shared" si="29"/>
        <v>0.56681361011121523</v>
      </c>
      <c r="Z129" s="23">
        <v>30</v>
      </c>
      <c r="AA129" s="23" t="s">
        <v>4871</v>
      </c>
      <c r="AB129" s="23" t="s">
        <v>4868</v>
      </c>
      <c r="AC129" s="19" t="s">
        <v>4872</v>
      </c>
      <c r="AD129" s="19" t="s">
        <v>4873</v>
      </c>
      <c r="AE129" s="19" t="s">
        <v>4874</v>
      </c>
      <c r="AF129" s="19" t="s">
        <v>4875</v>
      </c>
      <c r="AG129" s="23">
        <v>5795300</v>
      </c>
      <c r="AH129" s="23" t="s">
        <v>6150</v>
      </c>
      <c r="AI129" s="23">
        <v>120449205</v>
      </c>
      <c r="AJ129" s="175">
        <v>35226863</v>
      </c>
      <c r="AK129" s="23" t="s">
        <v>6137</v>
      </c>
      <c r="AL129" s="20">
        <v>2786</v>
      </c>
      <c r="AM129" s="20">
        <v>0</v>
      </c>
      <c r="AN129" s="20">
        <v>0</v>
      </c>
      <c r="AO129" s="20">
        <v>0</v>
      </c>
      <c r="AP129" s="39" t="s">
        <v>5369</v>
      </c>
      <c r="AQ129" s="39" t="s">
        <v>4917</v>
      </c>
      <c r="AR129" s="23">
        <v>0</v>
      </c>
      <c r="AS129" s="40">
        <v>0</v>
      </c>
      <c r="AT129" s="41">
        <v>0</v>
      </c>
      <c r="AU129" s="39" t="s">
        <v>6346</v>
      </c>
      <c r="AV129" s="19">
        <v>0</v>
      </c>
      <c r="AW129" s="19">
        <v>0</v>
      </c>
      <c r="AX129" s="19">
        <v>2786</v>
      </c>
      <c r="AY129" s="23">
        <f t="shared" si="30"/>
        <v>2786</v>
      </c>
      <c r="AZ129" s="40">
        <f t="shared" si="32"/>
        <v>0.5276515151515152</v>
      </c>
      <c r="BA129" s="41">
        <v>0</v>
      </c>
      <c r="BB129" s="187"/>
      <c r="BC129" s="44"/>
      <c r="BD129" s="191">
        <f t="shared" si="31"/>
        <v>0</v>
      </c>
      <c r="BE129" s="23"/>
      <c r="BF129" s="23"/>
      <c r="BG129" s="23"/>
      <c r="BH129" s="23"/>
      <c r="BI129" s="23"/>
      <c r="BJ129" s="23"/>
      <c r="BK129" s="40"/>
      <c r="BL129" s="44"/>
      <c r="BM129" s="41"/>
      <c r="BN129" s="45"/>
    </row>
    <row r="130" spans="1:66" s="19" customFormat="1" x14ac:dyDescent="0.25">
      <c r="A130" s="218">
        <v>35226864</v>
      </c>
      <c r="B130" s="222" t="s">
        <v>5499</v>
      </c>
      <c r="C130" s="23">
        <v>13</v>
      </c>
      <c r="D130" s="23" t="str" cm="1">
        <f t="array" ref="D130">IFERROR(_xlfn.IFS(U130&lt;727,"MEET", AB130="FRRB","MEET", AB130="PSPS","MEET"),"No")</f>
        <v>MEET</v>
      </c>
      <c r="E130" s="23" t="str" cm="1">
        <f t="array" ref="E130">IFERROR(_xlfn.IFS(AM130&gt;0,"MEET", AN130&gt;0,"MEET"),"No")</f>
        <v>No</v>
      </c>
      <c r="F130" s="100">
        <v>2021075</v>
      </c>
      <c r="G130" s="37"/>
      <c r="H130" s="37">
        <f t="shared" si="25"/>
        <v>0.32651515151515154</v>
      </c>
      <c r="I130" s="37">
        <f t="shared" si="26"/>
        <v>0.32651515151515154</v>
      </c>
      <c r="J130" s="20">
        <v>2021</v>
      </c>
      <c r="K130" s="37"/>
      <c r="L130" s="37"/>
      <c r="M130" s="37">
        <f t="shared" si="27"/>
        <v>0</v>
      </c>
      <c r="N130" s="21">
        <v>0</v>
      </c>
      <c r="O130" s="23" t="s">
        <v>4878</v>
      </c>
      <c r="P130" s="22">
        <v>43141101</v>
      </c>
      <c r="Q130" s="19" t="s">
        <v>2411</v>
      </c>
      <c r="R130" s="23" t="s">
        <v>2418</v>
      </c>
      <c r="S130" s="38">
        <f>IFERROR(VLOOKUP(R130,[47]conductor_pz_summary_hftd_23_re!$B$2:$Q$3636,8,FALSE),0)</f>
        <v>298</v>
      </c>
      <c r="T130" s="201">
        <f>IFERROR(VLOOKUP(R130,[48]conductor_pz_summary_hftd_23_re!$B$2:$H$3636,7,0),0)/1609</f>
        <v>27.408190713785519</v>
      </c>
      <c r="U130" s="23">
        <f>IFERROR(VLOOKUP(R130,[47]conductor_pz_summary_hftd_23_re!$B$2:$Q$3636,14,FALSE),0)</f>
        <v>474</v>
      </c>
      <c r="V130" s="37">
        <f t="shared" si="28"/>
        <v>47.487768087276564</v>
      </c>
      <c r="W130" s="202">
        <f>IFERROR(VLOOKUP(R130,[47]conductor_pz_summary_hftd_23_re!$B$2:$Q$3636,13,FALSE),0)</f>
        <v>0.15935492646737101</v>
      </c>
      <c r="X130" s="73">
        <f>IFERROR(VLOOKUP(R130,conductor_pz_summary_hftd_23_re!$B$2:$N$3636,13,FALSE),0)</f>
        <v>1108</v>
      </c>
      <c r="Y130" s="203">
        <f t="shared" si="29"/>
        <v>0.35074898199272608</v>
      </c>
      <c r="Z130" s="23">
        <v>30</v>
      </c>
      <c r="AA130" s="23" t="s">
        <v>4871</v>
      </c>
      <c r="AB130" s="23" t="s">
        <v>4868</v>
      </c>
      <c r="AC130" s="19" t="s">
        <v>4872</v>
      </c>
      <c r="AD130" s="19" t="s">
        <v>4873</v>
      </c>
      <c r="AE130" s="19" t="s">
        <v>4874</v>
      </c>
      <c r="AF130" s="19" t="s">
        <v>4875</v>
      </c>
      <c r="AG130" s="23">
        <v>5795300</v>
      </c>
      <c r="AH130" s="23" t="s">
        <v>6151</v>
      </c>
      <c r="AI130" s="23">
        <v>120449207</v>
      </c>
      <c r="AJ130" s="175">
        <v>35226864</v>
      </c>
      <c r="AK130" s="23" t="s">
        <v>6138</v>
      </c>
      <c r="AL130" s="20">
        <v>1724</v>
      </c>
      <c r="AM130" s="20">
        <v>0</v>
      </c>
      <c r="AN130" s="20">
        <v>0</v>
      </c>
      <c r="AO130" s="20">
        <v>0</v>
      </c>
      <c r="AP130" s="39" t="s">
        <v>5369</v>
      </c>
      <c r="AQ130" s="39" t="s">
        <v>4917</v>
      </c>
      <c r="AR130" s="23">
        <v>0</v>
      </c>
      <c r="AS130" s="40">
        <v>0</v>
      </c>
      <c r="AT130" s="41">
        <v>0</v>
      </c>
      <c r="AU130" s="39" t="s">
        <v>6346</v>
      </c>
      <c r="AV130" s="19">
        <v>0</v>
      </c>
      <c r="AW130" s="19">
        <v>0</v>
      </c>
      <c r="AX130" s="19">
        <v>1724</v>
      </c>
      <c r="AY130" s="23">
        <f t="shared" si="30"/>
        <v>1724</v>
      </c>
      <c r="AZ130" s="40">
        <f t="shared" si="32"/>
        <v>0.32651515151515154</v>
      </c>
      <c r="BA130" s="41">
        <v>0</v>
      </c>
      <c r="BB130" s="187"/>
      <c r="BC130" s="44"/>
      <c r="BD130" s="191">
        <f t="shared" si="31"/>
        <v>0</v>
      </c>
      <c r="BE130" s="23"/>
      <c r="BF130" s="23"/>
      <c r="BG130" s="23"/>
      <c r="BH130" s="23"/>
      <c r="BI130" s="23"/>
      <c r="BJ130" s="23"/>
      <c r="BK130" s="40"/>
      <c r="BL130" s="44"/>
      <c r="BM130" s="41"/>
      <c r="BN130" s="45"/>
    </row>
    <row r="131" spans="1:66" s="19" customFormat="1" x14ac:dyDescent="0.25">
      <c r="A131" s="218">
        <v>35226865</v>
      </c>
      <c r="B131" s="222" t="s">
        <v>5499</v>
      </c>
      <c r="C131" s="23">
        <v>13</v>
      </c>
      <c r="D131" s="23" t="str" cm="1">
        <f t="array" ref="D131">IFERROR(_xlfn.IFS(U131&lt;727,"MEET", AB131="FRRB","MEET", AB131="PSPS","MEET"),"No")</f>
        <v>MEET</v>
      </c>
      <c r="E131" s="23" t="str" cm="1">
        <f t="array" ref="E131">IFERROR(_xlfn.IFS(AM131&gt;0,"MEET", AN131&gt;0,"MEET"),"No")</f>
        <v>No</v>
      </c>
      <c r="F131" s="100">
        <v>2021076</v>
      </c>
      <c r="G131" s="37"/>
      <c r="H131" s="37">
        <f t="shared" si="25"/>
        <v>0.23541666666666666</v>
      </c>
      <c r="I131" s="37">
        <f t="shared" si="26"/>
        <v>0.23541666666666666</v>
      </c>
      <c r="J131" s="20">
        <v>2021</v>
      </c>
      <c r="K131" s="37"/>
      <c r="L131" s="37"/>
      <c r="M131" s="37">
        <f t="shared" si="27"/>
        <v>0</v>
      </c>
      <c r="N131" s="21">
        <v>0</v>
      </c>
      <c r="O131" s="23" t="s">
        <v>4878</v>
      </c>
      <c r="P131" s="22">
        <v>43141101</v>
      </c>
      <c r="Q131" s="19" t="s">
        <v>2411</v>
      </c>
      <c r="R131" s="23" t="s">
        <v>2418</v>
      </c>
      <c r="S131" s="38">
        <f>IFERROR(VLOOKUP(R131,[47]conductor_pz_summary_hftd_23_re!$B$2:$Q$3636,8,FALSE),0)</f>
        <v>298</v>
      </c>
      <c r="T131" s="201">
        <f>IFERROR(VLOOKUP(R131,[48]conductor_pz_summary_hftd_23_re!$B$2:$H$3636,7,0),0)/1609</f>
        <v>27.408190713785519</v>
      </c>
      <c r="U131" s="23">
        <f>IFERROR(VLOOKUP(R131,[47]conductor_pz_summary_hftd_23_re!$B$2:$Q$3636,14,FALSE),0)</f>
        <v>474</v>
      </c>
      <c r="V131" s="37">
        <f t="shared" si="28"/>
        <v>47.487768087276564</v>
      </c>
      <c r="W131" s="202">
        <f>IFERROR(VLOOKUP(R131,[47]conductor_pz_summary_hftd_23_re!$B$2:$Q$3636,13,FALSE),0)</f>
        <v>0.15935492646737101</v>
      </c>
      <c r="X131" s="73">
        <f>IFERROR(VLOOKUP(R131,conductor_pz_summary_hftd_23_re!$B$2:$N$3636,13,FALSE),0)</f>
        <v>1108</v>
      </c>
      <c r="Y131" s="203">
        <f t="shared" si="29"/>
        <v>0.25288920221401306</v>
      </c>
      <c r="Z131" s="23">
        <v>30</v>
      </c>
      <c r="AA131" s="23" t="s">
        <v>4871</v>
      </c>
      <c r="AB131" s="23" t="s">
        <v>4868</v>
      </c>
      <c r="AC131" s="19" t="s">
        <v>4872</v>
      </c>
      <c r="AD131" s="19" t="s">
        <v>4873</v>
      </c>
      <c r="AE131" s="19" t="s">
        <v>4874</v>
      </c>
      <c r="AF131" s="19" t="s">
        <v>4875</v>
      </c>
      <c r="AG131" s="23">
        <v>5795300</v>
      </c>
      <c r="AH131" s="23" t="s">
        <v>6152</v>
      </c>
      <c r="AI131" s="23">
        <v>120449208</v>
      </c>
      <c r="AJ131" s="175">
        <v>35226865</v>
      </c>
      <c r="AK131" s="23" t="s">
        <v>6139</v>
      </c>
      <c r="AL131" s="20">
        <v>1243</v>
      </c>
      <c r="AM131" s="20">
        <v>0</v>
      </c>
      <c r="AN131" s="20">
        <v>0</v>
      </c>
      <c r="AO131" s="20">
        <v>0</v>
      </c>
      <c r="AP131" s="39" t="s">
        <v>5369</v>
      </c>
      <c r="AQ131" s="39" t="s">
        <v>4917</v>
      </c>
      <c r="AR131" s="23">
        <v>0</v>
      </c>
      <c r="AS131" s="40">
        <v>0</v>
      </c>
      <c r="AT131" s="41">
        <v>0</v>
      </c>
      <c r="AU131" s="39" t="s">
        <v>6346</v>
      </c>
      <c r="AW131" s="19">
        <v>0</v>
      </c>
      <c r="AX131" s="19">
        <v>1243</v>
      </c>
      <c r="AY131" s="23">
        <f t="shared" si="30"/>
        <v>1243</v>
      </c>
      <c r="AZ131" s="40">
        <f t="shared" si="32"/>
        <v>0.23541666666666666</v>
      </c>
      <c r="BA131" s="41">
        <v>0</v>
      </c>
      <c r="BB131" s="187"/>
      <c r="BC131" s="44"/>
      <c r="BD131" s="191">
        <f t="shared" si="31"/>
        <v>0</v>
      </c>
      <c r="BE131" s="23"/>
      <c r="BF131" s="23"/>
      <c r="BG131" s="23"/>
      <c r="BH131" s="23"/>
      <c r="BI131" s="23"/>
      <c r="BJ131" s="23"/>
      <c r="BK131" s="40"/>
      <c r="BL131" s="44"/>
      <c r="BM131" s="41"/>
      <c r="BN131" s="45"/>
    </row>
    <row r="132" spans="1:66" s="19" customFormat="1" x14ac:dyDescent="0.25">
      <c r="A132" s="218">
        <v>35226866</v>
      </c>
      <c r="B132" s="222" t="s">
        <v>5499</v>
      </c>
      <c r="C132" s="23">
        <v>13</v>
      </c>
      <c r="D132" s="23" t="str" cm="1">
        <f t="array" ref="D132">IFERROR(_xlfn.IFS(U132&lt;727,"MEET", AB132="FRRB","MEET", AB132="PSPS","MEET"),"No")</f>
        <v>MEET</v>
      </c>
      <c r="E132" s="23" t="str" cm="1">
        <f t="array" ref="E132">IFERROR(_xlfn.IFS(AM132&gt;0,"MEET", AN132&gt;0,"MEET"),"No")</f>
        <v>No</v>
      </c>
      <c r="F132" s="100">
        <v>2021077</v>
      </c>
      <c r="G132" s="37"/>
      <c r="H132" s="37">
        <f t="shared" si="25"/>
        <v>0.51818181818181819</v>
      </c>
      <c r="I132" s="37">
        <f t="shared" si="26"/>
        <v>0.51818181818181819</v>
      </c>
      <c r="J132" s="20">
        <v>2021</v>
      </c>
      <c r="K132" s="37"/>
      <c r="L132" s="37"/>
      <c r="M132" s="37">
        <f t="shared" si="27"/>
        <v>0</v>
      </c>
      <c r="N132" s="21">
        <v>0</v>
      </c>
      <c r="O132" s="23" t="s">
        <v>4878</v>
      </c>
      <c r="P132" s="22">
        <v>43141101</v>
      </c>
      <c r="Q132" s="19" t="s">
        <v>2411</v>
      </c>
      <c r="R132" s="23" t="s">
        <v>2418</v>
      </c>
      <c r="S132" s="38">
        <f>IFERROR(VLOOKUP(R132,[47]conductor_pz_summary_hftd_23_re!$B$2:$Q$3636,8,FALSE),0)</f>
        <v>298</v>
      </c>
      <c r="T132" s="201">
        <f>IFERROR(VLOOKUP(R132,[48]conductor_pz_summary_hftd_23_re!$B$2:$H$3636,7,0),0)/1609</f>
        <v>27.408190713785519</v>
      </c>
      <c r="U132" s="23">
        <f>IFERROR(VLOOKUP(R132,[47]conductor_pz_summary_hftd_23_re!$B$2:$Q$3636,14,FALSE),0)</f>
        <v>474</v>
      </c>
      <c r="V132" s="37">
        <f t="shared" si="28"/>
        <v>47.487768087276564</v>
      </c>
      <c r="W132" s="202">
        <f>IFERROR(VLOOKUP(R132,[47]conductor_pz_summary_hftd_23_re!$B$2:$Q$3636,13,FALSE),0)</f>
        <v>0.15935492646737101</v>
      </c>
      <c r="X132" s="73">
        <f>IFERROR(VLOOKUP(R132,conductor_pz_summary_hftd_23_re!$B$2:$N$3636,13,FALSE),0)</f>
        <v>1108</v>
      </c>
      <c r="Y132" s="203">
        <f t="shared" si="29"/>
        <v>0.55664107583068367</v>
      </c>
      <c r="Z132" s="23">
        <v>30</v>
      </c>
      <c r="AA132" s="23" t="s">
        <v>4871</v>
      </c>
      <c r="AB132" s="23" t="s">
        <v>4868</v>
      </c>
      <c r="AC132" s="19" t="s">
        <v>4872</v>
      </c>
      <c r="AD132" s="19" t="s">
        <v>4873</v>
      </c>
      <c r="AE132" s="19" t="s">
        <v>4874</v>
      </c>
      <c r="AF132" s="19" t="s">
        <v>4875</v>
      </c>
      <c r="AG132" s="23">
        <v>5795300</v>
      </c>
      <c r="AH132" s="23" t="s">
        <v>6153</v>
      </c>
      <c r="AI132" s="23">
        <v>120449230</v>
      </c>
      <c r="AJ132" s="175">
        <v>35226866</v>
      </c>
      <c r="AK132" s="23" t="s">
        <v>6140</v>
      </c>
      <c r="AL132" s="20">
        <v>2736</v>
      </c>
      <c r="AM132" s="20">
        <v>0</v>
      </c>
      <c r="AN132" s="20">
        <v>0</v>
      </c>
      <c r="AO132" s="20">
        <v>0</v>
      </c>
      <c r="AP132" s="39" t="s">
        <v>5369</v>
      </c>
      <c r="AQ132" s="39" t="s">
        <v>4917</v>
      </c>
      <c r="AR132" s="23">
        <v>0</v>
      </c>
      <c r="AS132" s="40">
        <v>0</v>
      </c>
      <c r="AT132" s="41">
        <v>0</v>
      </c>
      <c r="AU132" s="39" t="s">
        <v>6346</v>
      </c>
      <c r="AV132" s="19">
        <v>0</v>
      </c>
      <c r="AW132" s="19">
        <v>0</v>
      </c>
      <c r="AX132" s="19">
        <v>2736</v>
      </c>
      <c r="AY132" s="23">
        <f t="shared" si="30"/>
        <v>2736</v>
      </c>
      <c r="AZ132" s="40">
        <f t="shared" si="32"/>
        <v>0.51818181818181819</v>
      </c>
      <c r="BA132" s="41">
        <v>0</v>
      </c>
      <c r="BB132" s="187"/>
      <c r="BC132" s="44"/>
      <c r="BD132" s="191">
        <f t="shared" si="31"/>
        <v>0</v>
      </c>
      <c r="BE132" s="23"/>
      <c r="BF132" s="23"/>
      <c r="BG132" s="23"/>
      <c r="BH132" s="23"/>
      <c r="BI132" s="23"/>
      <c r="BJ132" s="23"/>
      <c r="BK132" s="40"/>
      <c r="BL132" s="44"/>
      <c r="BM132" s="41"/>
      <c r="BN132" s="45"/>
    </row>
    <row r="133" spans="1:66" s="19" customFormat="1" x14ac:dyDescent="0.25">
      <c r="A133" s="218">
        <v>35226870</v>
      </c>
      <c r="B133" s="222" t="s">
        <v>5499</v>
      </c>
      <c r="C133" s="23">
        <v>13</v>
      </c>
      <c r="D133" s="23" t="str" cm="1">
        <f t="array" ref="D133">IFERROR(_xlfn.IFS(U133&lt;727,"MEET", AB133="FRRB","MEET", AB133="PSPS","MEET"),"No")</f>
        <v>MEET</v>
      </c>
      <c r="E133" s="23" t="str" cm="1">
        <f t="array" ref="E133">IFERROR(_xlfn.IFS(AM133&gt;0,"MEET", AN133&gt;0,"MEET"),"No")</f>
        <v>No</v>
      </c>
      <c r="F133" s="100">
        <v>2021078</v>
      </c>
      <c r="G133" s="37"/>
      <c r="H133" s="37">
        <f t="shared" si="25"/>
        <v>0.41950757575757575</v>
      </c>
      <c r="I133" s="37">
        <f t="shared" si="26"/>
        <v>0.41950757575757575</v>
      </c>
      <c r="J133" s="20">
        <v>2021</v>
      </c>
      <c r="K133" s="37"/>
      <c r="L133" s="37"/>
      <c r="M133" s="37">
        <f t="shared" si="27"/>
        <v>0</v>
      </c>
      <c r="N133" s="21">
        <v>0</v>
      </c>
      <c r="O133" s="23" t="s">
        <v>4878</v>
      </c>
      <c r="P133" s="22">
        <v>43141101</v>
      </c>
      <c r="Q133" s="19" t="s">
        <v>2411</v>
      </c>
      <c r="R133" s="23" t="s">
        <v>2418</v>
      </c>
      <c r="S133" s="38">
        <f>IFERROR(VLOOKUP(R133,[47]conductor_pz_summary_hftd_23_re!$B$2:$Q$3636,8,FALSE),0)</f>
        <v>298</v>
      </c>
      <c r="T133" s="201">
        <f>IFERROR(VLOOKUP(R133,[48]conductor_pz_summary_hftd_23_re!$B$2:$H$3636,7,0),0)/1609</f>
        <v>27.408190713785519</v>
      </c>
      <c r="U133" s="23">
        <f>IFERROR(VLOOKUP(R133,[47]conductor_pz_summary_hftd_23_re!$B$2:$Q$3636,14,FALSE),0)</f>
        <v>474</v>
      </c>
      <c r="V133" s="37">
        <f t="shared" si="28"/>
        <v>47.487768087276564</v>
      </c>
      <c r="W133" s="202">
        <f>IFERROR(VLOOKUP(R133,[47]conductor_pz_summary_hftd_23_re!$B$2:$Q$3636,13,FALSE),0)</f>
        <v>0.15935492646737101</v>
      </c>
      <c r="X133" s="73">
        <f>IFERROR(VLOOKUP(R133,conductor_pz_summary_hftd_23_re!$B$2:$N$3636,13,FALSE),0)</f>
        <v>1108</v>
      </c>
      <c r="Y133" s="203">
        <f t="shared" si="29"/>
        <v>0.45064326862754539</v>
      </c>
      <c r="Z133" s="23">
        <v>30</v>
      </c>
      <c r="AA133" s="23" t="s">
        <v>4871</v>
      </c>
      <c r="AB133" s="23" t="s">
        <v>4868</v>
      </c>
      <c r="AC133" s="19" t="s">
        <v>4872</v>
      </c>
      <c r="AD133" s="19" t="s">
        <v>4873</v>
      </c>
      <c r="AE133" s="19" t="s">
        <v>4874</v>
      </c>
      <c r="AF133" s="19" t="s">
        <v>4875</v>
      </c>
      <c r="AG133" s="23">
        <v>5795300</v>
      </c>
      <c r="AH133" s="23" t="s">
        <v>6154</v>
      </c>
      <c r="AI133" s="23">
        <v>120449231</v>
      </c>
      <c r="AJ133" s="175">
        <v>35226870</v>
      </c>
      <c r="AK133" s="23" t="s">
        <v>6141</v>
      </c>
      <c r="AL133" s="20">
        <v>2215</v>
      </c>
      <c r="AM133" s="20">
        <v>0</v>
      </c>
      <c r="AN133" s="20">
        <v>0</v>
      </c>
      <c r="AO133" s="20">
        <v>0</v>
      </c>
      <c r="AP133" s="39" t="s">
        <v>5369</v>
      </c>
      <c r="AQ133" s="39" t="s">
        <v>4917</v>
      </c>
      <c r="AR133" s="23">
        <v>0</v>
      </c>
      <c r="AS133" s="40">
        <v>0</v>
      </c>
      <c r="AT133" s="41">
        <v>0</v>
      </c>
      <c r="AU133" s="39" t="s">
        <v>6346</v>
      </c>
      <c r="AV133" s="19">
        <v>0</v>
      </c>
      <c r="AW133" s="19">
        <v>0</v>
      </c>
      <c r="AX133" s="19">
        <v>2215</v>
      </c>
      <c r="AY133" s="23">
        <f t="shared" si="30"/>
        <v>2215</v>
      </c>
      <c r="AZ133" s="40">
        <f t="shared" si="32"/>
        <v>0.41950757575757575</v>
      </c>
      <c r="BA133" s="41">
        <v>0</v>
      </c>
      <c r="BB133" s="187"/>
      <c r="BC133" s="44"/>
      <c r="BD133" s="191">
        <f t="shared" si="31"/>
        <v>0</v>
      </c>
      <c r="BE133" s="23"/>
      <c r="BF133" s="23"/>
      <c r="BG133" s="23"/>
      <c r="BH133" s="23"/>
      <c r="BI133" s="23"/>
      <c r="BJ133" s="23"/>
      <c r="BK133" s="40"/>
      <c r="BL133" s="44"/>
      <c r="BM133" s="41"/>
      <c r="BN133" s="45"/>
    </row>
    <row r="134" spans="1:66" s="19" customFormat="1" x14ac:dyDescent="0.25">
      <c r="A134" s="218">
        <v>35226871</v>
      </c>
      <c r="B134" s="222" t="s">
        <v>5499</v>
      </c>
      <c r="C134" s="23">
        <v>13</v>
      </c>
      <c r="D134" s="23" t="str" cm="1">
        <f t="array" ref="D134">IFERROR(_xlfn.IFS(U134&lt;727,"MEET", AB134="FRRB","MEET", AB134="PSPS","MEET"),"No")</f>
        <v>MEET</v>
      </c>
      <c r="E134" s="23" t="str" cm="1">
        <f t="array" ref="E134">IFERROR(_xlfn.IFS(AM134&gt;0,"MEET", AN134&gt;0,"MEET"),"No")</f>
        <v>MEET</v>
      </c>
      <c r="F134" s="100">
        <v>2021079</v>
      </c>
      <c r="G134" s="37"/>
      <c r="H134" s="37">
        <f t="shared" si="25"/>
        <v>1.9117424242424241</v>
      </c>
      <c r="I134" s="37">
        <f t="shared" si="26"/>
        <v>1.9117424242424241</v>
      </c>
      <c r="J134" s="20">
        <v>2021</v>
      </c>
      <c r="K134" s="37"/>
      <c r="L134" s="37"/>
      <c r="M134" s="37">
        <f t="shared" si="27"/>
        <v>0</v>
      </c>
      <c r="N134" s="21">
        <v>0</v>
      </c>
      <c r="O134" s="23" t="s">
        <v>4878</v>
      </c>
      <c r="P134" s="22">
        <v>43141101</v>
      </c>
      <c r="Q134" s="19" t="s">
        <v>2411</v>
      </c>
      <c r="R134" s="23" t="s">
        <v>2418</v>
      </c>
      <c r="S134" s="38">
        <f>IFERROR(VLOOKUP(R134,[47]conductor_pz_summary_hftd_23_re!$B$2:$Q$3636,8,FALSE),0)</f>
        <v>298</v>
      </c>
      <c r="T134" s="201">
        <f>IFERROR(VLOOKUP(R134,[48]conductor_pz_summary_hftd_23_re!$B$2:$H$3636,7,0),0)/1609</f>
        <v>27.408190713785519</v>
      </c>
      <c r="U134" s="23">
        <f>IFERROR(VLOOKUP(R134,[47]conductor_pz_summary_hftd_23_re!$B$2:$Q$3636,14,FALSE),0)</f>
        <v>474</v>
      </c>
      <c r="V134" s="37">
        <f t="shared" si="28"/>
        <v>47.487768087276564</v>
      </c>
      <c r="W134" s="202">
        <f>IFERROR(VLOOKUP(R134,[47]conductor_pz_summary_hftd_23_re!$B$2:$Q$3636,13,FALSE),0)</f>
        <v>0.15935492646737101</v>
      </c>
      <c r="X134" s="73">
        <f>IFERROR(VLOOKUP(R134,conductor_pz_summary_hftd_23_re!$B$2:$N$3636,13,FALSE),0)</f>
        <v>1108</v>
      </c>
      <c r="Y134" s="203">
        <f t="shared" si="29"/>
        <v>3.2398405986184633</v>
      </c>
      <c r="Z134" s="23">
        <v>30</v>
      </c>
      <c r="AA134" s="23" t="s">
        <v>4871</v>
      </c>
      <c r="AB134" s="23" t="s">
        <v>4868</v>
      </c>
      <c r="AC134" s="19" t="s">
        <v>4872</v>
      </c>
      <c r="AD134" s="19" t="s">
        <v>4873</v>
      </c>
      <c r="AE134" s="19" t="s">
        <v>4874</v>
      </c>
      <c r="AF134" s="19" t="s">
        <v>4875</v>
      </c>
      <c r="AG134" s="23">
        <v>5795300</v>
      </c>
      <c r="AH134" s="23" t="s">
        <v>6155</v>
      </c>
      <c r="AI134" s="23">
        <v>120449235</v>
      </c>
      <c r="AJ134" s="175">
        <v>35226871</v>
      </c>
      <c r="AK134" s="23" t="s">
        <v>6142</v>
      </c>
      <c r="AL134" s="20">
        <v>420</v>
      </c>
      <c r="AM134" s="20">
        <v>6124</v>
      </c>
      <c r="AN134" s="20">
        <v>3550</v>
      </c>
      <c r="AO134" s="20">
        <v>0</v>
      </c>
      <c r="AP134" s="39" t="s">
        <v>5369</v>
      </c>
      <c r="AQ134" s="39" t="s">
        <v>4917</v>
      </c>
      <c r="AR134" s="23">
        <v>0</v>
      </c>
      <c r="AS134" s="40">
        <v>0</v>
      </c>
      <c r="AT134" s="41">
        <v>0</v>
      </c>
      <c r="AU134" s="39" t="s">
        <v>6346</v>
      </c>
      <c r="AV134" s="19">
        <v>3205</v>
      </c>
      <c r="AW134" s="19">
        <v>6124</v>
      </c>
      <c r="AX134" s="19">
        <v>420</v>
      </c>
      <c r="AY134" s="23">
        <f t="shared" si="30"/>
        <v>9749</v>
      </c>
      <c r="AZ134" s="40">
        <f t="shared" si="32"/>
        <v>1.8464015151515152</v>
      </c>
      <c r="BA134" s="41">
        <v>0</v>
      </c>
      <c r="BB134" s="187"/>
      <c r="BC134" s="44"/>
      <c r="BD134" s="191">
        <f t="shared" si="31"/>
        <v>0</v>
      </c>
      <c r="BE134" s="23"/>
      <c r="BF134" s="23"/>
      <c r="BG134" s="23"/>
      <c r="BH134" s="23"/>
      <c r="BI134" s="23"/>
      <c r="BJ134" s="23"/>
      <c r="BK134" s="40"/>
      <c r="BL134" s="44"/>
      <c r="BM134" s="41"/>
      <c r="BN134" s="45"/>
    </row>
    <row r="135" spans="1:66" s="19" customFormat="1" x14ac:dyDescent="0.25">
      <c r="A135" s="218">
        <v>35226872</v>
      </c>
      <c r="B135" s="222" t="s">
        <v>5499</v>
      </c>
      <c r="C135" s="23">
        <v>13</v>
      </c>
      <c r="D135" s="23" t="str" cm="1">
        <f t="array" ref="D135">IFERROR(_xlfn.IFS(U135&lt;727,"MEET", AB135="FRRB","MEET", AB135="PSPS","MEET"),"No")</f>
        <v>MEET</v>
      </c>
      <c r="E135" s="23" t="str" cm="1">
        <f t="array" ref="E135">IFERROR(_xlfn.IFS(AM135&gt;0,"MEET", AN135&gt;0,"MEET"),"No")</f>
        <v>MEET</v>
      </c>
      <c r="F135" s="100">
        <v>2021080</v>
      </c>
      <c r="G135" s="37"/>
      <c r="H135" s="37">
        <f t="shared" si="25"/>
        <v>1.4880681818181818</v>
      </c>
      <c r="I135" s="37">
        <f t="shared" si="26"/>
        <v>1.4880681818181818</v>
      </c>
      <c r="J135" s="20">
        <v>2021</v>
      </c>
      <c r="K135" s="37"/>
      <c r="L135" s="37"/>
      <c r="M135" s="37">
        <f t="shared" si="27"/>
        <v>0</v>
      </c>
      <c r="N135" s="21">
        <v>0</v>
      </c>
      <c r="O135" s="23" t="s">
        <v>4878</v>
      </c>
      <c r="P135" s="22">
        <v>43141101</v>
      </c>
      <c r="Q135" s="19" t="s">
        <v>2411</v>
      </c>
      <c r="R135" s="23" t="s">
        <v>2418</v>
      </c>
      <c r="S135" s="38">
        <f>IFERROR(VLOOKUP(R135,[47]conductor_pz_summary_hftd_23_re!$B$2:$Q$3636,8,FALSE),0)</f>
        <v>298</v>
      </c>
      <c r="T135" s="201">
        <f>IFERROR(VLOOKUP(R135,[48]conductor_pz_summary_hftd_23_re!$B$2:$H$3636,7,0),0)/1609</f>
        <v>27.408190713785519</v>
      </c>
      <c r="U135" s="23">
        <f>IFERROR(VLOOKUP(R135,[47]conductor_pz_summary_hftd_23_re!$B$2:$Q$3636,14,FALSE),0)</f>
        <v>474</v>
      </c>
      <c r="V135" s="37">
        <f t="shared" si="28"/>
        <v>47.487768087276564</v>
      </c>
      <c r="W135" s="202">
        <f>IFERROR(VLOOKUP(R135,[47]conductor_pz_summary_hftd_23_re!$B$2:$Q$3636,13,FALSE),0)</f>
        <v>0.15935492646737101</v>
      </c>
      <c r="X135" s="73">
        <f>IFERROR(VLOOKUP(R135,conductor_pz_summary_hftd_23_re!$B$2:$N$3636,13,FALSE),0)</f>
        <v>1108</v>
      </c>
      <c r="Y135" s="203">
        <f t="shared" si="29"/>
        <v>2.4242264887814748</v>
      </c>
      <c r="Z135" s="23">
        <v>30</v>
      </c>
      <c r="AA135" s="23" t="s">
        <v>4871</v>
      </c>
      <c r="AB135" s="23" t="s">
        <v>4868</v>
      </c>
      <c r="AC135" s="19" t="s">
        <v>4872</v>
      </c>
      <c r="AD135" s="19" t="s">
        <v>4873</v>
      </c>
      <c r="AE135" s="19" t="s">
        <v>4874</v>
      </c>
      <c r="AF135" s="19" t="s">
        <v>4875</v>
      </c>
      <c r="AG135" s="23">
        <v>5795300</v>
      </c>
      <c r="AH135" s="23" t="s">
        <v>6156</v>
      </c>
      <c r="AI135" s="23">
        <v>120449236</v>
      </c>
      <c r="AJ135" s="175">
        <v>35226872</v>
      </c>
      <c r="AK135" s="23" t="s">
        <v>6143</v>
      </c>
      <c r="AL135" s="20">
        <v>1168</v>
      </c>
      <c r="AM135" s="20">
        <v>2552</v>
      </c>
      <c r="AN135" s="20">
        <v>4137</v>
      </c>
      <c r="AO135" s="20">
        <v>0</v>
      </c>
      <c r="AP135" s="39" t="s">
        <v>5369</v>
      </c>
      <c r="AQ135" s="39" t="s">
        <v>4917</v>
      </c>
      <c r="AR135" s="23">
        <v>0</v>
      </c>
      <c r="AS135" s="40">
        <v>0</v>
      </c>
      <c r="AT135" s="41">
        <v>0</v>
      </c>
      <c r="AU135" s="39" t="s">
        <v>6346</v>
      </c>
      <c r="AV135" s="19">
        <v>2328</v>
      </c>
      <c r="AW135" s="19">
        <v>2552</v>
      </c>
      <c r="AX135" s="19">
        <v>1168</v>
      </c>
      <c r="AY135" s="23">
        <f t="shared" si="30"/>
        <v>6048</v>
      </c>
      <c r="AZ135" s="40">
        <f t="shared" si="32"/>
        <v>1.1454545454545455</v>
      </c>
      <c r="BA135" s="41">
        <v>0</v>
      </c>
      <c r="BB135" s="187"/>
      <c r="BC135" s="44"/>
      <c r="BD135" s="191">
        <f t="shared" si="31"/>
        <v>0</v>
      </c>
      <c r="BE135" s="23"/>
      <c r="BF135" s="23"/>
      <c r="BG135" s="23"/>
      <c r="BH135" s="23"/>
      <c r="BI135" s="23"/>
      <c r="BJ135" s="23"/>
      <c r="BK135" s="40"/>
      <c r="BL135" s="44"/>
      <c r="BM135" s="41"/>
      <c r="BN135" s="45"/>
    </row>
    <row r="136" spans="1:66" s="19" customFormat="1" x14ac:dyDescent="0.25">
      <c r="A136" s="218">
        <v>35226873</v>
      </c>
      <c r="B136" s="222" t="s">
        <v>5499</v>
      </c>
      <c r="C136" s="23">
        <v>13</v>
      </c>
      <c r="D136" s="23" t="str" cm="1">
        <f t="array" ref="D136">IFERROR(_xlfn.IFS(U136&lt;727,"MEET", AB136="FRRB","MEET", AB136="PSPS","MEET"),"No")</f>
        <v>MEET</v>
      </c>
      <c r="E136" s="23" t="str" cm="1">
        <f t="array" ref="E136">IFERROR(_xlfn.IFS(AM136&gt;0,"MEET", AN136&gt;0,"MEET"),"No")</f>
        <v>MEET</v>
      </c>
      <c r="F136" s="100">
        <v>2021081</v>
      </c>
      <c r="G136" s="37"/>
      <c r="H136" s="37">
        <f t="shared" si="25"/>
        <v>1.0393939393939393</v>
      </c>
      <c r="I136" s="37">
        <f t="shared" si="26"/>
        <v>1.0393939393939393</v>
      </c>
      <c r="J136" s="20">
        <v>2021</v>
      </c>
      <c r="K136" s="37"/>
      <c r="L136" s="37"/>
      <c r="M136" s="37">
        <f t="shared" si="27"/>
        <v>0</v>
      </c>
      <c r="N136" s="21">
        <v>0</v>
      </c>
      <c r="O136" s="23" t="s">
        <v>4878</v>
      </c>
      <c r="P136" s="22">
        <v>43141101</v>
      </c>
      <c r="Q136" s="19" t="s">
        <v>2411</v>
      </c>
      <c r="R136" s="23" t="s">
        <v>2418</v>
      </c>
      <c r="S136" s="38">
        <f>IFERROR(VLOOKUP(R136,[47]conductor_pz_summary_hftd_23_re!$B$2:$Q$3636,8,FALSE),0)</f>
        <v>298</v>
      </c>
      <c r="T136" s="201">
        <f>IFERROR(VLOOKUP(R136,[48]conductor_pz_summary_hftd_23_re!$B$2:$H$3636,7,0),0)/1609</f>
        <v>27.408190713785519</v>
      </c>
      <c r="U136" s="23">
        <f>IFERROR(VLOOKUP(R136,[47]conductor_pz_summary_hftd_23_re!$B$2:$Q$3636,14,FALSE),0)</f>
        <v>474</v>
      </c>
      <c r="V136" s="37">
        <f t="shared" si="28"/>
        <v>47.487768087276564</v>
      </c>
      <c r="W136" s="202">
        <f>IFERROR(VLOOKUP(R136,[47]conductor_pz_summary_hftd_23_re!$B$2:$Q$3636,13,FALSE),0)</f>
        <v>0.15935492646737101</v>
      </c>
      <c r="X136" s="73">
        <f>IFERROR(VLOOKUP(R136,conductor_pz_summary_hftd_23_re!$B$2:$N$3636,13,FALSE),0)</f>
        <v>1108</v>
      </c>
      <c r="Y136" s="203">
        <f t="shared" si="29"/>
        <v>1.7828580467819775</v>
      </c>
      <c r="Z136" s="23">
        <v>30</v>
      </c>
      <c r="AA136" s="23" t="s">
        <v>4871</v>
      </c>
      <c r="AB136" s="23" t="s">
        <v>4868</v>
      </c>
      <c r="AC136" s="19" t="s">
        <v>4872</v>
      </c>
      <c r="AD136" s="19" t="s">
        <v>4873</v>
      </c>
      <c r="AE136" s="19" t="s">
        <v>4874</v>
      </c>
      <c r="AF136" s="19" t="s">
        <v>4875</v>
      </c>
      <c r="AG136" s="23">
        <v>5795300</v>
      </c>
      <c r="AH136" s="23" t="s">
        <v>6157</v>
      </c>
      <c r="AI136" s="23">
        <v>120449450</v>
      </c>
      <c r="AJ136" s="175">
        <v>35226873</v>
      </c>
      <c r="AK136" s="23" t="s">
        <v>6144</v>
      </c>
      <c r="AL136" s="20">
        <v>0</v>
      </c>
      <c r="AM136" s="20">
        <v>5488</v>
      </c>
      <c r="AN136" s="20"/>
      <c r="AO136" s="20">
        <v>0</v>
      </c>
      <c r="AP136" s="39" t="s">
        <v>5369</v>
      </c>
      <c r="AQ136" s="39" t="s">
        <v>4917</v>
      </c>
      <c r="AR136" s="23">
        <v>0</v>
      </c>
      <c r="AS136" s="40">
        <v>0</v>
      </c>
      <c r="AT136" s="41">
        <v>0</v>
      </c>
      <c r="AU136" s="39" t="s">
        <v>6346</v>
      </c>
      <c r="AV136" s="19">
        <v>4734</v>
      </c>
      <c r="AW136" s="19">
        <v>0</v>
      </c>
      <c r="AX136" s="19">
        <v>0</v>
      </c>
      <c r="AY136" s="23">
        <f t="shared" si="30"/>
        <v>4734</v>
      </c>
      <c r="AZ136" s="40">
        <f t="shared" si="32"/>
        <v>0.89659090909090911</v>
      </c>
      <c r="BA136" s="41">
        <v>0</v>
      </c>
      <c r="BB136" s="187"/>
      <c r="BC136" s="44"/>
      <c r="BD136" s="191">
        <f t="shared" si="31"/>
        <v>0</v>
      </c>
      <c r="BE136" s="23"/>
      <c r="BF136" s="23"/>
      <c r="BG136" s="23"/>
      <c r="BH136" s="23"/>
      <c r="BI136" s="23"/>
      <c r="BJ136" s="23"/>
      <c r="BK136" s="40"/>
      <c r="BL136" s="44"/>
      <c r="BM136" s="41"/>
      <c r="BN136" s="45"/>
    </row>
    <row r="137" spans="1:66" s="19" customFormat="1" x14ac:dyDescent="0.25">
      <c r="A137" s="218">
        <v>35226878</v>
      </c>
      <c r="B137" s="222" t="s">
        <v>5499</v>
      </c>
      <c r="C137" s="23">
        <v>13</v>
      </c>
      <c r="D137" s="23" t="str" cm="1">
        <f t="array" ref="D137">IFERROR(_xlfn.IFS(U137&lt;727,"MEET", AB137="FRRB","MEET", AB137="PSPS","MEET"),"No")</f>
        <v>MEET</v>
      </c>
      <c r="E137" s="23" t="str" cm="1">
        <f t="array" ref="E137">IFERROR(_xlfn.IFS(AM137&gt;0,"MEET", AN137&gt;0,"MEET"),"No")</f>
        <v>MEET</v>
      </c>
      <c r="F137" s="100">
        <v>2021082</v>
      </c>
      <c r="G137" s="37"/>
      <c r="H137" s="37">
        <f t="shared" si="25"/>
        <v>0.58882575757575761</v>
      </c>
      <c r="I137" s="37">
        <f t="shared" si="26"/>
        <v>0.58882575757575761</v>
      </c>
      <c r="J137" s="20">
        <v>2021</v>
      </c>
      <c r="K137" s="37"/>
      <c r="L137" s="37"/>
      <c r="M137" s="37">
        <f t="shared" si="27"/>
        <v>0</v>
      </c>
      <c r="N137" s="21">
        <v>0</v>
      </c>
      <c r="O137" s="23" t="s">
        <v>4878</v>
      </c>
      <c r="P137" s="22">
        <v>43141101</v>
      </c>
      <c r="Q137" s="19" t="s">
        <v>2411</v>
      </c>
      <c r="R137" s="23" t="s">
        <v>2418</v>
      </c>
      <c r="S137" s="38">
        <f>IFERROR(VLOOKUP(R137,[47]conductor_pz_summary_hftd_23_re!$B$2:$Q$3636,8,FALSE),0)</f>
        <v>298</v>
      </c>
      <c r="T137" s="201">
        <f>IFERROR(VLOOKUP(R137,[48]conductor_pz_summary_hftd_23_re!$B$2:$H$3636,7,0),0)/1609</f>
        <v>27.408190713785519</v>
      </c>
      <c r="U137" s="23">
        <f>IFERROR(VLOOKUP(R137,[47]conductor_pz_summary_hftd_23_re!$B$2:$Q$3636,14,FALSE),0)</f>
        <v>474</v>
      </c>
      <c r="V137" s="37">
        <f t="shared" si="28"/>
        <v>47.487768087276564</v>
      </c>
      <c r="W137" s="202">
        <f>IFERROR(VLOOKUP(R137,[47]conductor_pz_summary_hftd_23_re!$B$2:$Q$3636,13,FALSE),0)</f>
        <v>0.15935492646737101</v>
      </c>
      <c r="X137" s="73">
        <f>IFERROR(VLOOKUP(R137,conductor_pz_summary_hftd_23_re!$B$2:$N$3636,13,FALSE),0)</f>
        <v>1108</v>
      </c>
      <c r="Y137" s="203">
        <f t="shared" si="29"/>
        <v>1.0100046770126037</v>
      </c>
      <c r="Z137" s="23">
        <v>30</v>
      </c>
      <c r="AA137" s="23" t="s">
        <v>4871</v>
      </c>
      <c r="AB137" s="23" t="s">
        <v>4868</v>
      </c>
      <c r="AC137" s="19" t="s">
        <v>4872</v>
      </c>
      <c r="AD137" s="19" t="s">
        <v>4873</v>
      </c>
      <c r="AE137" s="19" t="s">
        <v>4874</v>
      </c>
      <c r="AF137" s="19" t="s">
        <v>4875</v>
      </c>
      <c r="AG137" s="23">
        <v>5795300</v>
      </c>
      <c r="AH137" s="23" t="s">
        <v>6158</v>
      </c>
      <c r="AI137" s="23">
        <v>120449453</v>
      </c>
      <c r="AJ137" s="175">
        <v>35226878</v>
      </c>
      <c r="AK137" s="23" t="s">
        <v>6145</v>
      </c>
      <c r="AL137" s="20">
        <v>0</v>
      </c>
      <c r="AM137" s="20">
        <v>3109</v>
      </c>
      <c r="AN137" s="20">
        <v>0</v>
      </c>
      <c r="AO137" s="20">
        <v>0</v>
      </c>
      <c r="AP137" s="39" t="s">
        <v>5369</v>
      </c>
      <c r="AQ137" s="39" t="s">
        <v>4917</v>
      </c>
      <c r="AR137" s="23">
        <v>0</v>
      </c>
      <c r="AS137" s="40">
        <v>0</v>
      </c>
      <c r="AT137" s="41">
        <v>0</v>
      </c>
      <c r="AU137" s="39" t="s">
        <v>6346</v>
      </c>
      <c r="AV137" s="19">
        <v>0</v>
      </c>
      <c r="AW137" s="19">
        <v>0</v>
      </c>
      <c r="AX137" s="19">
        <v>3034</v>
      </c>
      <c r="AY137" s="23">
        <f t="shared" si="30"/>
        <v>3034</v>
      </c>
      <c r="AZ137" s="40">
        <f t="shared" si="32"/>
        <v>0.57462121212121209</v>
      </c>
      <c r="BA137" s="41">
        <v>0</v>
      </c>
      <c r="BB137" s="187"/>
      <c r="BC137" s="44"/>
      <c r="BD137" s="191">
        <f t="shared" si="31"/>
        <v>0</v>
      </c>
      <c r="BE137" s="23"/>
      <c r="BF137" s="23"/>
      <c r="BG137" s="23"/>
      <c r="BH137" s="23"/>
      <c r="BI137" s="23"/>
      <c r="BJ137" s="23"/>
      <c r="BK137" s="40"/>
      <c r="BL137" s="44"/>
      <c r="BM137" s="41"/>
      <c r="BN137" s="45"/>
    </row>
    <row r="138" spans="1:66" s="19" customFormat="1" x14ac:dyDescent="0.25">
      <c r="A138" s="218">
        <v>35227001</v>
      </c>
      <c r="B138" s="222" t="s">
        <v>5499</v>
      </c>
      <c r="C138" s="23">
        <v>13</v>
      </c>
      <c r="D138" s="23" t="str" cm="1">
        <f t="array" ref="D138">IFERROR(_xlfn.IFS(U138&lt;727,"MEET", AB138="FRRB","MEET", AB138="PSPS","MEET"),"No")</f>
        <v>MEET</v>
      </c>
      <c r="E138" s="23" t="str" cm="1">
        <f t="array" ref="E138">IFERROR(_xlfn.IFS(AM138&gt;0,"MEET", AN138&gt;0,"MEET"),"No")</f>
        <v>MEET</v>
      </c>
      <c r="F138" s="100">
        <v>2021083</v>
      </c>
      <c r="G138" s="37"/>
      <c r="H138" s="37">
        <f t="shared" si="25"/>
        <v>0.72140151515151518</v>
      </c>
      <c r="I138" s="37">
        <f t="shared" si="26"/>
        <v>0.72140151515151518</v>
      </c>
      <c r="J138" s="20">
        <v>2021</v>
      </c>
      <c r="K138" s="37"/>
      <c r="L138" s="37"/>
      <c r="M138" s="37">
        <f t="shared" si="27"/>
        <v>0</v>
      </c>
      <c r="N138" s="21">
        <v>0</v>
      </c>
      <c r="O138" s="23" t="s">
        <v>4878</v>
      </c>
      <c r="P138" s="22">
        <v>43141101</v>
      </c>
      <c r="Q138" s="19" t="s">
        <v>2411</v>
      </c>
      <c r="R138" s="23" t="s">
        <v>2418</v>
      </c>
      <c r="S138" s="38">
        <f>IFERROR(VLOOKUP(R138,[47]conductor_pz_summary_hftd_23_re!$B$2:$Q$3636,8,FALSE),0)</f>
        <v>298</v>
      </c>
      <c r="T138" s="201">
        <f>IFERROR(VLOOKUP(R138,[48]conductor_pz_summary_hftd_23_re!$B$2:$H$3636,7,0),0)/1609</f>
        <v>27.408190713785519</v>
      </c>
      <c r="U138" s="23">
        <f>IFERROR(VLOOKUP(R138,[47]conductor_pz_summary_hftd_23_re!$B$2:$Q$3636,14,FALSE),0)</f>
        <v>474</v>
      </c>
      <c r="V138" s="37">
        <f t="shared" si="28"/>
        <v>47.487768087276564</v>
      </c>
      <c r="W138" s="202">
        <f>IFERROR(VLOOKUP(R138,[47]conductor_pz_summary_hftd_23_re!$B$2:$Q$3636,13,FALSE),0)</f>
        <v>0.15935492646737101</v>
      </c>
      <c r="X138" s="73">
        <f>IFERROR(VLOOKUP(R138,conductor_pz_summary_hftd_23_re!$B$2:$N$3636,13,FALSE),0)</f>
        <v>1108</v>
      </c>
      <c r="Y138" s="203">
        <f t="shared" si="29"/>
        <v>1.2374100401225496</v>
      </c>
      <c r="Z138" s="23">
        <v>30</v>
      </c>
      <c r="AA138" s="23" t="s">
        <v>4871</v>
      </c>
      <c r="AB138" s="23" t="s">
        <v>4868</v>
      </c>
      <c r="AC138" s="19" t="s">
        <v>4872</v>
      </c>
      <c r="AD138" s="19" t="s">
        <v>4873</v>
      </c>
      <c r="AE138" s="19" t="s">
        <v>4874</v>
      </c>
      <c r="AF138" s="19" t="s">
        <v>4875</v>
      </c>
      <c r="AG138" s="23">
        <v>5795300</v>
      </c>
      <c r="AH138" s="23" t="s">
        <v>6159</v>
      </c>
      <c r="AI138" s="23">
        <v>120449454</v>
      </c>
      <c r="AJ138" s="175">
        <v>35227001</v>
      </c>
      <c r="AK138" s="23" t="s">
        <v>6146</v>
      </c>
      <c r="AL138" s="20">
        <v>0</v>
      </c>
      <c r="AM138" s="20">
        <v>3809</v>
      </c>
      <c r="AN138" s="20">
        <v>0</v>
      </c>
      <c r="AO138" s="20">
        <v>0</v>
      </c>
      <c r="AP138" s="39" t="s">
        <v>5369</v>
      </c>
      <c r="AQ138" s="39" t="s">
        <v>4917</v>
      </c>
      <c r="AR138" s="23">
        <v>0</v>
      </c>
      <c r="AS138" s="40">
        <v>0</v>
      </c>
      <c r="AT138" s="41">
        <v>0</v>
      </c>
      <c r="AU138" s="39" t="s">
        <v>6346</v>
      </c>
      <c r="AV138" s="19">
        <v>0</v>
      </c>
      <c r="AW138" s="19">
        <v>0</v>
      </c>
      <c r="AX138" s="19">
        <v>3591</v>
      </c>
      <c r="AY138" s="23">
        <f t="shared" si="30"/>
        <v>3591</v>
      </c>
      <c r="AZ138" s="40">
        <f t="shared" si="32"/>
        <v>0.68011363636363631</v>
      </c>
      <c r="BA138" s="41">
        <v>0</v>
      </c>
      <c r="BB138" s="187"/>
      <c r="BC138" s="44"/>
      <c r="BD138" s="191">
        <f t="shared" si="31"/>
        <v>0</v>
      </c>
      <c r="BE138" s="23"/>
      <c r="BF138" s="23"/>
      <c r="BG138" s="23"/>
      <c r="BH138" s="23"/>
      <c r="BI138" s="23"/>
      <c r="BJ138" s="23"/>
      <c r="BK138" s="40"/>
      <c r="BL138" s="44"/>
      <c r="BM138" s="41"/>
      <c r="BN138" s="45"/>
    </row>
    <row r="139" spans="1:66" s="19" customFormat="1" x14ac:dyDescent="0.25">
      <c r="A139" s="218">
        <v>35227002</v>
      </c>
      <c r="B139" s="222" t="s">
        <v>5499</v>
      </c>
      <c r="C139" s="23">
        <v>13</v>
      </c>
      <c r="D139" s="23" t="str" cm="1">
        <f t="array" ref="D139">IFERROR(_xlfn.IFS(U139&lt;727,"MEET", AB139="FRRB","MEET", AB139="PSPS","MEET"),"No")</f>
        <v>MEET</v>
      </c>
      <c r="E139" s="23" t="str" cm="1">
        <f t="array" ref="E139">IFERROR(_xlfn.IFS(AM139&gt;0,"MEET", AN139&gt;0,"MEET"),"No")</f>
        <v>MEET</v>
      </c>
      <c r="F139" s="100">
        <v>2021084</v>
      </c>
      <c r="G139" s="37"/>
      <c r="H139" s="37">
        <f t="shared" si="25"/>
        <v>0.43295454545454548</v>
      </c>
      <c r="I139" s="37">
        <f t="shared" si="26"/>
        <v>0.43295454545454548</v>
      </c>
      <c r="J139" s="20">
        <v>2021</v>
      </c>
      <c r="K139" s="37"/>
      <c r="L139" s="37"/>
      <c r="M139" s="37">
        <f t="shared" si="27"/>
        <v>0</v>
      </c>
      <c r="N139" s="21">
        <v>0</v>
      </c>
      <c r="O139" s="23" t="s">
        <v>4878</v>
      </c>
      <c r="P139" s="22">
        <v>43141101</v>
      </c>
      <c r="Q139" s="19" t="s">
        <v>2411</v>
      </c>
      <c r="R139" s="23" t="s">
        <v>2418</v>
      </c>
      <c r="S139" s="38">
        <f>IFERROR(VLOOKUP(R139,[47]conductor_pz_summary_hftd_23_re!$B$2:$Q$3636,8,FALSE),0)</f>
        <v>298</v>
      </c>
      <c r="T139" s="201">
        <f>IFERROR(VLOOKUP(R139,[48]conductor_pz_summary_hftd_23_re!$B$2:$H$3636,7,0),0)/1609</f>
        <v>27.408190713785519</v>
      </c>
      <c r="U139" s="23">
        <f>IFERROR(VLOOKUP(R139,[47]conductor_pz_summary_hftd_23_re!$B$2:$Q$3636,14,FALSE),0)</f>
        <v>474</v>
      </c>
      <c r="V139" s="37">
        <f t="shared" si="28"/>
        <v>47.487768087276564</v>
      </c>
      <c r="W139" s="202">
        <f>IFERROR(VLOOKUP(R139,[47]conductor_pz_summary_hftd_23_re!$B$2:$Q$3636,13,FALSE),0)</f>
        <v>0.15935492646737101</v>
      </c>
      <c r="X139" s="73">
        <f>IFERROR(VLOOKUP(R139,conductor_pz_summary_hftd_23_re!$B$2:$N$3636,13,FALSE),0)</f>
        <v>1108</v>
      </c>
      <c r="Y139" s="203">
        <f t="shared" si="29"/>
        <v>0.74264094295619543</v>
      </c>
      <c r="Z139" s="23">
        <v>30</v>
      </c>
      <c r="AA139" s="23" t="s">
        <v>4871</v>
      </c>
      <c r="AB139" s="23" t="s">
        <v>4868</v>
      </c>
      <c r="AC139" s="19" t="s">
        <v>4872</v>
      </c>
      <c r="AD139" s="19" t="s">
        <v>4873</v>
      </c>
      <c r="AE139" s="19" t="s">
        <v>4874</v>
      </c>
      <c r="AF139" s="19" t="s">
        <v>4875</v>
      </c>
      <c r="AG139" s="23">
        <v>5795300</v>
      </c>
      <c r="AH139" s="23" t="s">
        <v>6160</v>
      </c>
      <c r="AI139" s="23">
        <v>120449455</v>
      </c>
      <c r="AJ139" s="175">
        <v>35227002</v>
      </c>
      <c r="AK139" s="23" t="s">
        <v>6147</v>
      </c>
      <c r="AL139" s="20">
        <v>0</v>
      </c>
      <c r="AM139" s="20">
        <v>2286</v>
      </c>
      <c r="AN139" s="20">
        <v>0</v>
      </c>
      <c r="AO139" s="20">
        <v>0</v>
      </c>
      <c r="AP139" s="39" t="s">
        <v>5369</v>
      </c>
      <c r="AQ139" s="39" t="s">
        <v>4917</v>
      </c>
      <c r="AR139" s="23">
        <v>0</v>
      </c>
      <c r="AS139" s="40">
        <v>0</v>
      </c>
      <c r="AT139" s="41">
        <v>0</v>
      </c>
      <c r="AU139" s="39" t="s">
        <v>6346</v>
      </c>
      <c r="AV139" s="19">
        <v>0</v>
      </c>
      <c r="AW139" s="19">
        <v>0</v>
      </c>
      <c r="AX139" s="19">
        <v>2286</v>
      </c>
      <c r="AY139" s="23">
        <f t="shared" si="30"/>
        <v>2286</v>
      </c>
      <c r="AZ139" s="40">
        <f t="shared" si="32"/>
        <v>0.43295454545454548</v>
      </c>
      <c r="BA139" s="41">
        <v>0</v>
      </c>
      <c r="BB139" s="187"/>
      <c r="BC139" s="44"/>
      <c r="BD139" s="191">
        <f t="shared" si="31"/>
        <v>0</v>
      </c>
      <c r="BE139" s="23"/>
      <c r="BF139" s="23"/>
      <c r="BG139" s="23"/>
      <c r="BH139" s="23"/>
      <c r="BI139" s="23"/>
      <c r="BJ139" s="23"/>
      <c r="BK139" s="40"/>
      <c r="BL139" s="44"/>
      <c r="BM139" s="41"/>
      <c r="BN139" s="45"/>
    </row>
    <row r="140" spans="1:66" s="19" customFormat="1" x14ac:dyDescent="0.25">
      <c r="A140" s="218">
        <v>35227003</v>
      </c>
      <c r="B140" s="222" t="s">
        <v>5499</v>
      </c>
      <c r="C140" s="23">
        <v>13</v>
      </c>
      <c r="D140" s="23" t="str" cm="1">
        <f t="array" ref="D140">IFERROR(_xlfn.IFS(U140&lt;727,"MEET", AB140="FRRB","MEET", AB140="PSPS","MEET"),"No")</f>
        <v>MEET</v>
      </c>
      <c r="E140" s="23" t="str" cm="1">
        <f t="array" ref="E140">IFERROR(_xlfn.IFS(AM140&gt;0,"MEET", AN140&gt;0,"MEET"),"No")</f>
        <v>MEET</v>
      </c>
      <c r="F140" s="100">
        <v>2021085</v>
      </c>
      <c r="G140" s="37"/>
      <c r="H140" s="37">
        <f t="shared" si="25"/>
        <v>0.58087121212121207</v>
      </c>
      <c r="I140" s="37">
        <f t="shared" si="26"/>
        <v>0.58087121212121207</v>
      </c>
      <c r="J140" s="20">
        <v>2021</v>
      </c>
      <c r="K140" s="37"/>
      <c r="L140" s="37"/>
      <c r="M140" s="37">
        <f t="shared" si="27"/>
        <v>0</v>
      </c>
      <c r="N140" s="21">
        <v>0</v>
      </c>
      <c r="O140" s="23" t="s">
        <v>4878</v>
      </c>
      <c r="P140" s="22">
        <v>43141101</v>
      </c>
      <c r="Q140" s="19" t="s">
        <v>2411</v>
      </c>
      <c r="R140" s="23" t="s">
        <v>2418</v>
      </c>
      <c r="S140" s="38">
        <f>IFERROR(VLOOKUP(R140,[47]conductor_pz_summary_hftd_23_re!$B$2:$Q$3636,8,FALSE),0)</f>
        <v>298</v>
      </c>
      <c r="T140" s="201">
        <f>IFERROR(VLOOKUP(R140,[48]conductor_pz_summary_hftd_23_re!$B$2:$H$3636,7,0),0)/1609</f>
        <v>27.408190713785519</v>
      </c>
      <c r="U140" s="23">
        <f>IFERROR(VLOOKUP(R140,[47]conductor_pz_summary_hftd_23_re!$B$2:$Q$3636,14,FALSE),0)</f>
        <v>474</v>
      </c>
      <c r="V140" s="37">
        <f t="shared" si="28"/>
        <v>47.487768087276564</v>
      </c>
      <c r="W140" s="202">
        <f>IFERROR(VLOOKUP(R140,[47]conductor_pz_summary_hftd_23_re!$B$2:$Q$3636,13,FALSE),0)</f>
        <v>0.15935492646737101</v>
      </c>
      <c r="X140" s="73">
        <f>IFERROR(VLOOKUP(R140,conductor_pz_summary_hftd_23_re!$B$2:$N$3636,13,FALSE),0)</f>
        <v>1108</v>
      </c>
      <c r="Y140" s="203">
        <f t="shared" si="29"/>
        <v>0.99636035522600674</v>
      </c>
      <c r="Z140" s="23">
        <v>30</v>
      </c>
      <c r="AA140" s="23" t="s">
        <v>4871</v>
      </c>
      <c r="AB140" s="23" t="s">
        <v>4868</v>
      </c>
      <c r="AC140" s="19" t="s">
        <v>4872</v>
      </c>
      <c r="AD140" s="19" t="s">
        <v>4873</v>
      </c>
      <c r="AE140" s="19" t="s">
        <v>4874</v>
      </c>
      <c r="AF140" s="19" t="s">
        <v>4875</v>
      </c>
      <c r="AG140" s="23">
        <v>5795300</v>
      </c>
      <c r="AH140" s="23" t="s">
        <v>6161</v>
      </c>
      <c r="AI140" s="23">
        <v>120449456</v>
      </c>
      <c r="AJ140" s="175">
        <v>35227003</v>
      </c>
      <c r="AK140" s="23" t="s">
        <v>6148</v>
      </c>
      <c r="AL140" s="20">
        <v>0</v>
      </c>
      <c r="AM140" s="20">
        <v>3067</v>
      </c>
      <c r="AN140" s="20">
        <v>0</v>
      </c>
      <c r="AO140" s="20">
        <v>0</v>
      </c>
      <c r="AP140" s="39" t="s">
        <v>5369</v>
      </c>
      <c r="AQ140" s="39" t="s">
        <v>4917</v>
      </c>
      <c r="AR140" s="23">
        <v>0</v>
      </c>
      <c r="AS140" s="40">
        <v>0</v>
      </c>
      <c r="AT140" s="41">
        <v>0</v>
      </c>
      <c r="AU140" s="39" t="s">
        <v>6346</v>
      </c>
      <c r="AV140" s="19">
        <v>0</v>
      </c>
      <c r="AW140" s="19">
        <v>0</v>
      </c>
      <c r="AX140" s="19">
        <v>3067</v>
      </c>
      <c r="AY140" s="23">
        <f t="shared" si="30"/>
        <v>3067</v>
      </c>
      <c r="AZ140" s="40">
        <f t="shared" si="32"/>
        <v>0.58087121212121207</v>
      </c>
      <c r="BA140" s="41">
        <v>0</v>
      </c>
      <c r="BB140" s="187"/>
      <c r="BC140" s="44"/>
      <c r="BD140" s="191">
        <f t="shared" si="31"/>
        <v>0</v>
      </c>
      <c r="BE140" s="23"/>
      <c r="BF140" s="23"/>
      <c r="BG140" s="23"/>
      <c r="BH140" s="23"/>
      <c r="BI140" s="23"/>
      <c r="BJ140" s="23"/>
      <c r="BK140" s="40"/>
      <c r="BL140" s="44"/>
      <c r="BM140" s="41"/>
      <c r="BN140" s="45"/>
    </row>
    <row r="141" spans="1:66" s="19" customFormat="1" x14ac:dyDescent="0.25">
      <c r="A141" s="218">
        <v>35227004</v>
      </c>
      <c r="B141" s="222" t="s">
        <v>5499</v>
      </c>
      <c r="C141" s="23">
        <v>13</v>
      </c>
      <c r="D141" s="23" t="str" cm="1">
        <f t="array" ref="D141">IFERROR(_xlfn.IFS(U141&lt;727,"MEET", AB141="FRRB","MEET", AB141="PSPS","MEET"),"No")</f>
        <v>MEET</v>
      </c>
      <c r="E141" s="23" t="str" cm="1">
        <f t="array" ref="E141">IFERROR(_xlfn.IFS(AM141&gt;0,"MEET", AN141&gt;0,"MEET"),"No")</f>
        <v>MEET</v>
      </c>
      <c r="F141" s="100">
        <v>2021086</v>
      </c>
      <c r="G141" s="37"/>
      <c r="H141" s="37">
        <f t="shared" si="25"/>
        <v>0.34829545454545452</v>
      </c>
      <c r="I141" s="37">
        <f t="shared" si="26"/>
        <v>0.34829545454545452</v>
      </c>
      <c r="J141" s="20">
        <v>2021</v>
      </c>
      <c r="K141" s="37"/>
      <c r="L141" s="37"/>
      <c r="M141" s="37">
        <f t="shared" si="27"/>
        <v>0</v>
      </c>
      <c r="N141" s="21">
        <v>0</v>
      </c>
      <c r="O141" s="23" t="s">
        <v>4878</v>
      </c>
      <c r="P141" s="22">
        <v>43141101</v>
      </c>
      <c r="Q141" s="19" t="s">
        <v>2411</v>
      </c>
      <c r="R141" s="23" t="s">
        <v>2418</v>
      </c>
      <c r="S141" s="38">
        <f>IFERROR(VLOOKUP(R141,[47]conductor_pz_summary_hftd_23_re!$B$2:$Q$3636,8,FALSE),0)</f>
        <v>298</v>
      </c>
      <c r="T141" s="201">
        <f>IFERROR(VLOOKUP(R141,[48]conductor_pz_summary_hftd_23_re!$B$2:$H$3636,7,0),0)/1609</f>
        <v>27.408190713785519</v>
      </c>
      <c r="U141" s="23">
        <f>IFERROR(VLOOKUP(R141,[47]conductor_pz_summary_hftd_23_re!$B$2:$Q$3636,14,FALSE),0)</f>
        <v>474</v>
      </c>
      <c r="V141" s="37">
        <f t="shared" si="28"/>
        <v>47.487768087276564</v>
      </c>
      <c r="W141" s="202">
        <f>IFERROR(VLOOKUP(R141,[47]conductor_pz_summary_hftd_23_re!$B$2:$Q$3636,13,FALSE),0)</f>
        <v>0.15935492646737101</v>
      </c>
      <c r="X141" s="73">
        <f>IFERROR(VLOOKUP(R141,conductor_pz_summary_hftd_23_re!$B$2:$N$3636,13,FALSE),0)</f>
        <v>1108</v>
      </c>
      <c r="Y141" s="203">
        <f t="shared" si="29"/>
        <v>0.59742637537027266</v>
      </c>
      <c r="Z141" s="23">
        <v>30</v>
      </c>
      <c r="AA141" s="23" t="s">
        <v>4871</v>
      </c>
      <c r="AB141" s="23" t="s">
        <v>4868</v>
      </c>
      <c r="AC141" s="19" t="s">
        <v>4872</v>
      </c>
      <c r="AD141" s="19" t="s">
        <v>4873</v>
      </c>
      <c r="AE141" s="19" t="s">
        <v>4874</v>
      </c>
      <c r="AF141" s="19" t="s">
        <v>4875</v>
      </c>
      <c r="AG141" s="23">
        <v>5795300</v>
      </c>
      <c r="AH141" s="23" t="s">
        <v>6162</v>
      </c>
      <c r="AI141" s="23">
        <v>120449457</v>
      </c>
      <c r="AJ141" s="175">
        <v>35227004</v>
      </c>
      <c r="AK141" s="23" t="s">
        <v>6149</v>
      </c>
      <c r="AL141" s="20">
        <v>0</v>
      </c>
      <c r="AM141" s="20">
        <v>1839</v>
      </c>
      <c r="AN141" s="20">
        <v>0</v>
      </c>
      <c r="AO141" s="20">
        <v>0</v>
      </c>
      <c r="AP141" s="39" t="s">
        <v>5369</v>
      </c>
      <c r="AQ141" s="39" t="s">
        <v>4917</v>
      </c>
      <c r="AR141" s="23">
        <v>0</v>
      </c>
      <c r="AS141" s="40">
        <v>0</v>
      </c>
      <c r="AT141" s="41">
        <v>0</v>
      </c>
      <c r="AU141" s="39" t="s">
        <v>6346</v>
      </c>
      <c r="AV141" s="19">
        <v>0</v>
      </c>
      <c r="AW141" s="19">
        <v>0</v>
      </c>
      <c r="AX141" s="19">
        <v>1763</v>
      </c>
      <c r="AY141" s="23">
        <f t="shared" si="30"/>
        <v>1763</v>
      </c>
      <c r="AZ141" s="40">
        <f t="shared" si="32"/>
        <v>0.33390151515151517</v>
      </c>
      <c r="BA141" s="41">
        <v>0</v>
      </c>
      <c r="BB141" s="187"/>
      <c r="BC141" s="44"/>
      <c r="BD141" s="191">
        <f t="shared" si="31"/>
        <v>0</v>
      </c>
      <c r="BE141" s="23"/>
      <c r="BF141" s="23"/>
      <c r="BG141" s="23"/>
      <c r="BH141" s="23"/>
      <c r="BI141" s="23"/>
      <c r="BJ141" s="23"/>
      <c r="BK141" s="40"/>
      <c r="BL141" s="44"/>
      <c r="BM141" s="41"/>
      <c r="BN141" s="45"/>
    </row>
    <row r="142" spans="1:66" s="19" customFormat="1" x14ac:dyDescent="0.25">
      <c r="A142" s="218">
        <v>35174501</v>
      </c>
      <c r="B142" s="222" t="s">
        <v>5499</v>
      </c>
      <c r="C142" s="23">
        <v>13</v>
      </c>
      <c r="D142" s="23" t="str" cm="1">
        <f t="array" ref="D142">IFERROR(_xlfn.IFS(U142&lt;727,"MEET", AB142="FRRB","MEET", AB142="PSPS","MEET"),"No")</f>
        <v>MEET</v>
      </c>
      <c r="E142" s="23" t="str" cm="1">
        <f t="array" ref="E142">IFERROR(_xlfn.IFS(AM142&gt;0,"MEET", AN142&gt;0,"MEET"),"No")</f>
        <v>MEET</v>
      </c>
      <c r="F142" s="100">
        <v>2021087</v>
      </c>
      <c r="G142" s="37"/>
      <c r="H142" s="37">
        <f t="shared" si="25"/>
        <v>1.6829545454545454</v>
      </c>
      <c r="I142" s="37">
        <f t="shared" si="26"/>
        <v>1.6829545454545454</v>
      </c>
      <c r="J142" s="20">
        <v>2021</v>
      </c>
      <c r="K142" s="37"/>
      <c r="L142" s="37"/>
      <c r="M142" s="37">
        <f t="shared" si="27"/>
        <v>0</v>
      </c>
      <c r="N142" s="21">
        <v>22873.41</v>
      </c>
      <c r="O142" s="217" t="s">
        <v>4878</v>
      </c>
      <c r="P142" s="22">
        <v>43141101</v>
      </c>
      <c r="Q142" s="19" t="s">
        <v>2411</v>
      </c>
      <c r="R142" s="23" t="s">
        <v>2418</v>
      </c>
      <c r="S142" s="38">
        <f>IFERROR(VLOOKUP(R142,[47]conductor_pz_summary_hftd_23_re!$B$2:$Q$3636,8,FALSE),0)</f>
        <v>298</v>
      </c>
      <c r="T142" s="201">
        <f>IFERROR(VLOOKUP(R142,[48]conductor_pz_summary_hftd_23_re!$B$2:$H$3636,7,0),0)/1609</f>
        <v>27.408190713785519</v>
      </c>
      <c r="U142" s="23">
        <f>IFERROR(VLOOKUP(R142,[47]conductor_pz_summary_hftd_23_re!$B$2:$Q$3636,14,FALSE),0)</f>
        <v>474</v>
      </c>
      <c r="V142" s="37">
        <f t="shared" si="28"/>
        <v>47.487768087276564</v>
      </c>
      <c r="W142" s="202">
        <f>IFERROR(VLOOKUP(R142,[47]conductor_pz_summary_hftd_23_re!$B$2:$Q$3636,13,FALSE),0)</f>
        <v>0.15935492646737101</v>
      </c>
      <c r="X142" s="73">
        <f>IFERROR(VLOOKUP(R142,conductor_pz_summary_hftd_23_re!$B$2:$N$3636,13,FALSE),0)</f>
        <v>1108</v>
      </c>
      <c r="Y142" s="203">
        <f t="shared" si="29"/>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6163</v>
      </c>
      <c r="AL142" s="20">
        <v>0</v>
      </c>
      <c r="AM142" s="20">
        <v>8886</v>
      </c>
      <c r="AN142" s="20">
        <v>0</v>
      </c>
      <c r="AO142" s="20">
        <v>0</v>
      </c>
      <c r="AP142" s="48" t="s">
        <v>4919</v>
      </c>
      <c r="AQ142" s="39" t="s">
        <v>4920</v>
      </c>
      <c r="AR142" s="23">
        <v>50952</v>
      </c>
      <c r="AS142" s="40">
        <v>9.65</v>
      </c>
      <c r="AT142" s="41">
        <v>16768361</v>
      </c>
      <c r="AU142" s="39" t="s">
        <v>6345</v>
      </c>
      <c r="AV142" s="19">
        <v>0</v>
      </c>
      <c r="AW142" s="19">
        <v>8886</v>
      </c>
      <c r="AX142" s="19">
        <v>0</v>
      </c>
      <c r="AY142" s="23">
        <f t="shared" si="30"/>
        <v>8886</v>
      </c>
      <c r="AZ142" s="40">
        <f t="shared" si="32"/>
        <v>1.6829545454545454</v>
      </c>
      <c r="BA142" s="41">
        <v>18931272.727272727</v>
      </c>
      <c r="BB142" s="187"/>
      <c r="BC142" s="44"/>
      <c r="BD142" s="191">
        <f t="shared" si="31"/>
        <v>0</v>
      </c>
      <c r="BE142" s="23"/>
      <c r="BF142" s="23"/>
      <c r="BG142" s="23"/>
      <c r="BH142" s="23"/>
      <c r="BI142" s="23"/>
      <c r="BJ142" s="23"/>
      <c r="BK142" s="40"/>
      <c r="BL142" s="44"/>
      <c r="BM142" s="41"/>
      <c r="BN142" s="45"/>
    </row>
    <row r="143" spans="1:66" s="19" customFormat="1" x14ac:dyDescent="0.25">
      <c r="A143" s="218">
        <v>35227007</v>
      </c>
      <c r="B143" s="222" t="s">
        <v>5499</v>
      </c>
      <c r="C143" s="23">
        <v>13</v>
      </c>
      <c r="D143" s="23" t="str" cm="1">
        <f t="array" ref="D143">IFERROR(_xlfn.IFS(U143&lt;727,"MEET", AB143="FRRB","MEET", AB143="PSPS","MEET"),"No")</f>
        <v>MEET</v>
      </c>
      <c r="E143" s="23" t="str" cm="1">
        <f t="array" ref="E143">IFERROR(_xlfn.IFS(AM143&gt;0,"MEET", AN143&gt;0,"MEET"),"No")</f>
        <v>MEET</v>
      </c>
      <c r="F143" s="100">
        <v>2021088</v>
      </c>
      <c r="G143" s="37"/>
      <c r="H143" s="37">
        <f t="shared" si="25"/>
        <v>1.1287878787878789</v>
      </c>
      <c r="I143" s="37">
        <f t="shared" si="26"/>
        <v>1.1287878787878789</v>
      </c>
      <c r="J143" s="20">
        <v>2021</v>
      </c>
      <c r="K143" s="37"/>
      <c r="L143" s="37"/>
      <c r="M143" s="37">
        <f t="shared" si="27"/>
        <v>0</v>
      </c>
      <c r="N143" s="21">
        <v>0</v>
      </c>
      <c r="O143" s="23" t="s">
        <v>4878</v>
      </c>
      <c r="P143" s="22">
        <v>43141101</v>
      </c>
      <c r="Q143" s="19" t="s">
        <v>2411</v>
      </c>
      <c r="R143" s="23" t="s">
        <v>2418</v>
      </c>
      <c r="S143" s="38">
        <f>IFERROR(VLOOKUP(R143,[47]conductor_pz_summary_hftd_23_re!$B$2:$Q$3636,8,FALSE),0)</f>
        <v>298</v>
      </c>
      <c r="T143" s="201">
        <f>IFERROR(VLOOKUP(R143,[48]conductor_pz_summary_hftd_23_re!$B$2:$H$3636,7,0),0)/1609</f>
        <v>27.408190713785519</v>
      </c>
      <c r="U143" s="23">
        <f>IFERROR(VLOOKUP(R143,[47]conductor_pz_summary_hftd_23_re!$B$2:$Q$3636,14,FALSE),0)</f>
        <v>474</v>
      </c>
      <c r="V143" s="37">
        <f t="shared" si="28"/>
        <v>47.487768087276564</v>
      </c>
      <c r="W143" s="202">
        <f>IFERROR(VLOOKUP(R143,[47]conductor_pz_summary_hftd_23_re!$B$2:$Q$3636,13,FALSE),0)</f>
        <v>0.15935492646737101</v>
      </c>
      <c r="X143" s="73">
        <f>IFERROR(VLOOKUP(R143,conductor_pz_summary_hftd_23_re!$B$2:$N$3636,13,FALSE),0)</f>
        <v>1108</v>
      </c>
      <c r="Y143" s="203">
        <f t="shared" si="29"/>
        <v>1.9361942344789698</v>
      </c>
      <c r="Z143" s="23">
        <v>30</v>
      </c>
      <c r="AA143" s="23" t="s">
        <v>4871</v>
      </c>
      <c r="AB143" s="23" t="s">
        <v>4868</v>
      </c>
      <c r="AC143" s="19" t="s">
        <v>4872</v>
      </c>
      <c r="AD143" s="19" t="s">
        <v>4873</v>
      </c>
      <c r="AE143" s="19" t="s">
        <v>4874</v>
      </c>
      <c r="AF143" s="19" t="s">
        <v>4875</v>
      </c>
      <c r="AG143" s="23">
        <v>5795300</v>
      </c>
      <c r="AH143" s="23" t="s">
        <v>6164</v>
      </c>
      <c r="AI143" s="23">
        <v>120449533</v>
      </c>
      <c r="AJ143" s="120">
        <v>35227007</v>
      </c>
      <c r="AK143" s="23" t="s">
        <v>6171</v>
      </c>
      <c r="AL143" s="20">
        <v>0</v>
      </c>
      <c r="AM143" s="20">
        <v>5960</v>
      </c>
      <c r="AN143" s="20">
        <v>0</v>
      </c>
      <c r="AO143" s="20">
        <v>0</v>
      </c>
      <c r="AP143" s="48" t="s">
        <v>4919</v>
      </c>
      <c r="AQ143" s="39" t="s">
        <v>4920</v>
      </c>
      <c r="AR143" s="23">
        <v>0</v>
      </c>
      <c r="AS143" s="40">
        <v>0</v>
      </c>
      <c r="AT143" s="41">
        <v>0</v>
      </c>
      <c r="AU143" s="39" t="s">
        <v>6345</v>
      </c>
      <c r="AV143" s="19">
        <v>0</v>
      </c>
      <c r="AW143" s="19">
        <v>5960</v>
      </c>
      <c r="AX143" s="19">
        <v>0</v>
      </c>
      <c r="AY143" s="23">
        <f t="shared" si="30"/>
        <v>5960</v>
      </c>
      <c r="AZ143" s="40">
        <f t="shared" si="32"/>
        <v>1.1287878787878789</v>
      </c>
      <c r="BA143" s="41">
        <v>0</v>
      </c>
      <c r="BB143" s="187"/>
      <c r="BC143" s="44"/>
      <c r="BD143" s="191">
        <f t="shared" si="31"/>
        <v>0</v>
      </c>
      <c r="BE143" s="23"/>
      <c r="BF143" s="23"/>
      <c r="BG143" s="23"/>
      <c r="BH143" s="23"/>
      <c r="BI143" s="23"/>
      <c r="BJ143" s="23"/>
      <c r="BK143" s="40"/>
      <c r="BL143" s="44"/>
      <c r="BM143" s="41"/>
      <c r="BN143" s="45"/>
    </row>
    <row r="144" spans="1:66" s="19" customFormat="1" x14ac:dyDescent="0.25">
      <c r="A144" s="218">
        <v>35227010</v>
      </c>
      <c r="B144" s="222" t="s">
        <v>5499</v>
      </c>
      <c r="C144" s="23">
        <v>13</v>
      </c>
      <c r="D144" s="23" t="str" cm="1">
        <f t="array" ref="D144">IFERROR(_xlfn.IFS(U144&lt;727,"MEET", AB144="FRRB","MEET", AB144="PSPS","MEET"),"No")</f>
        <v>MEET</v>
      </c>
      <c r="E144" s="23" t="str" cm="1">
        <f t="array" ref="E144">IFERROR(_xlfn.IFS(AM144&gt;0,"MEET", AN144&gt;0,"MEET"),"No")</f>
        <v>No</v>
      </c>
      <c r="F144" s="100">
        <v>2021089</v>
      </c>
      <c r="G144" s="37"/>
      <c r="H144" s="37">
        <f t="shared" si="25"/>
        <v>0.15984848484848485</v>
      </c>
      <c r="I144" s="37">
        <f t="shared" si="26"/>
        <v>0.15984848484848485</v>
      </c>
      <c r="J144" s="20">
        <v>2021</v>
      </c>
      <c r="K144" s="37"/>
      <c r="L144" s="37"/>
      <c r="M144" s="37">
        <f t="shared" si="27"/>
        <v>0</v>
      </c>
      <c r="N144" s="21">
        <v>0</v>
      </c>
      <c r="O144" s="23" t="s">
        <v>4878</v>
      </c>
      <c r="P144" s="22">
        <v>43141101</v>
      </c>
      <c r="Q144" s="19" t="s">
        <v>2411</v>
      </c>
      <c r="R144" s="23" t="s">
        <v>2418</v>
      </c>
      <c r="S144" s="38">
        <f>IFERROR(VLOOKUP(R144,[47]conductor_pz_summary_hftd_23_re!$B$2:$Q$3636,8,FALSE),0)</f>
        <v>298</v>
      </c>
      <c r="T144" s="201">
        <f>IFERROR(VLOOKUP(R144,[48]conductor_pz_summary_hftd_23_re!$B$2:$H$3636,7,0),0)/1609</f>
        <v>27.408190713785519</v>
      </c>
      <c r="U144" s="23">
        <f>IFERROR(VLOOKUP(R144,[47]conductor_pz_summary_hftd_23_re!$B$2:$Q$3636,14,FALSE),0)</f>
        <v>474</v>
      </c>
      <c r="V144" s="37">
        <f t="shared" si="28"/>
        <v>47.487768087276564</v>
      </c>
      <c r="W144" s="202">
        <f>IFERROR(VLOOKUP(R144,[47]conductor_pz_summary_hftd_23_re!$B$2:$Q$3636,13,FALSE),0)</f>
        <v>0.15935492646737101</v>
      </c>
      <c r="X144" s="73">
        <f>IFERROR(VLOOKUP(R144,conductor_pz_summary_hftd_23_re!$B$2:$N$3636,13,FALSE),0)</f>
        <v>1108</v>
      </c>
      <c r="Y144" s="203">
        <f t="shared" si="29"/>
        <v>0.1717123786553717</v>
      </c>
      <c r="Z144" s="23">
        <v>30</v>
      </c>
      <c r="AA144" s="23" t="s">
        <v>4871</v>
      </c>
      <c r="AB144" s="23" t="s">
        <v>4868</v>
      </c>
      <c r="AC144" s="19" t="s">
        <v>4872</v>
      </c>
      <c r="AD144" s="19" t="s">
        <v>4873</v>
      </c>
      <c r="AE144" s="19" t="s">
        <v>4874</v>
      </c>
      <c r="AF144" s="19" t="s">
        <v>4875</v>
      </c>
      <c r="AG144" s="23">
        <v>5795300</v>
      </c>
      <c r="AH144" s="23" t="s">
        <v>6165</v>
      </c>
      <c r="AI144" s="23">
        <v>120449536</v>
      </c>
      <c r="AJ144" s="120">
        <v>35227010</v>
      </c>
      <c r="AK144" s="23" t="s">
        <v>6172</v>
      </c>
      <c r="AL144" s="20">
        <v>844</v>
      </c>
      <c r="AM144" s="20">
        <v>0</v>
      </c>
      <c r="AN144" s="20">
        <v>0</v>
      </c>
      <c r="AO144" s="20">
        <v>0</v>
      </c>
      <c r="AP144" s="48" t="s">
        <v>4919</v>
      </c>
      <c r="AQ144" s="39" t="s">
        <v>4920</v>
      </c>
      <c r="AR144" s="23">
        <v>0</v>
      </c>
      <c r="AS144" s="40">
        <v>0</v>
      </c>
      <c r="AT144" s="41">
        <v>0</v>
      </c>
      <c r="AU144" s="39" t="s">
        <v>6345</v>
      </c>
      <c r="AV144" s="19">
        <v>0</v>
      </c>
      <c r="AW144" s="19">
        <v>0</v>
      </c>
      <c r="AX144" s="19">
        <v>844</v>
      </c>
      <c r="AY144" s="23">
        <f t="shared" si="30"/>
        <v>844</v>
      </c>
      <c r="AZ144" s="40">
        <f t="shared" si="32"/>
        <v>0.15984848484848485</v>
      </c>
      <c r="BA144" s="41">
        <v>0</v>
      </c>
      <c r="BB144" s="187"/>
      <c r="BC144" s="44"/>
      <c r="BD144" s="191">
        <f t="shared" si="31"/>
        <v>0</v>
      </c>
      <c r="BE144" s="23"/>
      <c r="BF144" s="23"/>
      <c r="BG144" s="23"/>
      <c r="BH144" s="23"/>
      <c r="BI144" s="23"/>
      <c r="BJ144" s="23"/>
      <c r="BK144" s="40"/>
      <c r="BL144" s="44"/>
      <c r="BM144" s="41"/>
      <c r="BN144" s="45"/>
    </row>
    <row r="145" spans="1:66" s="19" customFormat="1" x14ac:dyDescent="0.25">
      <c r="A145" s="218">
        <v>35227013</v>
      </c>
      <c r="B145" s="222" t="s">
        <v>5499</v>
      </c>
      <c r="C145" s="23">
        <v>13</v>
      </c>
      <c r="D145" s="23" t="str" cm="1">
        <f t="array" ref="D145">IFERROR(_xlfn.IFS(U145&lt;727,"MEET", AB145="FRRB","MEET", AB145="PSPS","MEET"),"No")</f>
        <v>MEET</v>
      </c>
      <c r="E145" s="23" t="str" cm="1">
        <f t="array" ref="E145">IFERROR(_xlfn.IFS(AM145&gt;0,"MEET", AN145&gt;0,"MEET"),"No")</f>
        <v>No</v>
      </c>
      <c r="F145" s="100">
        <v>2021090</v>
      </c>
      <c r="G145" s="37"/>
      <c r="H145" s="37">
        <f t="shared" si="25"/>
        <v>2.6893939393939394E-2</v>
      </c>
      <c r="I145" s="37">
        <f t="shared" si="26"/>
        <v>2.6893939393939394E-2</v>
      </c>
      <c r="J145" s="20">
        <v>2021</v>
      </c>
      <c r="K145" s="37"/>
      <c r="L145" s="37"/>
      <c r="M145" s="37">
        <f t="shared" si="27"/>
        <v>0</v>
      </c>
      <c r="N145" s="21">
        <v>0</v>
      </c>
      <c r="O145" s="23" t="s">
        <v>4878</v>
      </c>
      <c r="P145" s="22">
        <v>43141101</v>
      </c>
      <c r="Q145" s="19" t="s">
        <v>2411</v>
      </c>
      <c r="R145" s="23" t="s">
        <v>2418</v>
      </c>
      <c r="S145" s="38">
        <f>IFERROR(VLOOKUP(R145,[47]conductor_pz_summary_hftd_23_re!$B$2:$Q$3636,8,FALSE),0)</f>
        <v>298</v>
      </c>
      <c r="T145" s="201">
        <f>IFERROR(VLOOKUP(R145,[48]conductor_pz_summary_hftd_23_re!$B$2:$H$3636,7,0),0)/1609</f>
        <v>27.408190713785519</v>
      </c>
      <c r="U145" s="23">
        <f>IFERROR(VLOOKUP(R145,[47]conductor_pz_summary_hftd_23_re!$B$2:$Q$3636,14,FALSE),0)</f>
        <v>474</v>
      </c>
      <c r="V145" s="37">
        <f t="shared" si="28"/>
        <v>47.487768087276564</v>
      </c>
      <c r="W145" s="202">
        <f>IFERROR(VLOOKUP(R145,[47]conductor_pz_summary_hftd_23_re!$B$2:$Q$3636,13,FALSE),0)</f>
        <v>0.15935492646737101</v>
      </c>
      <c r="X145" s="73">
        <f>IFERROR(VLOOKUP(R145,conductor_pz_summary_hftd_23_re!$B$2:$N$3636,13,FALSE),0)</f>
        <v>1108</v>
      </c>
      <c r="Y145" s="203">
        <f t="shared" si="29"/>
        <v>2.8889997356709461E-2</v>
      </c>
      <c r="Z145" s="23">
        <v>30</v>
      </c>
      <c r="AA145" s="23" t="s">
        <v>4871</v>
      </c>
      <c r="AB145" s="23" t="s">
        <v>4868</v>
      </c>
      <c r="AC145" s="19" t="s">
        <v>4872</v>
      </c>
      <c r="AD145" s="19" t="s">
        <v>4873</v>
      </c>
      <c r="AE145" s="19" t="s">
        <v>4874</v>
      </c>
      <c r="AF145" s="19" t="s">
        <v>4875</v>
      </c>
      <c r="AG145" s="23">
        <v>5795300</v>
      </c>
      <c r="AH145" s="23" t="s">
        <v>6166</v>
      </c>
      <c r="AI145" s="23">
        <v>120449539</v>
      </c>
      <c r="AJ145" s="120">
        <v>35227013</v>
      </c>
      <c r="AK145" s="23" t="s">
        <v>6173</v>
      </c>
      <c r="AL145" s="20">
        <v>142</v>
      </c>
      <c r="AM145" s="20">
        <v>0</v>
      </c>
      <c r="AN145" s="20">
        <v>0</v>
      </c>
      <c r="AO145" s="20">
        <v>0</v>
      </c>
      <c r="AP145" s="48" t="s">
        <v>4919</v>
      </c>
      <c r="AQ145" s="39" t="s">
        <v>4920</v>
      </c>
      <c r="AR145" s="23">
        <v>0</v>
      </c>
      <c r="AS145" s="40">
        <v>0</v>
      </c>
      <c r="AT145" s="41">
        <v>0</v>
      </c>
      <c r="AU145" s="39" t="s">
        <v>6345</v>
      </c>
      <c r="AV145" s="19">
        <v>0</v>
      </c>
      <c r="AW145" s="19">
        <v>0</v>
      </c>
      <c r="AX145" s="19">
        <v>142</v>
      </c>
      <c r="AY145" s="23">
        <f t="shared" si="30"/>
        <v>142</v>
      </c>
      <c r="AZ145" s="40">
        <f t="shared" si="32"/>
        <v>2.6893939393939394E-2</v>
      </c>
      <c r="BA145" s="41">
        <v>0</v>
      </c>
      <c r="BB145" s="187"/>
      <c r="BC145" s="44"/>
      <c r="BD145" s="191">
        <f t="shared" si="31"/>
        <v>0</v>
      </c>
      <c r="BE145" s="23"/>
      <c r="BF145" s="23"/>
      <c r="BG145" s="23"/>
      <c r="BH145" s="23"/>
      <c r="BI145" s="23"/>
      <c r="BJ145" s="23"/>
      <c r="BK145" s="40"/>
      <c r="BL145" s="44"/>
      <c r="BM145" s="41"/>
      <c r="BN145" s="45"/>
    </row>
    <row r="146" spans="1:66" s="19" customFormat="1" x14ac:dyDescent="0.25">
      <c r="A146" s="218">
        <v>35227015</v>
      </c>
      <c r="B146" s="222" t="s">
        <v>5499</v>
      </c>
      <c r="C146" s="23">
        <v>13</v>
      </c>
      <c r="D146" s="23" t="str" cm="1">
        <f t="array" ref="D146">IFERROR(_xlfn.IFS(U146&lt;727,"MEET", AB146="FRRB","MEET", AB146="PSPS","MEET"),"No")</f>
        <v>MEET</v>
      </c>
      <c r="E146" s="23" t="str" cm="1">
        <f t="array" ref="E146">IFERROR(_xlfn.IFS(AM146&gt;0,"MEET", AN146&gt;0,"MEET"),"No")</f>
        <v>No</v>
      </c>
      <c r="F146" s="100">
        <v>2021091</v>
      </c>
      <c r="G146" s="37"/>
      <c r="H146" s="37">
        <f t="shared" si="25"/>
        <v>0.95757575757575752</v>
      </c>
      <c r="I146" s="37">
        <f t="shared" si="26"/>
        <v>0.95757575757575752</v>
      </c>
      <c r="J146" s="20">
        <v>2021</v>
      </c>
      <c r="K146" s="37"/>
      <c r="L146" s="37"/>
      <c r="M146" s="37">
        <f t="shared" si="27"/>
        <v>0</v>
      </c>
      <c r="N146" s="21">
        <v>0</v>
      </c>
      <c r="O146" s="23" t="s">
        <v>4878</v>
      </c>
      <c r="P146" s="22">
        <v>43141101</v>
      </c>
      <c r="Q146" s="19" t="s">
        <v>2411</v>
      </c>
      <c r="R146" s="23" t="s">
        <v>2418</v>
      </c>
      <c r="S146" s="38">
        <f>IFERROR(VLOOKUP(R146,[47]conductor_pz_summary_hftd_23_re!$B$2:$Q$3636,8,FALSE),0)</f>
        <v>298</v>
      </c>
      <c r="T146" s="201">
        <f>IFERROR(VLOOKUP(R146,[48]conductor_pz_summary_hftd_23_re!$B$2:$H$3636,7,0),0)/1609</f>
        <v>27.408190713785519</v>
      </c>
      <c r="U146" s="23">
        <f>IFERROR(VLOOKUP(R146,[47]conductor_pz_summary_hftd_23_re!$B$2:$Q$3636,14,FALSE),0)</f>
        <v>474</v>
      </c>
      <c r="V146" s="37">
        <f t="shared" si="28"/>
        <v>47.487768087276564</v>
      </c>
      <c r="W146" s="202">
        <f>IFERROR(VLOOKUP(R146,[47]conductor_pz_summary_hftd_23_re!$B$2:$Q$3636,13,FALSE),0)</f>
        <v>0.15935492646737101</v>
      </c>
      <c r="X146" s="73">
        <f>IFERROR(VLOOKUP(R146,conductor_pz_summary_hftd_23_re!$B$2:$N$3636,13,FALSE),0)</f>
        <v>1108</v>
      </c>
      <c r="Y146" s="203">
        <f t="shared" si="29"/>
        <v>1.028646666447345</v>
      </c>
      <c r="Z146" s="23">
        <v>30</v>
      </c>
      <c r="AA146" s="23" t="s">
        <v>4871</v>
      </c>
      <c r="AB146" s="23" t="s">
        <v>4868</v>
      </c>
      <c r="AC146" s="19" t="s">
        <v>4872</v>
      </c>
      <c r="AD146" s="19" t="s">
        <v>4873</v>
      </c>
      <c r="AE146" s="19" t="s">
        <v>4874</v>
      </c>
      <c r="AF146" s="19" t="s">
        <v>4875</v>
      </c>
      <c r="AG146" s="23">
        <v>5795300</v>
      </c>
      <c r="AH146" s="23" t="s">
        <v>6167</v>
      </c>
      <c r="AI146" s="23">
        <v>120449710</v>
      </c>
      <c r="AJ146" s="120">
        <v>35227015</v>
      </c>
      <c r="AK146" s="23" t="s">
        <v>6174</v>
      </c>
      <c r="AL146" s="20">
        <v>5056</v>
      </c>
      <c r="AM146" s="20">
        <v>0</v>
      </c>
      <c r="AN146" s="20">
        <v>0</v>
      </c>
      <c r="AO146" s="20">
        <v>0</v>
      </c>
      <c r="AP146" s="48" t="s">
        <v>4919</v>
      </c>
      <c r="AQ146" s="39" t="s">
        <v>4920</v>
      </c>
      <c r="AR146" s="23">
        <v>0</v>
      </c>
      <c r="AS146" s="40">
        <v>0</v>
      </c>
      <c r="AT146" s="41">
        <v>0</v>
      </c>
      <c r="AU146" s="39" t="s">
        <v>6345</v>
      </c>
      <c r="AV146" s="19">
        <v>0</v>
      </c>
      <c r="AW146" s="19">
        <v>0</v>
      </c>
      <c r="AX146" s="19">
        <v>5056</v>
      </c>
      <c r="AY146" s="23">
        <f t="shared" si="30"/>
        <v>5056</v>
      </c>
      <c r="AZ146" s="40">
        <f t="shared" si="32"/>
        <v>0.95757575757575752</v>
      </c>
      <c r="BA146" s="41">
        <v>0</v>
      </c>
      <c r="BB146" s="187"/>
      <c r="BC146" s="44"/>
      <c r="BD146" s="191">
        <f t="shared" si="31"/>
        <v>0</v>
      </c>
      <c r="BE146" s="23"/>
      <c r="BF146" s="23"/>
      <c r="BG146" s="23"/>
      <c r="BH146" s="23"/>
      <c r="BI146" s="23"/>
      <c r="BJ146" s="23"/>
      <c r="BK146" s="40"/>
      <c r="BL146" s="44"/>
      <c r="BM146" s="41"/>
      <c r="BN146" s="45"/>
    </row>
    <row r="147" spans="1:66" s="19" customFormat="1" x14ac:dyDescent="0.25">
      <c r="A147" s="218">
        <v>35227018</v>
      </c>
      <c r="B147" s="222" t="s">
        <v>5499</v>
      </c>
      <c r="C147" s="23">
        <v>13</v>
      </c>
      <c r="D147" s="23" t="str" cm="1">
        <f t="array" ref="D147">IFERROR(_xlfn.IFS(U147&lt;727,"MEET", AB147="FRRB","MEET", AB147="PSPS","MEET"),"No")</f>
        <v>MEET</v>
      </c>
      <c r="E147" s="23" t="str" cm="1">
        <f t="array" ref="E147">IFERROR(_xlfn.IFS(AM147&gt;0,"MEET", AN147&gt;0,"MEET"),"No")</f>
        <v>No</v>
      </c>
      <c r="F147" s="100">
        <v>2021092</v>
      </c>
      <c r="G147" s="37"/>
      <c r="H147" s="37">
        <f t="shared" si="25"/>
        <v>1.2</v>
      </c>
      <c r="I147" s="37">
        <f t="shared" si="26"/>
        <v>1.2</v>
      </c>
      <c r="J147" s="20">
        <v>2021</v>
      </c>
      <c r="K147" s="37"/>
      <c r="L147" s="37"/>
      <c r="M147" s="37">
        <f t="shared" si="27"/>
        <v>0</v>
      </c>
      <c r="N147" s="21">
        <v>0</v>
      </c>
      <c r="O147" s="23" t="s">
        <v>4878</v>
      </c>
      <c r="P147" s="22">
        <v>43141101</v>
      </c>
      <c r="Q147" s="19" t="s">
        <v>2411</v>
      </c>
      <c r="R147" s="23" t="s">
        <v>2418</v>
      </c>
      <c r="S147" s="38">
        <f>IFERROR(VLOOKUP(R147,[47]conductor_pz_summary_hftd_23_re!$B$2:$Q$3636,8,FALSE),0)</f>
        <v>298</v>
      </c>
      <c r="T147" s="201">
        <f>IFERROR(VLOOKUP(R147,[48]conductor_pz_summary_hftd_23_re!$B$2:$H$3636,7,0),0)/1609</f>
        <v>27.408190713785519</v>
      </c>
      <c r="U147" s="23">
        <f>IFERROR(VLOOKUP(R147,[47]conductor_pz_summary_hftd_23_re!$B$2:$Q$3636,14,FALSE),0)</f>
        <v>474</v>
      </c>
      <c r="V147" s="37">
        <f t="shared" si="28"/>
        <v>47.487768087276564</v>
      </c>
      <c r="W147" s="202">
        <f>IFERROR(VLOOKUP(R147,[47]conductor_pz_summary_hftd_23_re!$B$2:$Q$3636,13,FALSE),0)</f>
        <v>0.15935492646737101</v>
      </c>
      <c r="X147" s="73">
        <f>IFERROR(VLOOKUP(R147,conductor_pz_summary_hftd_23_re!$B$2:$N$3636,13,FALSE),0)</f>
        <v>1108</v>
      </c>
      <c r="Y147" s="203">
        <f t="shared" si="29"/>
        <v>1.2890635440289515</v>
      </c>
      <c r="Z147" s="23">
        <v>30</v>
      </c>
      <c r="AA147" s="23" t="s">
        <v>4871</v>
      </c>
      <c r="AB147" s="23" t="s">
        <v>4868</v>
      </c>
      <c r="AC147" s="19" t="s">
        <v>4872</v>
      </c>
      <c r="AD147" s="19" t="s">
        <v>4873</v>
      </c>
      <c r="AE147" s="19" t="s">
        <v>4874</v>
      </c>
      <c r="AF147" s="19" t="s">
        <v>4875</v>
      </c>
      <c r="AG147" s="23">
        <v>5795300</v>
      </c>
      <c r="AH147" s="23" t="s">
        <v>6168</v>
      </c>
      <c r="AI147" s="23">
        <v>120449711</v>
      </c>
      <c r="AJ147" s="120">
        <v>35227018</v>
      </c>
      <c r="AK147" s="23" t="s">
        <v>6175</v>
      </c>
      <c r="AL147" s="20">
        <v>6336</v>
      </c>
      <c r="AM147" s="20">
        <v>0</v>
      </c>
      <c r="AN147" s="20">
        <v>0</v>
      </c>
      <c r="AO147" s="20">
        <v>0</v>
      </c>
      <c r="AP147" s="48" t="s">
        <v>4919</v>
      </c>
      <c r="AQ147" s="39" t="s">
        <v>4920</v>
      </c>
      <c r="AR147" s="23">
        <v>0</v>
      </c>
      <c r="AS147" s="40">
        <v>0</v>
      </c>
      <c r="AT147" s="41">
        <v>0</v>
      </c>
      <c r="AU147" s="39" t="s">
        <v>6345</v>
      </c>
      <c r="AV147" s="19">
        <v>0</v>
      </c>
      <c r="AW147" s="19">
        <v>0</v>
      </c>
      <c r="AX147" s="19">
        <v>6336</v>
      </c>
      <c r="AY147" s="23">
        <f t="shared" si="30"/>
        <v>6336</v>
      </c>
      <c r="AZ147" s="40">
        <f t="shared" si="32"/>
        <v>1.2</v>
      </c>
      <c r="BA147" s="41">
        <v>0</v>
      </c>
      <c r="BB147" s="187"/>
      <c r="BC147" s="44"/>
      <c r="BD147" s="191">
        <f t="shared" si="31"/>
        <v>0</v>
      </c>
      <c r="BE147" s="23"/>
      <c r="BF147" s="23"/>
      <c r="BG147" s="23"/>
      <c r="BH147" s="23"/>
      <c r="BI147" s="23"/>
      <c r="BJ147" s="23"/>
      <c r="BK147" s="40"/>
      <c r="BL147" s="44"/>
      <c r="BM147" s="41"/>
      <c r="BN147" s="45"/>
    </row>
    <row r="148" spans="1:66" s="19" customFormat="1" x14ac:dyDescent="0.25">
      <c r="A148" s="218">
        <v>35227021</v>
      </c>
      <c r="B148" s="222" t="s">
        <v>5499</v>
      </c>
      <c r="C148" s="23">
        <v>13</v>
      </c>
      <c r="D148" s="23" t="str" cm="1">
        <f t="array" ref="D148">IFERROR(_xlfn.IFS(U148&lt;727,"MEET", AB148="FRRB","MEET", AB148="PSPS","MEET"),"No")</f>
        <v>MEET</v>
      </c>
      <c r="E148" s="23" t="str" cm="1">
        <f t="array" ref="E148">IFERROR(_xlfn.IFS(AM148&gt;0,"MEET", AN148&gt;0,"MEET"),"No")</f>
        <v>No</v>
      </c>
      <c r="F148" s="100">
        <v>2021093</v>
      </c>
      <c r="G148" s="37"/>
      <c r="H148" s="37">
        <f t="shared" si="25"/>
        <v>0.21988636363636363</v>
      </c>
      <c r="I148" s="37">
        <f t="shared" si="26"/>
        <v>0.21988636363636363</v>
      </c>
      <c r="J148" s="20">
        <v>2021</v>
      </c>
      <c r="K148" s="37"/>
      <c r="L148" s="37"/>
      <c r="M148" s="37">
        <f t="shared" si="27"/>
        <v>0</v>
      </c>
      <c r="N148" s="21">
        <v>0</v>
      </c>
      <c r="O148" s="23" t="s">
        <v>4878</v>
      </c>
      <c r="P148" s="22">
        <v>43141101</v>
      </c>
      <c r="Q148" s="19" t="s">
        <v>2411</v>
      </c>
      <c r="R148" s="23" t="s">
        <v>2418</v>
      </c>
      <c r="S148" s="38">
        <f>IFERROR(VLOOKUP(R148,[47]conductor_pz_summary_hftd_23_re!$B$2:$Q$3636,8,FALSE),0)</f>
        <v>298</v>
      </c>
      <c r="T148" s="201">
        <f>IFERROR(VLOOKUP(R148,[48]conductor_pz_summary_hftd_23_re!$B$2:$H$3636,7,0),0)/1609</f>
        <v>27.408190713785519</v>
      </c>
      <c r="U148" s="23">
        <f>IFERROR(VLOOKUP(R148,[47]conductor_pz_summary_hftd_23_re!$B$2:$Q$3636,14,FALSE),0)</f>
        <v>474</v>
      </c>
      <c r="V148" s="37">
        <f t="shared" si="28"/>
        <v>47.487768087276564</v>
      </c>
      <c r="W148" s="202">
        <f>IFERROR(VLOOKUP(R148,[47]conductor_pz_summary_hftd_23_re!$B$2:$Q$3636,13,FALSE),0)</f>
        <v>0.15935492646737101</v>
      </c>
      <c r="X148" s="73">
        <f>IFERROR(VLOOKUP(R148,conductor_pz_summary_hftd_23_re!$B$2:$N$3636,13,FALSE),0)</f>
        <v>1108</v>
      </c>
      <c r="Y148" s="203">
        <f t="shared" si="29"/>
        <v>0.23620624599394141</v>
      </c>
      <c r="Z148" s="23">
        <v>30</v>
      </c>
      <c r="AA148" s="23" t="s">
        <v>4871</v>
      </c>
      <c r="AB148" s="23" t="s">
        <v>4868</v>
      </c>
      <c r="AC148" s="19" t="s">
        <v>4872</v>
      </c>
      <c r="AD148" s="19" t="s">
        <v>4873</v>
      </c>
      <c r="AE148" s="19" t="s">
        <v>4874</v>
      </c>
      <c r="AF148" s="19" t="s">
        <v>4875</v>
      </c>
      <c r="AG148" s="23">
        <v>5795300</v>
      </c>
      <c r="AH148" s="23" t="s">
        <v>6169</v>
      </c>
      <c r="AI148" s="23">
        <v>120449712</v>
      </c>
      <c r="AJ148" s="120">
        <v>35227021</v>
      </c>
      <c r="AK148" s="23" t="s">
        <v>6176</v>
      </c>
      <c r="AL148" s="20">
        <v>1161</v>
      </c>
      <c r="AM148" s="20">
        <v>0</v>
      </c>
      <c r="AN148" s="20">
        <v>0</v>
      </c>
      <c r="AO148" s="20">
        <v>0</v>
      </c>
      <c r="AP148" s="48" t="s">
        <v>4919</v>
      </c>
      <c r="AQ148" s="39" t="s">
        <v>4920</v>
      </c>
      <c r="AR148" s="23">
        <v>0</v>
      </c>
      <c r="AS148" s="40">
        <v>0</v>
      </c>
      <c r="AT148" s="41">
        <v>0</v>
      </c>
      <c r="AU148" s="39" t="s">
        <v>6345</v>
      </c>
      <c r="AV148" s="19">
        <v>0</v>
      </c>
      <c r="AW148" s="19">
        <v>0</v>
      </c>
      <c r="AX148" s="19">
        <v>1161</v>
      </c>
      <c r="AY148" s="23">
        <f t="shared" si="30"/>
        <v>1161</v>
      </c>
      <c r="AZ148" s="40">
        <f t="shared" si="32"/>
        <v>0.21988636363636363</v>
      </c>
      <c r="BA148" s="41">
        <v>0</v>
      </c>
      <c r="BB148" s="187"/>
      <c r="BC148" s="44"/>
      <c r="BD148" s="191">
        <f t="shared" si="31"/>
        <v>0</v>
      </c>
      <c r="BE148" s="23"/>
      <c r="BF148" s="23"/>
      <c r="BG148" s="23"/>
      <c r="BH148" s="23"/>
      <c r="BI148" s="23"/>
      <c r="BJ148" s="23"/>
      <c r="BK148" s="40"/>
      <c r="BL148" s="44"/>
      <c r="BM148" s="41"/>
      <c r="BN148" s="45"/>
    </row>
    <row r="149" spans="1:66" s="19" customFormat="1" x14ac:dyDescent="0.25">
      <c r="A149" s="218">
        <v>35227025</v>
      </c>
      <c r="B149" s="222" t="s">
        <v>5499</v>
      </c>
      <c r="C149" s="23">
        <v>13</v>
      </c>
      <c r="D149" s="23" t="str" cm="1">
        <f t="array" ref="D149">IFERROR(_xlfn.IFS(U149&lt;727,"MEET", AB149="FRRB","MEET", AB149="PSPS","MEET"),"No")</f>
        <v>MEET</v>
      </c>
      <c r="E149" s="23" t="str" cm="1">
        <f t="array" ref="E149">IFERROR(_xlfn.IFS(AM149&gt;0,"MEET", AN149&gt;0,"MEET"),"No")</f>
        <v>MEET</v>
      </c>
      <c r="F149" s="100">
        <v>2021094</v>
      </c>
      <c r="G149" s="37"/>
      <c r="H149" s="37">
        <f t="shared" si="25"/>
        <v>0.7535984848484848</v>
      </c>
      <c r="I149" s="37">
        <f t="shared" si="26"/>
        <v>0.7535984848484848</v>
      </c>
      <c r="J149" s="20">
        <v>2021</v>
      </c>
      <c r="K149" s="37"/>
      <c r="L149" s="37"/>
      <c r="M149" s="37">
        <f t="shared" si="27"/>
        <v>0</v>
      </c>
      <c r="N149" s="21">
        <v>0</v>
      </c>
      <c r="O149" s="23" t="s">
        <v>4878</v>
      </c>
      <c r="P149" s="22">
        <v>43141101</v>
      </c>
      <c r="Q149" s="19" t="s">
        <v>2411</v>
      </c>
      <c r="R149" s="23" t="s">
        <v>2418</v>
      </c>
      <c r="S149" s="38">
        <f>IFERROR(VLOOKUP(R149,[47]conductor_pz_summary_hftd_23_re!$B$2:$Q$3636,8,FALSE),0)</f>
        <v>298</v>
      </c>
      <c r="T149" s="201">
        <f>IFERROR(VLOOKUP(R149,[48]conductor_pz_summary_hftd_23_re!$B$2:$H$3636,7,0),0)/1609</f>
        <v>27.408190713785519</v>
      </c>
      <c r="U149" s="23">
        <f>IFERROR(VLOOKUP(R149,[47]conductor_pz_summary_hftd_23_re!$B$2:$Q$3636,14,FALSE),0)</f>
        <v>474</v>
      </c>
      <c r="V149" s="37">
        <f t="shared" si="28"/>
        <v>47.487768087276564</v>
      </c>
      <c r="W149" s="202">
        <f>IFERROR(VLOOKUP(R149,[47]conductor_pz_summary_hftd_23_re!$B$2:$Q$3636,13,FALSE),0)</f>
        <v>0.15935492646737101</v>
      </c>
      <c r="X149" s="73">
        <f>IFERROR(VLOOKUP(R149,conductor_pz_summary_hftd_23_re!$B$2:$N$3636,13,FALSE),0)</f>
        <v>1108</v>
      </c>
      <c r="Y149" s="203">
        <f t="shared" si="29"/>
        <v>1.0183625624359951</v>
      </c>
      <c r="Z149" s="23">
        <v>30</v>
      </c>
      <c r="AA149" s="23" t="s">
        <v>4871</v>
      </c>
      <c r="AB149" s="23" t="s">
        <v>4868</v>
      </c>
      <c r="AC149" s="19" t="s">
        <v>4872</v>
      </c>
      <c r="AD149" s="19" t="s">
        <v>4873</v>
      </c>
      <c r="AE149" s="19" t="s">
        <v>4874</v>
      </c>
      <c r="AF149" s="19" t="s">
        <v>4875</v>
      </c>
      <c r="AG149" s="23">
        <v>5795300</v>
      </c>
      <c r="AH149" s="23" t="s">
        <v>6170</v>
      </c>
      <c r="AI149" s="23">
        <v>120449714</v>
      </c>
      <c r="AJ149" s="120">
        <v>35227025</v>
      </c>
      <c r="AK149" s="23" t="s">
        <v>6177</v>
      </c>
      <c r="AL149" s="20">
        <v>2259</v>
      </c>
      <c r="AM149" s="20">
        <v>1720</v>
      </c>
      <c r="AN149" s="20">
        <v>0</v>
      </c>
      <c r="AO149" s="20">
        <v>0</v>
      </c>
      <c r="AP149" s="48" t="s">
        <v>4919</v>
      </c>
      <c r="AQ149" s="39" t="s">
        <v>4920</v>
      </c>
      <c r="AR149" s="23">
        <v>0</v>
      </c>
      <c r="AS149" s="40">
        <v>0</v>
      </c>
      <c r="AT149" s="41">
        <v>0</v>
      </c>
      <c r="AU149" s="39" t="s">
        <v>6345</v>
      </c>
      <c r="AV149" s="19">
        <v>0</v>
      </c>
      <c r="AW149" s="19">
        <v>1720</v>
      </c>
      <c r="AX149" s="19">
        <v>2259</v>
      </c>
      <c r="AY149" s="23">
        <f t="shared" ref="AY149:AY153" si="33">SUM(AV149:AX149)</f>
        <v>3979</v>
      </c>
      <c r="AZ149" s="40">
        <f t="shared" si="32"/>
        <v>0.7535984848484848</v>
      </c>
      <c r="BA149" s="41">
        <v>0</v>
      </c>
      <c r="BB149" s="187"/>
      <c r="BC149" s="44"/>
      <c r="BD149" s="191">
        <f t="shared" si="31"/>
        <v>0</v>
      </c>
      <c r="BE149" s="23"/>
      <c r="BF149" s="23"/>
      <c r="BG149" s="23"/>
      <c r="BH149" s="23"/>
      <c r="BI149" s="23"/>
      <c r="BJ149" s="23"/>
      <c r="BK149" s="40"/>
      <c r="BL149" s="44"/>
      <c r="BM149" s="41"/>
      <c r="BN149" s="45"/>
    </row>
    <row r="150" spans="1:66" s="19" customFormat="1" x14ac:dyDescent="0.25">
      <c r="A150" s="218">
        <v>35234756</v>
      </c>
      <c r="B150" s="222" t="s">
        <v>5499</v>
      </c>
      <c r="C150" s="23">
        <v>13</v>
      </c>
      <c r="D150" s="23" t="str" cm="1">
        <f t="array" ref="D150">IFERROR(_xlfn.IFS(U150&lt;727,"MEET", AB150="FRRB","MEET", AB150="PSPS","MEET"),"No")</f>
        <v>MEET</v>
      </c>
      <c r="E150" s="23" t="str" cm="1">
        <f t="array" ref="E150">IFERROR(_xlfn.IFS(AM150&gt;0,"MEET", AN150&gt;0,"MEET"),"No")</f>
        <v>MEET</v>
      </c>
      <c r="F150" s="100"/>
      <c r="G150" s="37"/>
      <c r="H150" s="37">
        <f t="shared" si="25"/>
        <v>2.782007575757576</v>
      </c>
      <c r="I150" s="37">
        <f t="shared" si="26"/>
        <v>2.782007575757576</v>
      </c>
      <c r="J150" s="20">
        <v>2021</v>
      </c>
      <c r="K150" s="37"/>
      <c r="L150" s="37"/>
      <c r="M150" s="37">
        <f t="shared" si="27"/>
        <v>0</v>
      </c>
      <c r="N150" s="21">
        <v>0</v>
      </c>
      <c r="O150" s="23" t="s">
        <v>4878</v>
      </c>
      <c r="P150" s="22">
        <v>43141101</v>
      </c>
      <c r="Q150" s="19" t="s">
        <v>2411</v>
      </c>
      <c r="R150" s="23" t="s">
        <v>2418</v>
      </c>
      <c r="S150" s="38">
        <f>IFERROR(VLOOKUP(R150,[47]conductor_pz_summary_hftd_23_re!$B$2:$Q$3636,8,FALSE),0)</f>
        <v>298</v>
      </c>
      <c r="T150" s="201">
        <f>IFERROR(VLOOKUP(R150,[48]conductor_pz_summary_hftd_23_re!$B$2:$H$3636,7,0),0)/1609</f>
        <v>27.408190713785519</v>
      </c>
      <c r="U150" s="23">
        <f>IFERROR(VLOOKUP(R150,[47]conductor_pz_summary_hftd_23_re!$B$2:$Q$3636,14,FALSE),0)</f>
        <v>474</v>
      </c>
      <c r="V150" s="37">
        <f t="shared" ref="V150:V153" si="34">IFERROR(W150*S150,0)</f>
        <v>47.487768087276564</v>
      </c>
      <c r="W150" s="202">
        <f>IFERROR(VLOOKUP(R150,[47]conductor_pz_summary_hftd_23_re!$B$2:$Q$3636,13,FALSE),0)</f>
        <v>0.15935492646737101</v>
      </c>
      <c r="X150" s="183">
        <f>IFERROR(VLOOKUP(R150,conductor_pz_summary_hftd_23_re!$B$2:$N$3636,13,FALSE),0)</f>
        <v>1108</v>
      </c>
      <c r="Y150" s="203">
        <f t="shared" ref="Y150:Y153" si="35">(AL150*0.62+AM150*0.99+AN150+AO150*0.99)/(SUM(AL150:AO150))*V150*(H150/T150)</f>
        <v>4.7719391124599984</v>
      </c>
      <c r="Z150" s="23">
        <v>30</v>
      </c>
      <c r="AA150" s="23" t="s">
        <v>4871</v>
      </c>
      <c r="AB150" s="23" t="s">
        <v>4868</v>
      </c>
      <c r="AC150" s="19" t="s">
        <v>4872</v>
      </c>
      <c r="AD150" s="19" t="s">
        <v>4873</v>
      </c>
      <c r="AE150" s="19" t="s">
        <v>4874</v>
      </c>
      <c r="AF150" s="19" t="s">
        <v>4875</v>
      </c>
      <c r="AG150" s="23">
        <v>5795300</v>
      </c>
      <c r="AH150" s="23" t="s">
        <v>6656</v>
      </c>
      <c r="AI150" s="23">
        <v>120580906</v>
      </c>
      <c r="AJ150" s="120">
        <v>35234756</v>
      </c>
      <c r="AK150" s="23" t="s">
        <v>6662</v>
      </c>
      <c r="AL150" s="20">
        <v>0</v>
      </c>
      <c r="AM150" s="20">
        <v>14689</v>
      </c>
      <c r="AN150" s="20">
        <v>0</v>
      </c>
      <c r="AO150" s="20">
        <v>0</v>
      </c>
      <c r="AP150" s="48" t="s">
        <v>4919</v>
      </c>
      <c r="AQ150" s="39" t="s">
        <v>4920</v>
      </c>
      <c r="AR150" s="23">
        <v>0</v>
      </c>
      <c r="AS150" s="40">
        <v>0</v>
      </c>
      <c r="AT150" s="41">
        <v>0</v>
      </c>
      <c r="AU150" s="39" t="s">
        <v>6345</v>
      </c>
      <c r="AV150" s="19">
        <v>0</v>
      </c>
      <c r="AW150" s="19">
        <v>14689</v>
      </c>
      <c r="AX150" s="19">
        <v>0</v>
      </c>
      <c r="AY150" s="23">
        <f t="shared" si="33"/>
        <v>14689</v>
      </c>
      <c r="AZ150" s="40">
        <f t="shared" si="32"/>
        <v>2.782007575757576</v>
      </c>
      <c r="BA150" s="41">
        <v>0</v>
      </c>
      <c r="BB150" s="187"/>
      <c r="BC150" s="44"/>
      <c r="BD150" s="191">
        <f t="shared" si="31"/>
        <v>0</v>
      </c>
      <c r="BE150" s="23"/>
      <c r="BF150" s="23"/>
      <c r="BG150" s="23"/>
      <c r="BH150" s="23"/>
      <c r="BI150" s="23"/>
      <c r="BJ150" s="23"/>
      <c r="BK150" s="40"/>
      <c r="BL150" s="44"/>
      <c r="BM150" s="41"/>
      <c r="BN150" s="45"/>
    </row>
    <row r="151" spans="1:66" s="19" customFormat="1" x14ac:dyDescent="0.25">
      <c r="A151" s="218" t="s">
        <v>6653</v>
      </c>
      <c r="B151" s="222" t="s">
        <v>5499</v>
      </c>
      <c r="C151" s="23">
        <v>13</v>
      </c>
      <c r="D151" s="23" t="str" cm="1">
        <f t="array" ref="D151">IFERROR(_xlfn.IFS(U151&lt;727,"MEET", AB151="FRRB","MEET", AB151="PSPS","MEET"),"No")</f>
        <v>MEET</v>
      </c>
      <c r="E151" s="23" t="str" cm="1">
        <f t="array" ref="E151">IFERROR(_xlfn.IFS(AM151&gt;0,"MEET", AN151&gt;0,"MEET"),"No")</f>
        <v>MEET</v>
      </c>
      <c r="F151" s="100"/>
      <c r="G151" s="37"/>
      <c r="H151" s="37">
        <f t="shared" si="25"/>
        <v>0.58200757575757578</v>
      </c>
      <c r="I151" s="37">
        <f t="shared" si="26"/>
        <v>0.58200757575757578</v>
      </c>
      <c r="J151" s="20">
        <v>2021</v>
      </c>
      <c r="K151" s="37"/>
      <c r="L151" s="37"/>
      <c r="M151" s="37">
        <f t="shared" si="27"/>
        <v>0</v>
      </c>
      <c r="N151" s="21">
        <v>0</v>
      </c>
      <c r="O151" s="23" t="s">
        <v>4878</v>
      </c>
      <c r="P151" s="22">
        <v>43141101</v>
      </c>
      <c r="Q151" s="19" t="s">
        <v>2411</v>
      </c>
      <c r="R151" s="23" t="s">
        <v>2418</v>
      </c>
      <c r="S151" s="38">
        <f>IFERROR(VLOOKUP(R151,[47]conductor_pz_summary_hftd_23_re!$B$2:$Q$3636,8,FALSE),0)</f>
        <v>298</v>
      </c>
      <c r="T151" s="201">
        <f>IFERROR(VLOOKUP(R151,[48]conductor_pz_summary_hftd_23_re!$B$2:$H$3636,7,0),0)/1609</f>
        <v>27.408190713785519</v>
      </c>
      <c r="U151" s="23">
        <f>IFERROR(VLOOKUP(R151,[47]conductor_pz_summary_hftd_23_re!$B$2:$Q$3636,14,FALSE),0)</f>
        <v>474</v>
      </c>
      <c r="V151" s="37">
        <f t="shared" si="34"/>
        <v>47.487768087276564</v>
      </c>
      <c r="W151" s="202">
        <f>IFERROR(VLOOKUP(R151,[47]conductor_pz_summary_hftd_23_re!$B$2:$Q$3636,13,FALSE),0)</f>
        <v>0.15935492646737101</v>
      </c>
      <c r="X151" s="183">
        <f>IFERROR(VLOOKUP(R151,conductor_pz_summary_hftd_23_re!$B$2:$N$3636,13,FALSE),0)</f>
        <v>1108</v>
      </c>
      <c r="Y151" s="203">
        <f t="shared" si="35"/>
        <v>0.99830954405266337</v>
      </c>
      <c r="Z151" s="23">
        <v>30</v>
      </c>
      <c r="AA151" s="23" t="s">
        <v>4871</v>
      </c>
      <c r="AB151" s="23" t="s">
        <v>4868</v>
      </c>
      <c r="AC151" s="19" t="s">
        <v>4872</v>
      </c>
      <c r="AD151" s="19" t="s">
        <v>4873</v>
      </c>
      <c r="AE151" s="19" t="s">
        <v>4874</v>
      </c>
      <c r="AF151" s="19" t="s">
        <v>4875</v>
      </c>
      <c r="AG151" s="23">
        <v>5795300</v>
      </c>
      <c r="AH151" s="23" t="s">
        <v>6657</v>
      </c>
      <c r="AI151" s="23">
        <v>120580957</v>
      </c>
      <c r="AJ151" s="120" t="s">
        <v>6653</v>
      </c>
      <c r="AK151" s="23" t="s">
        <v>6663</v>
      </c>
      <c r="AL151" s="20">
        <v>0</v>
      </c>
      <c r="AM151" s="20">
        <v>3073</v>
      </c>
      <c r="AN151" s="20">
        <v>0</v>
      </c>
      <c r="AO151" s="20">
        <v>0</v>
      </c>
      <c r="AP151" s="48" t="s">
        <v>4919</v>
      </c>
      <c r="AQ151" s="39" t="s">
        <v>4920</v>
      </c>
      <c r="AR151" s="23">
        <v>0</v>
      </c>
      <c r="AS151" s="40">
        <v>0</v>
      </c>
      <c r="AT151" s="41">
        <v>0</v>
      </c>
      <c r="AU151" s="39" t="s">
        <v>6345</v>
      </c>
      <c r="AV151" s="19">
        <v>0</v>
      </c>
      <c r="AW151" s="19">
        <v>3073</v>
      </c>
      <c r="AX151" s="19">
        <v>0</v>
      </c>
      <c r="AY151" s="23">
        <f t="shared" si="33"/>
        <v>3073</v>
      </c>
      <c r="AZ151" s="40">
        <f t="shared" si="32"/>
        <v>0.58200757575757578</v>
      </c>
      <c r="BA151" s="41">
        <v>0</v>
      </c>
      <c r="BB151" s="187"/>
      <c r="BC151" s="44"/>
      <c r="BD151" s="191">
        <f t="shared" si="31"/>
        <v>0</v>
      </c>
      <c r="BE151" s="23"/>
      <c r="BF151" s="23"/>
      <c r="BG151" s="23"/>
      <c r="BH151" s="23"/>
      <c r="BI151" s="23"/>
      <c r="BJ151" s="23"/>
      <c r="BK151" s="40"/>
      <c r="BL151" s="44"/>
      <c r="BM151" s="41"/>
      <c r="BN151" s="45"/>
    </row>
    <row r="152" spans="1:66" s="19" customFormat="1" x14ac:dyDescent="0.25">
      <c r="A152" s="218" t="s">
        <v>6654</v>
      </c>
      <c r="B152" s="222" t="s">
        <v>5499</v>
      </c>
      <c r="C152" s="23">
        <v>13</v>
      </c>
      <c r="D152" s="23" t="str" cm="1">
        <f t="array" ref="D152">IFERROR(_xlfn.IFS(U152&lt;727,"MEET", AB152="FRRB","MEET", AB152="PSPS","MEET"),"No")</f>
        <v>MEET</v>
      </c>
      <c r="E152" s="23" t="str" cm="1">
        <f t="array" ref="E152">IFERROR(_xlfn.IFS(AM152&gt;0,"MEET", AN152&gt;0,"MEET"),"No")</f>
        <v>MEET</v>
      </c>
      <c r="F152" s="100"/>
      <c r="G152" s="37"/>
      <c r="H152" s="37">
        <f t="shared" si="25"/>
        <v>7.9924242424242425E-2</v>
      </c>
      <c r="I152" s="37">
        <f t="shared" si="26"/>
        <v>7.9924242424242425E-2</v>
      </c>
      <c r="J152" s="20">
        <v>2021</v>
      </c>
      <c r="K152" s="37"/>
      <c r="L152" s="37"/>
      <c r="M152" s="37">
        <f t="shared" si="27"/>
        <v>0</v>
      </c>
      <c r="N152" s="21">
        <v>0</v>
      </c>
      <c r="O152" s="23" t="s">
        <v>4878</v>
      </c>
      <c r="P152" s="22">
        <v>43141101</v>
      </c>
      <c r="Q152" s="19" t="s">
        <v>2411</v>
      </c>
      <c r="R152" s="23" t="s">
        <v>2418</v>
      </c>
      <c r="S152" s="38">
        <f>IFERROR(VLOOKUP(R152,[47]conductor_pz_summary_hftd_23_re!$B$2:$Q$3636,8,FALSE),0)</f>
        <v>298</v>
      </c>
      <c r="T152" s="201">
        <f>IFERROR(VLOOKUP(R152,[48]conductor_pz_summary_hftd_23_re!$B$2:$H$3636,7,0),0)/1609</f>
        <v>27.408190713785519</v>
      </c>
      <c r="U152" s="23">
        <f>IFERROR(VLOOKUP(R152,[47]conductor_pz_summary_hftd_23_re!$B$2:$Q$3636,14,FALSE),0)</f>
        <v>474</v>
      </c>
      <c r="V152" s="37">
        <f t="shared" si="34"/>
        <v>47.487768087276564</v>
      </c>
      <c r="W152" s="202">
        <f>IFERROR(VLOOKUP(R152,[47]conductor_pz_summary_hftd_23_re!$B$2:$Q$3636,13,FALSE),0)</f>
        <v>0.15935492646737101</v>
      </c>
      <c r="X152" s="183">
        <f>IFERROR(VLOOKUP(R152,conductor_pz_summary_hftd_23_re!$B$2:$N$3636,13,FALSE),0)</f>
        <v>1108</v>
      </c>
      <c r="Y152" s="203">
        <f t="shared" si="35"/>
        <v>0.13709294747485321</v>
      </c>
      <c r="Z152" s="23">
        <v>30</v>
      </c>
      <c r="AA152" s="23" t="s">
        <v>4871</v>
      </c>
      <c r="AB152" s="23" t="s">
        <v>4868</v>
      </c>
      <c r="AC152" s="19" t="s">
        <v>4872</v>
      </c>
      <c r="AD152" s="19" t="s">
        <v>4873</v>
      </c>
      <c r="AE152" s="19" t="s">
        <v>4874</v>
      </c>
      <c r="AF152" s="19" t="s">
        <v>4875</v>
      </c>
      <c r="AG152" s="23">
        <v>5795300</v>
      </c>
      <c r="AH152" s="23" t="s">
        <v>6658</v>
      </c>
      <c r="AI152" s="23" t="s">
        <v>6660</v>
      </c>
      <c r="AJ152" s="120" t="s">
        <v>6654</v>
      </c>
      <c r="AK152" s="23" t="s">
        <v>6664</v>
      </c>
      <c r="AL152" s="20">
        <v>0</v>
      </c>
      <c r="AM152" s="20">
        <v>422</v>
      </c>
      <c r="AN152" s="20">
        <v>0</v>
      </c>
      <c r="AO152" s="20">
        <v>0</v>
      </c>
      <c r="AP152" s="48" t="s">
        <v>4919</v>
      </c>
      <c r="AQ152" s="39" t="s">
        <v>4920</v>
      </c>
      <c r="AR152" s="23">
        <v>0</v>
      </c>
      <c r="AS152" s="40">
        <v>0</v>
      </c>
      <c r="AT152" s="41">
        <v>0</v>
      </c>
      <c r="AU152" s="39" t="s">
        <v>6345</v>
      </c>
      <c r="AV152" s="19">
        <v>0</v>
      </c>
      <c r="AW152" s="19">
        <v>422</v>
      </c>
      <c r="AX152" s="19">
        <v>0</v>
      </c>
      <c r="AY152" s="23">
        <f t="shared" si="33"/>
        <v>422</v>
      </c>
      <c r="AZ152" s="40">
        <f t="shared" si="32"/>
        <v>7.9924242424242425E-2</v>
      </c>
      <c r="BA152" s="41">
        <v>0</v>
      </c>
      <c r="BB152" s="187"/>
      <c r="BC152" s="44"/>
      <c r="BD152" s="191">
        <f t="shared" si="31"/>
        <v>0</v>
      </c>
      <c r="BE152" s="23"/>
      <c r="BF152" s="23"/>
      <c r="BG152" s="23"/>
      <c r="BH152" s="23"/>
      <c r="BI152" s="23"/>
      <c r="BJ152" s="23"/>
      <c r="BK152" s="40"/>
      <c r="BL152" s="44"/>
      <c r="BM152" s="41"/>
      <c r="BN152" s="45"/>
    </row>
    <row r="153" spans="1:66" s="19" customFormat="1" x14ac:dyDescent="0.25">
      <c r="A153" s="218" t="s">
        <v>6655</v>
      </c>
      <c r="B153" s="222" t="s">
        <v>5499</v>
      </c>
      <c r="C153" s="23">
        <v>13</v>
      </c>
      <c r="D153" s="23" t="str" cm="1">
        <f t="array" ref="D153">IFERROR(_xlfn.IFS(U153&lt;727,"MEET", AB153="FRRB","MEET", AB153="PSPS","MEET"),"No")</f>
        <v>MEET</v>
      </c>
      <c r="E153" s="23" t="str" cm="1">
        <f t="array" ref="E153">IFERROR(_xlfn.IFS(AM153&gt;0,"MEET", AN153&gt;0,"MEET"),"No")</f>
        <v>MEET</v>
      </c>
      <c r="F153" s="100"/>
      <c r="G153" s="37"/>
      <c r="H153" s="37">
        <f t="shared" si="25"/>
        <v>0.64753787878787883</v>
      </c>
      <c r="I153" s="37">
        <f t="shared" si="26"/>
        <v>0.64753787878787883</v>
      </c>
      <c r="J153" s="20">
        <v>2021</v>
      </c>
      <c r="K153" s="37"/>
      <c r="L153" s="37"/>
      <c r="M153" s="37">
        <f t="shared" si="27"/>
        <v>0</v>
      </c>
      <c r="N153" s="21">
        <v>0</v>
      </c>
      <c r="O153" s="23" t="s">
        <v>4878</v>
      </c>
      <c r="P153" s="22">
        <v>43141101</v>
      </c>
      <c r="Q153" s="19" t="s">
        <v>2411</v>
      </c>
      <c r="R153" s="23" t="s">
        <v>2418</v>
      </c>
      <c r="S153" s="38">
        <f>IFERROR(VLOOKUP(R153,[47]conductor_pz_summary_hftd_23_re!$B$2:$Q$3636,8,FALSE),0)</f>
        <v>298</v>
      </c>
      <c r="T153" s="201">
        <f>IFERROR(VLOOKUP(R153,[48]conductor_pz_summary_hftd_23_re!$B$2:$H$3636,7,0),0)/1609</f>
        <v>27.408190713785519</v>
      </c>
      <c r="U153" s="23">
        <f>IFERROR(VLOOKUP(R153,[47]conductor_pz_summary_hftd_23_re!$B$2:$Q$3636,14,FALSE),0)</f>
        <v>474</v>
      </c>
      <c r="V153" s="37">
        <f t="shared" si="34"/>
        <v>47.487768087276564</v>
      </c>
      <c r="W153" s="202">
        <f>IFERROR(VLOOKUP(R153,[47]conductor_pz_summary_hftd_23_re!$B$2:$Q$3636,13,FALSE),0)</f>
        <v>0.15935492646737101</v>
      </c>
      <c r="X153" s="183">
        <f>IFERROR(VLOOKUP(R153,conductor_pz_summary_hftd_23_re!$B$2:$N$3636,13,FALSE),0)</f>
        <v>1108</v>
      </c>
      <c r="Y153" s="203">
        <f t="shared" si="35"/>
        <v>1.1107127663898655</v>
      </c>
      <c r="Z153" s="23">
        <v>30</v>
      </c>
      <c r="AA153" s="23" t="s">
        <v>4871</v>
      </c>
      <c r="AB153" s="23" t="s">
        <v>4868</v>
      </c>
      <c r="AC153" s="19" t="s">
        <v>4872</v>
      </c>
      <c r="AD153" s="19" t="s">
        <v>4873</v>
      </c>
      <c r="AE153" s="19" t="s">
        <v>4874</v>
      </c>
      <c r="AF153" s="19" t="s">
        <v>4875</v>
      </c>
      <c r="AG153" s="23">
        <v>5795300</v>
      </c>
      <c r="AH153" s="23" t="s">
        <v>6659</v>
      </c>
      <c r="AI153" s="23" t="s">
        <v>6661</v>
      </c>
      <c r="AJ153" s="120" t="s">
        <v>6655</v>
      </c>
      <c r="AK153" s="23" t="s">
        <v>6665</v>
      </c>
      <c r="AL153" s="20">
        <v>0</v>
      </c>
      <c r="AM153" s="20">
        <v>3419</v>
      </c>
      <c r="AN153" s="20">
        <v>0</v>
      </c>
      <c r="AO153" s="20">
        <v>0</v>
      </c>
      <c r="AP153" s="48" t="s">
        <v>4919</v>
      </c>
      <c r="AQ153" s="39" t="s">
        <v>4920</v>
      </c>
      <c r="AR153" s="23">
        <v>0</v>
      </c>
      <c r="AS153" s="40">
        <v>0</v>
      </c>
      <c r="AT153" s="41">
        <v>0</v>
      </c>
      <c r="AU153" s="39" t="s">
        <v>6345</v>
      </c>
      <c r="AV153" s="19">
        <v>0</v>
      </c>
      <c r="AW153" s="19">
        <v>3419</v>
      </c>
      <c r="AX153" s="19">
        <v>0</v>
      </c>
      <c r="AY153" s="23">
        <f t="shared" si="33"/>
        <v>3419</v>
      </c>
      <c r="AZ153" s="40">
        <f t="shared" si="32"/>
        <v>0.64753787878787883</v>
      </c>
      <c r="BA153" s="41">
        <v>0</v>
      </c>
      <c r="BB153" s="187"/>
      <c r="BC153" s="44"/>
      <c r="BD153" s="191">
        <f t="shared" si="31"/>
        <v>0</v>
      </c>
      <c r="BE153" s="23"/>
      <c r="BF153" s="23"/>
      <c r="BG153" s="23"/>
      <c r="BH153" s="23"/>
      <c r="BI153" s="23"/>
      <c r="BJ153" s="23"/>
      <c r="BK153" s="40"/>
      <c r="BL153" s="44"/>
      <c r="BM153" s="41"/>
      <c r="BN153" s="45"/>
    </row>
    <row r="154" spans="1:66" s="19" customFormat="1" x14ac:dyDescent="0.25">
      <c r="A154" s="218">
        <v>35191318</v>
      </c>
      <c r="B154" s="222" t="s">
        <v>5499</v>
      </c>
      <c r="C154" s="23">
        <v>14</v>
      </c>
      <c r="D154" s="23" t="str" cm="1">
        <f t="array" ref="D154">IFERROR(_xlfn.IFS(U154&lt;727,"MEET", AB154="FRRB","MEET", AB154="PSPS","MEET"),"No")</f>
        <v>MEET</v>
      </c>
      <c r="E154" s="23" t="str" cm="1">
        <f t="array" ref="E154">IFERROR(_xlfn.IFS(AM154&gt;0,"MEET", AN154&gt;0,"MEET"),"No")</f>
        <v>No</v>
      </c>
      <c r="F154" s="100">
        <v>2021095</v>
      </c>
      <c r="G154" s="37"/>
      <c r="H154" s="37">
        <f t="shared" si="25"/>
        <v>2.2159090909090908</v>
      </c>
      <c r="I154" s="37">
        <f t="shared" si="26"/>
        <v>2.2159090909090908</v>
      </c>
      <c r="J154" s="20">
        <v>2021</v>
      </c>
      <c r="K154" s="37"/>
      <c r="L154" s="37"/>
      <c r="M154" s="37">
        <f t="shared" si="27"/>
        <v>0</v>
      </c>
      <c r="N154" s="21">
        <v>17697.86</v>
      </c>
      <c r="O154" s="217" t="s">
        <v>4870</v>
      </c>
      <c r="P154" s="22">
        <v>43432102</v>
      </c>
      <c r="Q154" s="19" t="s">
        <v>4042</v>
      </c>
      <c r="R154" s="23" t="s">
        <v>4045</v>
      </c>
      <c r="S154" s="38">
        <f>IFERROR(VLOOKUP(R154,[47]conductor_pz_summary_hftd_23_re!$B$2:$Q$3636,8,FALSE),0)</f>
        <v>125</v>
      </c>
      <c r="T154" s="201">
        <f>IFERROR(VLOOKUP(R154,[48]conductor_pz_summary_hftd_23_re!$B$2:$H$3636,7,0),0)/1609</f>
        <v>15.221711484448974</v>
      </c>
      <c r="U154" s="23">
        <f>IFERROR(VLOOKUP(R154,[47]conductor_pz_summary_hftd_23_re!$B$2:$Q$3636,14,FALSE),0)</f>
        <v>663</v>
      </c>
      <c r="V154" s="37">
        <f t="shared" si="28"/>
        <v>14.624900446767001</v>
      </c>
      <c r="W154" s="202">
        <f>IFERROR(VLOOKUP(R154,[47]conductor_pz_summary_hftd_23_re!$B$2:$Q$3636,13,FALSE),0)</f>
        <v>0.116999203574136</v>
      </c>
      <c r="X154" s="73">
        <f>IFERROR(VLOOKUP(R154,conductor_pz_summary_hftd_23_re!$B$2:$N$3636,13,FALSE),0)</f>
        <v>627</v>
      </c>
      <c r="Y154" s="203">
        <f t="shared" si="29"/>
        <v>1.3199973557361664</v>
      </c>
      <c r="Z154" s="23">
        <v>250</v>
      </c>
      <c r="AA154" s="23" t="s">
        <v>4871</v>
      </c>
      <c r="AB154" s="23" t="s">
        <v>4868</v>
      </c>
      <c r="AC154" s="19" t="s">
        <v>4927</v>
      </c>
      <c r="AD154" s="19" t="s">
        <v>4895</v>
      </c>
      <c r="AE154" s="19" t="s">
        <v>4881</v>
      </c>
      <c r="AF154" s="19" t="s">
        <v>4896</v>
      </c>
      <c r="AG154" s="23">
        <v>5541303</v>
      </c>
      <c r="AH154" s="23" t="s">
        <v>4930</v>
      </c>
      <c r="AI154" s="23">
        <v>119518390</v>
      </c>
      <c r="AJ154" s="120">
        <v>35191318</v>
      </c>
      <c r="AK154" s="23" t="s">
        <v>4931</v>
      </c>
      <c r="AL154" s="20">
        <v>11700</v>
      </c>
      <c r="AM154" s="20">
        <v>0</v>
      </c>
      <c r="AN154" s="20">
        <v>0</v>
      </c>
      <c r="AO154" s="20">
        <v>0</v>
      </c>
      <c r="AP154" s="48" t="s">
        <v>5375</v>
      </c>
      <c r="AQ154" s="39" t="s">
        <v>5374</v>
      </c>
      <c r="AR154" s="23">
        <f>AS154*5280</f>
        <v>11721.6</v>
      </c>
      <c r="AS154" s="40">
        <v>2.2200000000000002</v>
      </c>
      <c r="AT154" s="41">
        <v>1685400</v>
      </c>
      <c r="AU154" s="169" t="s">
        <v>6441</v>
      </c>
      <c r="AV154" s="19">
        <v>0</v>
      </c>
      <c r="AW154" s="19">
        <v>0</v>
      </c>
      <c r="AX154" s="19">
        <v>11700</v>
      </c>
      <c r="AY154" s="23">
        <f t="shared" si="30"/>
        <v>11700</v>
      </c>
      <c r="AZ154" s="40">
        <f t="shared" si="32"/>
        <v>2.2159090909090908</v>
      </c>
      <c r="BA154" s="41">
        <v>2027400</v>
      </c>
      <c r="BB154" s="187"/>
      <c r="BC154" s="44"/>
      <c r="BD154" s="191">
        <f t="shared" si="31"/>
        <v>0</v>
      </c>
      <c r="BE154" s="23"/>
      <c r="BF154" s="23"/>
      <c r="BG154" s="23"/>
      <c r="BH154" s="23"/>
      <c r="BI154" s="23"/>
      <c r="BJ154" s="23"/>
      <c r="BK154" s="40"/>
      <c r="BL154" s="44"/>
      <c r="BM154" s="41"/>
      <c r="BN154" s="45"/>
    </row>
    <row r="155" spans="1:66" s="19" customFormat="1" x14ac:dyDescent="0.25">
      <c r="A155" s="218">
        <v>35191383</v>
      </c>
      <c r="B155" s="222" t="s">
        <v>5499</v>
      </c>
      <c r="C155" s="23">
        <v>14</v>
      </c>
      <c r="D155" s="23" t="str" cm="1">
        <f t="array" ref="D155">IFERROR(_xlfn.IFS(U155&lt;727,"MEET", AB155="FRRB","MEET", AB155="PSPS","MEET"),"No")</f>
        <v>MEET</v>
      </c>
      <c r="E155" s="23" t="str" cm="1">
        <f t="array" ref="E155">IFERROR(_xlfn.IFS(AM155&gt;0,"MEET", AN155&gt;0,"MEET"),"No")</f>
        <v>No</v>
      </c>
      <c r="F155" s="100">
        <v>2021096</v>
      </c>
      <c r="G155" s="37"/>
      <c r="H155" s="37">
        <f t="shared" si="25"/>
        <v>1.3285984848484849</v>
      </c>
      <c r="I155" s="37">
        <f t="shared" si="26"/>
        <v>1.3285984848484849</v>
      </c>
      <c r="J155" s="20">
        <v>2021</v>
      </c>
      <c r="K155" s="37"/>
      <c r="L155" s="37"/>
      <c r="M155" s="37">
        <f t="shared" si="27"/>
        <v>0</v>
      </c>
      <c r="N155" s="21">
        <v>16640.95</v>
      </c>
      <c r="O155" s="217" t="s">
        <v>4870</v>
      </c>
      <c r="P155" s="52">
        <v>43432102</v>
      </c>
      <c r="Q155" s="19" t="s">
        <v>4042</v>
      </c>
      <c r="R155" s="23" t="s">
        <v>4045</v>
      </c>
      <c r="S155" s="38">
        <f>IFERROR(VLOOKUP(R155,[47]conductor_pz_summary_hftd_23_re!$B$2:$Q$3636,8,FALSE),0)</f>
        <v>125</v>
      </c>
      <c r="T155" s="201">
        <f>IFERROR(VLOOKUP(R155,[48]conductor_pz_summary_hftd_23_re!$B$2:$H$3636,7,0),0)/1609</f>
        <v>15.221711484448974</v>
      </c>
      <c r="U155" s="23">
        <f>IFERROR(VLOOKUP(R155,[47]conductor_pz_summary_hftd_23_re!$B$2:$Q$3636,14,FALSE),0)</f>
        <v>663</v>
      </c>
      <c r="V155" s="37">
        <f t="shared" si="28"/>
        <v>14.624900446767001</v>
      </c>
      <c r="W155" s="202">
        <f>IFERROR(VLOOKUP(R155,[47]conductor_pz_summary_hftd_23_re!$B$2:$Q$3636,13,FALSE),0)</f>
        <v>0.116999203574136</v>
      </c>
      <c r="X155" s="73">
        <f>IFERROR(VLOOKUP(R155,conductor_pz_summary_hftd_23_re!$B$2:$N$3636,13,FALSE),0)</f>
        <v>627</v>
      </c>
      <c r="Y155" s="203">
        <f t="shared" si="29"/>
        <v>0.79143431200762449</v>
      </c>
      <c r="Z155" s="23">
        <v>250</v>
      </c>
      <c r="AA155" s="23" t="s">
        <v>4871</v>
      </c>
      <c r="AB155" s="23" t="s">
        <v>4868</v>
      </c>
      <c r="AC155" s="19" t="s">
        <v>4927</v>
      </c>
      <c r="AD155" s="19" t="s">
        <v>4895</v>
      </c>
      <c r="AE155" s="19" t="s">
        <v>4881</v>
      </c>
      <c r="AF155" s="19" t="s">
        <v>4896</v>
      </c>
      <c r="AG155" s="23">
        <v>5541309</v>
      </c>
      <c r="AH155" s="23" t="s">
        <v>4928</v>
      </c>
      <c r="AI155" s="23">
        <v>119518528</v>
      </c>
      <c r="AJ155" s="120">
        <v>35191383</v>
      </c>
      <c r="AK155" s="23" t="s">
        <v>4929</v>
      </c>
      <c r="AL155" s="20">
        <v>7015</v>
      </c>
      <c r="AM155" s="20"/>
      <c r="AN155" s="20">
        <v>0</v>
      </c>
      <c r="AO155" s="20">
        <v>0</v>
      </c>
      <c r="AQ155" s="39" t="s">
        <v>5373</v>
      </c>
      <c r="AR155" s="23">
        <f>AS155*5280</f>
        <v>7022.4000000000005</v>
      </c>
      <c r="AS155" s="40">
        <v>1.33</v>
      </c>
      <c r="AT155" s="41">
        <v>1143750</v>
      </c>
      <c r="AU155" s="169" t="s">
        <v>6442</v>
      </c>
      <c r="AV155" s="19">
        <v>0</v>
      </c>
      <c r="AW155" s="19">
        <v>0</v>
      </c>
      <c r="AX155" s="19">
        <v>7015</v>
      </c>
      <c r="AY155" s="23">
        <f t="shared" si="30"/>
        <v>7015</v>
      </c>
      <c r="AZ155" s="40">
        <f t="shared" si="32"/>
        <v>1.3285984848484849</v>
      </c>
      <c r="BA155" s="41">
        <v>1175890</v>
      </c>
      <c r="BB155" s="187"/>
      <c r="BC155" s="44"/>
      <c r="BD155" s="191">
        <f t="shared" si="31"/>
        <v>0</v>
      </c>
      <c r="BE155" s="23"/>
      <c r="BF155" s="23"/>
      <c r="BG155" s="23"/>
      <c r="BH155" s="23"/>
      <c r="BI155" s="23"/>
      <c r="BJ155" s="23"/>
      <c r="BK155" s="40"/>
      <c r="BL155" s="44"/>
      <c r="BM155" s="41"/>
      <c r="BN155" s="45"/>
    </row>
    <row r="156" spans="1:66" s="19" customFormat="1" x14ac:dyDescent="0.25">
      <c r="A156" s="218">
        <v>35192290</v>
      </c>
      <c r="B156" s="116" t="s">
        <v>4868</v>
      </c>
      <c r="C156" s="23">
        <v>13</v>
      </c>
      <c r="D156" s="23" t="str" cm="1">
        <f t="array" ref="D156">IFERROR(_xlfn.IFS(U156&lt;727,"MEET", AB156="FRRB","MEET", AB156="PSPS","MEET"),"No")</f>
        <v>No</v>
      </c>
      <c r="E156" s="23" t="str" cm="1">
        <f t="array" ref="E156">IFERROR(_xlfn.IFS(AM156&gt;0,"MEET", AN156&gt;0,"MEET"),"No")</f>
        <v>No</v>
      </c>
      <c r="F156" s="100">
        <v>2021097</v>
      </c>
      <c r="G156" s="37"/>
      <c r="H156" s="37">
        <f t="shared" ref="H156:H187" si="36">SUM(AL156:AO156)/5280</f>
        <v>5.0003787878787875</v>
      </c>
      <c r="I156" s="37">
        <f t="shared" ref="I156:I180" si="37">H156-M156</f>
        <v>5.0003787878787875</v>
      </c>
      <c r="J156" s="20">
        <v>2021</v>
      </c>
      <c r="K156" s="37"/>
      <c r="L156" s="37"/>
      <c r="M156" s="37">
        <f t="shared" ref="M156:M187" si="38">SUM(K156:L156)</f>
        <v>0</v>
      </c>
      <c r="N156" s="21">
        <v>11659.49</v>
      </c>
      <c r="O156" s="217" t="s">
        <v>4870</v>
      </c>
      <c r="P156" s="22">
        <v>152261107</v>
      </c>
      <c r="Q156" s="19" t="s">
        <v>1163</v>
      </c>
      <c r="R156" s="23" t="s">
        <v>1164</v>
      </c>
      <c r="S156" s="38">
        <f>IFERROR(VLOOKUP(R156,[47]conductor_pz_summary_hftd_23_re!$B$2:$Q$3636,8,FALSE),0)</f>
        <v>541</v>
      </c>
      <c r="T156" s="201">
        <f>IFERROR(VLOOKUP(R156,[48]conductor_pz_summary_hftd_23_re!$B$2:$H$3636,7,0),0)/1609</f>
        <v>44.191450064789123</v>
      </c>
      <c r="U156" s="23">
        <f>IFERROR(VLOOKUP(R156,[47]conductor_pz_summary_hftd_23_re!$B$2:$Q$3636,14,FALSE),0)</f>
        <v>811</v>
      </c>
      <c r="V156" s="37">
        <f t="shared" si="28"/>
        <v>49.924029963004408</v>
      </c>
      <c r="W156" s="202">
        <f>IFERROR(VLOOKUP(R156,[47]conductor_pz_summary_hftd_23_re!$B$2:$Q$3636,13,FALSE),0)</f>
        <v>9.2281016567475796E-2</v>
      </c>
      <c r="X156" s="73">
        <f>IFERROR(VLOOKUP(R156,conductor_pz_summary_hftd_23_re!$B$2:$N$3636,13,FALSE),0)</f>
        <v>726</v>
      </c>
      <c r="Y156" s="203">
        <f t="shared" si="29"/>
        <v>3.5024018727873933</v>
      </c>
      <c r="Z156" s="23">
        <v>244</v>
      </c>
      <c r="AA156" s="23" t="s">
        <v>4871</v>
      </c>
      <c r="AB156" s="23" t="s">
        <v>4868</v>
      </c>
      <c r="AC156" s="19" t="s">
        <v>5051</v>
      </c>
      <c r="AD156" s="19" t="s">
        <v>4886</v>
      </c>
      <c r="AE156" s="19" t="s">
        <v>4887</v>
      </c>
      <c r="AF156" s="19" t="s">
        <v>4875</v>
      </c>
      <c r="AG156" s="23">
        <v>5792092</v>
      </c>
      <c r="AH156" s="23" t="s">
        <v>5052</v>
      </c>
      <c r="AI156" s="23">
        <v>119556075</v>
      </c>
      <c r="AJ156" s="120">
        <v>35192290</v>
      </c>
      <c r="AK156" s="23" t="s">
        <v>6375</v>
      </c>
      <c r="AL156" s="20">
        <v>26402</v>
      </c>
      <c r="AM156" s="20">
        <v>0</v>
      </c>
      <c r="AN156" s="20">
        <v>0</v>
      </c>
      <c r="AO156" s="20">
        <v>0</v>
      </c>
      <c r="AQ156" s="39" t="s">
        <v>5376</v>
      </c>
      <c r="AR156" s="23">
        <f>AS156*5280</f>
        <v>26400</v>
      </c>
      <c r="AS156" s="40">
        <v>5</v>
      </c>
      <c r="AT156" s="41">
        <v>5575214</v>
      </c>
      <c r="AU156" s="39" t="s">
        <v>6333</v>
      </c>
      <c r="AV156" s="19">
        <v>0</v>
      </c>
      <c r="AW156" s="19">
        <v>0</v>
      </c>
      <c r="AX156" s="19">
        <v>26402</v>
      </c>
      <c r="AY156" s="23">
        <f t="shared" ref="AY156:AY159" si="39">SUM(AV156:AX156)</f>
        <v>26402</v>
      </c>
      <c r="AZ156" s="40">
        <f t="shared" si="32"/>
        <v>5.0003787878787875</v>
      </c>
      <c r="BA156" s="41">
        <v>5633062</v>
      </c>
      <c r="BB156" s="187"/>
      <c r="BC156" s="44"/>
      <c r="BD156" s="191">
        <f t="shared" ref="BD156:BD187" si="40">IFERROR(BC156/BB156,0)</f>
        <v>0</v>
      </c>
      <c r="BE156" s="183"/>
      <c r="BF156" s="183"/>
      <c r="BG156" s="23"/>
      <c r="BH156" s="23"/>
      <c r="BI156" s="23"/>
      <c r="BJ156" s="23"/>
      <c r="BK156" s="40"/>
      <c r="BL156" s="44"/>
      <c r="BM156" s="41"/>
      <c r="BN156" s="45"/>
    </row>
    <row r="157" spans="1:66" s="19" customFormat="1" x14ac:dyDescent="0.25">
      <c r="A157" s="218">
        <v>35192291</v>
      </c>
      <c r="B157" s="116" t="s">
        <v>4868</v>
      </c>
      <c r="C157" s="23">
        <v>13</v>
      </c>
      <c r="D157" s="23" t="str" cm="1">
        <f t="array" ref="D157">IFERROR(_xlfn.IFS(U157&lt;727,"MEET", AB157="FRRB","MEET", AB157="PSPS","MEET"),"No")</f>
        <v>No</v>
      </c>
      <c r="E157" s="23" t="str" cm="1">
        <f t="array" ref="E157">IFERROR(_xlfn.IFS(AM157&gt;0,"MEET", AN157&gt;0,"MEET"),"No")</f>
        <v>MEET</v>
      </c>
      <c r="F157" s="100">
        <v>2021098</v>
      </c>
      <c r="G157" s="37"/>
      <c r="H157" s="37">
        <f t="shared" si="36"/>
        <v>1.0971590909090909</v>
      </c>
      <c r="I157" s="37">
        <f t="shared" si="37"/>
        <v>1.0971590909090909</v>
      </c>
      <c r="J157" s="20">
        <v>2021</v>
      </c>
      <c r="K157" s="37"/>
      <c r="L157" s="37"/>
      <c r="M157" s="37">
        <f t="shared" si="38"/>
        <v>0</v>
      </c>
      <c r="N157" s="21">
        <v>17752.990000000002</v>
      </c>
      <c r="O157" s="217" t="s">
        <v>4878</v>
      </c>
      <c r="P157" s="22">
        <v>152261107</v>
      </c>
      <c r="Q157" s="19" t="s">
        <v>1163</v>
      </c>
      <c r="R157" s="23" t="s">
        <v>1164</v>
      </c>
      <c r="S157" s="38">
        <f>IFERROR(VLOOKUP(R157,[47]conductor_pz_summary_hftd_23_re!$B$2:$Q$3636,8,FALSE),0)</f>
        <v>541</v>
      </c>
      <c r="T157" s="201">
        <f>IFERROR(VLOOKUP(R157,[48]conductor_pz_summary_hftd_23_re!$B$2:$H$3636,7,0),0)/1609</f>
        <v>44.191450064789123</v>
      </c>
      <c r="U157" s="23">
        <f>IFERROR(VLOOKUP(R157,[47]conductor_pz_summary_hftd_23_re!$B$2:$Q$3636,14,FALSE),0)</f>
        <v>811</v>
      </c>
      <c r="V157" s="37">
        <f t="shared" si="28"/>
        <v>49.924029963004408</v>
      </c>
      <c r="W157" s="202">
        <f>IFERROR(VLOOKUP(R157,[47]conductor_pz_summary_hftd_23_re!$B$2:$Q$3636,13,FALSE),0)</f>
        <v>9.2281016567475796E-2</v>
      </c>
      <c r="X157" s="73">
        <f>IFERROR(VLOOKUP(R157,conductor_pz_summary_hftd_23_re!$B$2:$N$3636,13,FALSE),0)</f>
        <v>726</v>
      </c>
      <c r="Y157" s="203">
        <f t="shared" si="29"/>
        <v>1.1858438082372529</v>
      </c>
      <c r="Z157" s="23">
        <v>244</v>
      </c>
      <c r="AA157" s="23" t="s">
        <v>4871</v>
      </c>
      <c r="AB157" s="23" t="s">
        <v>4868</v>
      </c>
      <c r="AC157" s="19" t="s">
        <v>5051</v>
      </c>
      <c r="AD157" s="19" t="s">
        <v>4886</v>
      </c>
      <c r="AE157" s="19" t="s">
        <v>4887</v>
      </c>
      <c r="AF157" s="19" t="s">
        <v>4875</v>
      </c>
      <c r="AG157" s="23">
        <v>5792093</v>
      </c>
      <c r="AH157" s="23" t="s">
        <v>5085</v>
      </c>
      <c r="AI157" s="23">
        <v>119556091</v>
      </c>
      <c r="AJ157" s="120">
        <v>35192291</v>
      </c>
      <c r="AK157" s="23" t="s">
        <v>6184</v>
      </c>
      <c r="AL157" s="20">
        <v>521</v>
      </c>
      <c r="AM157" s="20">
        <v>5272</v>
      </c>
      <c r="AN157" s="20">
        <v>0</v>
      </c>
      <c r="AO157" s="20">
        <v>0</v>
      </c>
      <c r="AQ157" s="39" t="s">
        <v>5377</v>
      </c>
      <c r="AR157" s="23">
        <f>AS157*5280</f>
        <v>15100.8</v>
      </c>
      <c r="AS157" s="40">
        <v>2.86</v>
      </c>
      <c r="AT157" s="41">
        <v>3208863</v>
      </c>
      <c r="AU157" s="39" t="s">
        <v>6344</v>
      </c>
      <c r="AV157" s="19">
        <v>0</v>
      </c>
      <c r="AW157" s="19">
        <v>5272</v>
      </c>
      <c r="AX157" s="19">
        <v>521</v>
      </c>
      <c r="AY157" s="23">
        <f t="shared" si="39"/>
        <v>5793</v>
      </c>
      <c r="AZ157" s="40">
        <f t="shared" si="32"/>
        <v>1.0971590909090909</v>
      </c>
      <c r="BA157" s="41">
        <v>2442393</v>
      </c>
      <c r="BB157" s="187"/>
      <c r="BC157" s="44"/>
      <c r="BD157" s="191">
        <f t="shared" si="40"/>
        <v>0</v>
      </c>
      <c r="BE157" s="183"/>
      <c r="BF157" s="183"/>
      <c r="BG157" s="23"/>
      <c r="BH157" s="23"/>
      <c r="BI157" s="23"/>
      <c r="BJ157" s="23"/>
      <c r="BK157" s="40"/>
      <c r="BL157" s="44"/>
      <c r="BM157" s="41"/>
      <c r="BN157" s="45"/>
    </row>
    <row r="158" spans="1:66" s="19" customFormat="1" x14ac:dyDescent="0.25">
      <c r="A158" s="218">
        <v>35226845</v>
      </c>
      <c r="B158" s="116" t="s">
        <v>4868</v>
      </c>
      <c r="C158" s="23">
        <v>14</v>
      </c>
      <c r="D158" s="23" t="str" cm="1">
        <f t="array" ref="D158">IFERROR(_xlfn.IFS(U158&lt;727,"MEET", AB158="FRRB","MEET", AB158="PSPS","MEET"),"No")</f>
        <v>No</v>
      </c>
      <c r="E158" s="23" t="str" cm="1">
        <f t="array" ref="E158">IFERROR(_xlfn.IFS(AM158&gt;0,"MEET", AN158&gt;0,"MEET"),"No")</f>
        <v>No</v>
      </c>
      <c r="F158" s="100">
        <v>2021099</v>
      </c>
      <c r="G158" s="37"/>
      <c r="H158" s="37">
        <f t="shared" si="36"/>
        <v>2.3674242424242422</v>
      </c>
      <c r="I158" s="37">
        <f t="shared" si="37"/>
        <v>2.3674242424242422</v>
      </c>
      <c r="J158" s="20">
        <v>2021</v>
      </c>
      <c r="K158" s="37"/>
      <c r="L158" s="37"/>
      <c r="M158" s="37">
        <f t="shared" si="38"/>
        <v>0</v>
      </c>
      <c r="N158" s="21">
        <v>1039.6099999999999</v>
      </c>
      <c r="O158" s="183" t="s">
        <v>4870</v>
      </c>
      <c r="P158" s="22">
        <v>152261107</v>
      </c>
      <c r="Q158" s="19" t="s">
        <v>1163</v>
      </c>
      <c r="R158" s="23" t="s">
        <v>1164</v>
      </c>
      <c r="S158" s="38">
        <f>IFERROR(VLOOKUP(R158,[47]conductor_pz_summary_hftd_23_re!$B$2:$Q$3636,8,FALSE),0)</f>
        <v>541</v>
      </c>
      <c r="T158" s="201">
        <f>IFERROR(VLOOKUP(R158,[48]conductor_pz_summary_hftd_23_re!$B$2:$H$3636,7,0),0)/1609</f>
        <v>44.191450064789123</v>
      </c>
      <c r="U158" s="23">
        <f>IFERROR(VLOOKUP(R158,[47]conductor_pz_summary_hftd_23_re!$B$2:$Q$3636,14,FALSE),0)</f>
        <v>811</v>
      </c>
      <c r="V158" s="37">
        <f t="shared" si="28"/>
        <v>49.924029963004408</v>
      </c>
      <c r="W158" s="202">
        <f>IFERROR(VLOOKUP(R158,[47]conductor_pz_summary_hftd_23_re!$B$2:$Q$3636,13,FALSE),0)</f>
        <v>9.2281016567475796E-2</v>
      </c>
      <c r="X158" s="73">
        <f>IFERROR(VLOOKUP(R158,conductor_pz_summary_hftd_23_re!$B$2:$N$3636,13,FALSE),0)</f>
        <v>726</v>
      </c>
      <c r="Y158" s="203">
        <f t="shared" si="29"/>
        <v>1.658208598206288</v>
      </c>
      <c r="Z158" s="23">
        <v>244</v>
      </c>
      <c r="AA158" s="23" t="s">
        <v>4871</v>
      </c>
      <c r="AB158" s="23" t="s">
        <v>4868</v>
      </c>
      <c r="AC158" s="19" t="s">
        <v>5051</v>
      </c>
      <c r="AD158" s="19" t="s">
        <v>4886</v>
      </c>
      <c r="AE158" s="19" t="s">
        <v>4887</v>
      </c>
      <c r="AF158" s="19" t="s">
        <v>4875</v>
      </c>
      <c r="AG158" s="23">
        <v>5795298</v>
      </c>
      <c r="AH158" s="23" t="s">
        <v>6185</v>
      </c>
      <c r="AI158" s="23">
        <v>120448987</v>
      </c>
      <c r="AJ158" s="120">
        <v>35226845</v>
      </c>
      <c r="AK158" s="23" t="s">
        <v>6183</v>
      </c>
      <c r="AL158" s="20">
        <v>12500</v>
      </c>
      <c r="AM158" s="20">
        <v>0</v>
      </c>
      <c r="AN158" s="20">
        <v>0</v>
      </c>
      <c r="AO158" s="20">
        <v>0</v>
      </c>
      <c r="AQ158" s="39" t="s">
        <v>5377</v>
      </c>
      <c r="AR158" s="23"/>
      <c r="AS158" s="40"/>
      <c r="AT158" s="41"/>
      <c r="AU158" s="39" t="s">
        <v>6344</v>
      </c>
      <c r="AV158" s="19">
        <v>0</v>
      </c>
      <c r="AW158" s="19">
        <v>0</v>
      </c>
      <c r="AX158" s="19">
        <v>12500</v>
      </c>
      <c r="AY158" s="23">
        <f t="shared" si="39"/>
        <v>12500</v>
      </c>
      <c r="AZ158" s="40">
        <f t="shared" si="32"/>
        <v>2.3674242424242422</v>
      </c>
      <c r="BA158" s="41">
        <v>2880250</v>
      </c>
      <c r="BB158" s="187"/>
      <c r="BC158" s="44"/>
      <c r="BD158" s="191">
        <f t="shared" si="40"/>
        <v>0</v>
      </c>
      <c r="BE158" s="183"/>
      <c r="BF158" s="183"/>
      <c r="BG158" s="23"/>
      <c r="BH158" s="23"/>
      <c r="BI158" s="23"/>
      <c r="BJ158" s="23"/>
      <c r="BK158" s="40"/>
      <c r="BL158" s="44"/>
      <c r="BM158" s="41"/>
      <c r="BN158" s="45"/>
    </row>
    <row r="159" spans="1:66" s="19" customFormat="1" x14ac:dyDescent="0.25">
      <c r="A159" s="218">
        <v>35191937</v>
      </c>
      <c r="B159" s="116" t="s">
        <v>4868</v>
      </c>
      <c r="C159" s="23">
        <v>13</v>
      </c>
      <c r="D159" s="23" t="str" cm="1">
        <f t="array" ref="D159">IFERROR(_xlfn.IFS(U159&lt;727,"MEET", AB159="FRRB","MEET", AB159="PSPS","MEET"),"No")</f>
        <v>No</v>
      </c>
      <c r="E159" s="23" t="str" cm="1">
        <f t="array" ref="E159">IFERROR(_xlfn.IFS(AM159&gt;0,"MEET", AN159&gt;0,"MEET"),"No")</f>
        <v>No</v>
      </c>
      <c r="F159" s="100">
        <v>2021100</v>
      </c>
      <c r="G159" s="37"/>
      <c r="H159" s="37">
        <f t="shared" si="36"/>
        <v>1.4528409090909091</v>
      </c>
      <c r="I159" s="37">
        <f t="shared" si="37"/>
        <v>1.4528409090909091</v>
      </c>
      <c r="J159" s="20">
        <v>2021</v>
      </c>
      <c r="K159" s="37"/>
      <c r="L159" s="37"/>
      <c r="M159" s="37">
        <f t="shared" si="38"/>
        <v>0</v>
      </c>
      <c r="N159" s="21">
        <v>14993.88</v>
      </c>
      <c r="O159" s="217" t="s">
        <v>4878</v>
      </c>
      <c r="P159" s="22">
        <v>43292102</v>
      </c>
      <c r="Q159" s="19" t="s">
        <v>3441</v>
      </c>
      <c r="R159" s="23" t="s">
        <v>3446</v>
      </c>
      <c r="S159" s="38">
        <f>IFERROR(VLOOKUP(R159,[47]conductor_pz_summary_hftd_23_re!$B$2:$Q$3636,8,FALSE),0)</f>
        <v>180</v>
      </c>
      <c r="T159" s="201">
        <f>IFERROR(VLOOKUP(R159,[48]conductor_pz_summary_hftd_23_re!$B$2:$H$3636,7,0),0)/1609</f>
        <v>19.340684586360659</v>
      </c>
      <c r="U159" s="23">
        <f>IFERROR(VLOOKUP(R159,[47]conductor_pz_summary_hftd_23_re!$B$2:$Q$3636,14,FALSE),0)</f>
        <v>951</v>
      </c>
      <c r="V159" s="37">
        <f t="shared" si="28"/>
        <v>13.210050623204321</v>
      </c>
      <c r="W159" s="202">
        <f>IFERROR(VLOOKUP(R159,[47]conductor_pz_summary_hftd_23_re!$B$2:$Q$3636,13,FALSE),0)</f>
        <v>7.3389170128912898E-2</v>
      </c>
      <c r="X159" s="73">
        <f>IFERROR(VLOOKUP(R159,conductor_pz_summary_hftd_23_re!$B$2:$N$3636,13,FALSE),0)</f>
        <v>1012</v>
      </c>
      <c r="Y159" s="203">
        <f t="shared" si="29"/>
        <v>0.6152369198686144</v>
      </c>
      <c r="Z159" s="23">
        <v>40</v>
      </c>
      <c r="AA159" s="23" t="s">
        <v>4871</v>
      </c>
      <c r="AB159" s="23" t="s">
        <v>4868</v>
      </c>
      <c r="AC159" s="19" t="s">
        <v>4905</v>
      </c>
      <c r="AD159" s="19" t="s">
        <v>4895</v>
      </c>
      <c r="AE159" s="19" t="s">
        <v>4881</v>
      </c>
      <c r="AF159" s="19" t="s">
        <v>4896</v>
      </c>
      <c r="AG159" s="23">
        <v>5792064</v>
      </c>
      <c r="AH159" s="23" t="s">
        <v>5086</v>
      </c>
      <c r="AI159" s="23">
        <v>119553837</v>
      </c>
      <c r="AJ159" s="120">
        <v>35191937</v>
      </c>
      <c r="AK159" s="49" t="s">
        <v>6178</v>
      </c>
      <c r="AL159" s="20">
        <v>7671</v>
      </c>
      <c r="AM159" s="204">
        <v>0</v>
      </c>
      <c r="AN159" s="204">
        <v>0</v>
      </c>
      <c r="AO159" s="204">
        <v>0</v>
      </c>
      <c r="AP159" s="39" t="s">
        <v>5087</v>
      </c>
      <c r="AQ159" s="39" t="s">
        <v>5088</v>
      </c>
      <c r="AR159" s="23">
        <f>AS159*5280</f>
        <v>17635.2</v>
      </c>
      <c r="AS159" s="40">
        <v>3.34</v>
      </c>
      <c r="AT159" s="41">
        <v>3777700</v>
      </c>
      <c r="AU159" s="48" t="s">
        <v>6343</v>
      </c>
      <c r="AW159" s="19">
        <f>0.86*5280</f>
        <v>4540.8</v>
      </c>
      <c r="AX159" s="19">
        <f>2.48*5280</f>
        <v>13094.4</v>
      </c>
      <c r="AY159" s="23">
        <f t="shared" si="39"/>
        <v>17635.2</v>
      </c>
      <c r="AZ159" s="40">
        <f t="shared" si="32"/>
        <v>3.3400000000000003</v>
      </c>
      <c r="BA159" s="41"/>
      <c r="BB159" s="187"/>
      <c r="BC159" s="44"/>
      <c r="BD159" s="191">
        <f t="shared" si="40"/>
        <v>0</v>
      </c>
      <c r="BE159" s="23"/>
      <c r="BF159" s="23"/>
      <c r="BG159" s="23"/>
      <c r="BH159" s="23"/>
      <c r="BI159" s="23"/>
      <c r="BJ159" s="23"/>
      <c r="BK159" s="40"/>
      <c r="BL159" s="44"/>
      <c r="BM159" s="41"/>
      <c r="BN159" s="45"/>
    </row>
    <row r="160" spans="1:66" s="19" customFormat="1" x14ac:dyDescent="0.25">
      <c r="A160" s="218">
        <v>35227032</v>
      </c>
      <c r="B160" s="116" t="s">
        <v>4868</v>
      </c>
      <c r="C160" s="23">
        <v>13</v>
      </c>
      <c r="D160" s="23" t="str" cm="1">
        <f t="array" ref="D160">IFERROR(_xlfn.IFS(U160&lt;727,"MEET", AB160="FRRB","MEET", AB160="PSPS","MEET"),"No")</f>
        <v>No</v>
      </c>
      <c r="E160" s="23" t="str" cm="1">
        <f t="array" ref="E160">IFERROR(_xlfn.IFS(AM160&gt;0,"MEET", AN160&gt;0,"MEET"),"No")</f>
        <v>No</v>
      </c>
      <c r="F160" s="100">
        <v>2021101</v>
      </c>
      <c r="G160" s="37"/>
      <c r="H160" s="37">
        <f t="shared" si="36"/>
        <v>0.57499999999999996</v>
      </c>
      <c r="I160" s="37">
        <f t="shared" si="37"/>
        <v>0.57499999999999996</v>
      </c>
      <c r="J160" s="20">
        <v>2021</v>
      </c>
      <c r="K160" s="37"/>
      <c r="L160" s="37"/>
      <c r="M160" s="37">
        <f t="shared" si="38"/>
        <v>0</v>
      </c>
      <c r="N160" s="21">
        <v>0</v>
      </c>
      <c r="O160" s="23" t="s">
        <v>4878</v>
      </c>
      <c r="P160" s="22">
        <v>43292102</v>
      </c>
      <c r="Q160" s="19" t="s">
        <v>3441</v>
      </c>
      <c r="R160" s="23" t="s">
        <v>3446</v>
      </c>
      <c r="S160" s="38">
        <f>IFERROR(VLOOKUP(R160,[47]conductor_pz_summary_hftd_23_re!$B$2:$Q$3636,8,FALSE),0)</f>
        <v>180</v>
      </c>
      <c r="T160" s="201">
        <f>IFERROR(VLOOKUP(R160,[48]conductor_pz_summary_hftd_23_re!$B$2:$H$3636,7,0),0)/1609</f>
        <v>19.340684586360659</v>
      </c>
      <c r="U160" s="23">
        <f>IFERROR(VLOOKUP(R160,[47]conductor_pz_summary_hftd_23_re!$B$2:$Q$3636,14,FALSE),0)</f>
        <v>951</v>
      </c>
      <c r="V160" s="37">
        <f t="shared" si="28"/>
        <v>13.210050623204321</v>
      </c>
      <c r="W160" s="202">
        <f>IFERROR(VLOOKUP(R160,[47]conductor_pz_summary_hftd_23_re!$B$2:$Q$3636,13,FALSE),0)</f>
        <v>7.3389170128912898E-2</v>
      </c>
      <c r="X160" s="73">
        <f>IFERROR(VLOOKUP(R160,conductor_pz_summary_hftd_23_re!$B$2:$N$3636,13,FALSE),0)</f>
        <v>1012</v>
      </c>
      <c r="Y160" s="203">
        <f t="shared" si="29"/>
        <v>0.24349619198554465</v>
      </c>
      <c r="Z160" s="23">
        <v>40</v>
      </c>
      <c r="AA160" s="23" t="s">
        <v>4871</v>
      </c>
      <c r="AB160" s="23" t="s">
        <v>4868</v>
      </c>
      <c r="AC160" s="19" t="s">
        <v>4905</v>
      </c>
      <c r="AD160" s="19" t="s">
        <v>4895</v>
      </c>
      <c r="AE160" s="19" t="s">
        <v>4881</v>
      </c>
      <c r="AF160" s="19" t="s">
        <v>4896</v>
      </c>
      <c r="AG160" s="23">
        <v>5795301</v>
      </c>
      <c r="AH160" s="23" t="s">
        <v>6181</v>
      </c>
      <c r="AI160" s="23">
        <v>120449806</v>
      </c>
      <c r="AJ160" s="120">
        <v>35227032</v>
      </c>
      <c r="AK160" s="49" t="s">
        <v>6179</v>
      </c>
      <c r="AL160" s="20">
        <v>3036</v>
      </c>
      <c r="AM160" s="204">
        <v>0</v>
      </c>
      <c r="AN160" s="204">
        <v>0</v>
      </c>
      <c r="AO160" s="204">
        <v>0</v>
      </c>
      <c r="AP160" s="39" t="s">
        <v>5087</v>
      </c>
      <c r="AQ160" s="39" t="s">
        <v>5088</v>
      </c>
      <c r="AR160" s="23"/>
      <c r="AS160" s="40"/>
      <c r="AT160" s="41"/>
      <c r="AU160" s="48" t="s">
        <v>6343</v>
      </c>
      <c r="AY160" s="23"/>
      <c r="AZ160" s="40"/>
      <c r="BA160" s="41"/>
      <c r="BB160" s="187"/>
      <c r="BC160" s="44"/>
      <c r="BD160" s="191">
        <f t="shared" si="40"/>
        <v>0</v>
      </c>
      <c r="BE160" s="23"/>
      <c r="BF160" s="23"/>
      <c r="BG160" s="23"/>
      <c r="BH160" s="23"/>
      <c r="BI160" s="23"/>
      <c r="BJ160" s="23"/>
      <c r="BK160" s="40"/>
      <c r="BL160" s="44"/>
      <c r="BM160" s="41"/>
      <c r="BN160" s="45"/>
    </row>
    <row r="161" spans="1:72" s="19" customFormat="1" x14ac:dyDescent="0.25">
      <c r="A161" s="218">
        <v>35227033</v>
      </c>
      <c r="B161" s="116" t="s">
        <v>4868</v>
      </c>
      <c r="C161" s="23">
        <v>13</v>
      </c>
      <c r="D161" s="23" t="str" cm="1">
        <f t="array" ref="D161">IFERROR(_xlfn.IFS(U161&lt;727,"MEET", AB161="FRRB","MEET", AB161="PSPS","MEET"),"No")</f>
        <v>No</v>
      </c>
      <c r="E161" s="23" t="str" cm="1">
        <f t="array" ref="E161">IFERROR(_xlfn.IFS(AM161&gt;0,"MEET", AN161&gt;0,"MEET"),"No")</f>
        <v>No</v>
      </c>
      <c r="F161" s="100">
        <v>2021102</v>
      </c>
      <c r="G161" s="37"/>
      <c r="H161" s="37">
        <f t="shared" si="36"/>
        <v>1.3100378787878788</v>
      </c>
      <c r="I161" s="37">
        <f t="shared" si="37"/>
        <v>1.3100378787878788</v>
      </c>
      <c r="J161" s="20">
        <v>2021</v>
      </c>
      <c r="K161" s="37"/>
      <c r="L161" s="37"/>
      <c r="M161" s="37">
        <f t="shared" si="38"/>
        <v>0</v>
      </c>
      <c r="N161" s="21">
        <v>0</v>
      </c>
      <c r="O161" s="23" t="s">
        <v>4878</v>
      </c>
      <c r="P161" s="22">
        <v>43292102</v>
      </c>
      <c r="Q161" s="19" t="s">
        <v>3441</v>
      </c>
      <c r="R161" s="23" t="s">
        <v>3446</v>
      </c>
      <c r="S161" s="38">
        <f>IFERROR(VLOOKUP(R161,[47]conductor_pz_summary_hftd_23_re!$B$2:$Q$3636,8,FALSE),0)</f>
        <v>180</v>
      </c>
      <c r="T161" s="201">
        <f>IFERROR(VLOOKUP(R161,[48]conductor_pz_summary_hftd_23_re!$B$2:$H$3636,7,0),0)/1609</f>
        <v>19.340684586360659</v>
      </c>
      <c r="U161" s="23">
        <f>IFERROR(VLOOKUP(R161,[47]conductor_pz_summary_hftd_23_re!$B$2:$Q$3636,14,FALSE),0)</f>
        <v>951</v>
      </c>
      <c r="V161" s="37">
        <f t="shared" si="28"/>
        <v>13.210050623204321</v>
      </c>
      <c r="W161" s="202">
        <f>IFERROR(VLOOKUP(R161,[47]conductor_pz_summary_hftd_23_re!$B$2:$Q$3636,13,FALSE),0)</f>
        <v>7.3389170128912898E-2</v>
      </c>
      <c r="X161" s="73">
        <f>IFERROR(VLOOKUP(R161,conductor_pz_summary_hftd_23_re!$B$2:$N$3636,13,FALSE),0)</f>
        <v>1012</v>
      </c>
      <c r="Y161" s="203">
        <f t="shared" si="29"/>
        <v>0.8858326577650838</v>
      </c>
      <c r="Z161" s="23">
        <v>40</v>
      </c>
      <c r="AA161" s="23" t="s">
        <v>4871</v>
      </c>
      <c r="AB161" s="23" t="s">
        <v>4868</v>
      </c>
      <c r="AC161" s="19" t="s">
        <v>4905</v>
      </c>
      <c r="AD161" s="19" t="s">
        <v>4895</v>
      </c>
      <c r="AE161" s="19" t="s">
        <v>4881</v>
      </c>
      <c r="AF161" s="19" t="s">
        <v>4896</v>
      </c>
      <c r="AG161" s="23">
        <v>5795301</v>
      </c>
      <c r="AH161" s="23" t="s">
        <v>6182</v>
      </c>
      <c r="AI161" s="23">
        <v>120449807</v>
      </c>
      <c r="AJ161" s="120">
        <v>35227033</v>
      </c>
      <c r="AK161" s="49" t="s">
        <v>6180</v>
      </c>
      <c r="AL161" s="20">
        <v>0</v>
      </c>
      <c r="AM161" s="204">
        <v>0</v>
      </c>
      <c r="AN161" s="204">
        <v>0</v>
      </c>
      <c r="AO161" s="204">
        <v>6917</v>
      </c>
      <c r="AP161" s="39" t="s">
        <v>5087</v>
      </c>
      <c r="AQ161" s="39" t="s">
        <v>5088</v>
      </c>
      <c r="AR161" s="23"/>
      <c r="AS161" s="40"/>
      <c r="AT161" s="41"/>
      <c r="AU161" s="48" t="s">
        <v>6343</v>
      </c>
      <c r="AY161" s="23"/>
      <c r="AZ161" s="40"/>
      <c r="BA161" s="41"/>
      <c r="BB161" s="187"/>
      <c r="BC161" s="44"/>
      <c r="BD161" s="191">
        <f t="shared" si="40"/>
        <v>0</v>
      </c>
      <c r="BE161" s="23"/>
      <c r="BF161" s="23"/>
      <c r="BG161" s="23"/>
      <c r="BH161" s="23"/>
      <c r="BI161" s="23"/>
      <c r="BJ161" s="23"/>
      <c r="BK161" s="40"/>
      <c r="BL161" s="44"/>
      <c r="BM161" s="41"/>
      <c r="BN161" s="45"/>
    </row>
    <row r="162" spans="1:72" s="19" customFormat="1" x14ac:dyDescent="0.25">
      <c r="A162" s="218">
        <v>35219093</v>
      </c>
      <c r="B162" s="116" t="s">
        <v>5497</v>
      </c>
      <c r="C162" s="160">
        <v>13</v>
      </c>
      <c r="D162" s="23" t="str" cm="1">
        <f t="array" ref="D162">IFERROR(_xlfn.IFS(U162&lt;727,"MEET", AB162="FRRB","MEET", AB162="PSPS","MEET"),"No")</f>
        <v>MEET</v>
      </c>
      <c r="E162" s="23" t="str" cm="1">
        <f t="array" ref="E162">IFERROR(_xlfn.IFS(AM162&gt;0,"MEET", AN162&gt;0,"MEET"),"No")</f>
        <v>MEET</v>
      </c>
      <c r="F162" s="100">
        <v>2021103</v>
      </c>
      <c r="G162" s="37">
        <v>1.1399999999999999</v>
      </c>
      <c r="H162" s="37">
        <f t="shared" si="36"/>
        <v>1.1399999999999999</v>
      </c>
      <c r="I162" s="37">
        <f t="shared" si="37"/>
        <v>1.1399999999999999</v>
      </c>
      <c r="J162" s="178">
        <v>2021</v>
      </c>
      <c r="K162" s="159"/>
      <c r="L162" s="159"/>
      <c r="M162" s="37">
        <f t="shared" si="38"/>
        <v>0</v>
      </c>
      <c r="N162" s="21">
        <v>6576.02</v>
      </c>
      <c r="O162" s="178" t="s">
        <v>4878</v>
      </c>
      <c r="P162" s="177">
        <v>14652106</v>
      </c>
      <c r="Q162" s="177" t="s">
        <v>4394</v>
      </c>
      <c r="R162" s="178" t="s">
        <v>4393</v>
      </c>
      <c r="S162" s="38">
        <f>IFERROR(VLOOKUP(R162,[47]conductor_pz_summary_hftd_23_re!$B$2:$Q$3636,8,FALSE),0)</f>
        <v>30</v>
      </c>
      <c r="T162" s="201">
        <f>IFERROR(VLOOKUP(R162,[48]conductor_pz_summary_hftd_23_re!$B$2:$H$3636,7,0),0)/1609</f>
        <v>3.6652030733285454</v>
      </c>
      <c r="U162" s="23">
        <f>IFERROR(VLOOKUP(R162,[47]conductor_pz_summary_hftd_23_re!$B$2:$Q$3636,14,FALSE),0)</f>
        <v>18</v>
      </c>
      <c r="V162" s="37">
        <f t="shared" si="28"/>
        <v>19.599357494642337</v>
      </c>
      <c r="W162" s="202">
        <f>IFERROR(VLOOKUP(R162,[47]conductor_pz_summary_hftd_23_re!$B$2:$Q$3636,13,FALSE),0)</f>
        <v>0.65331191648807796</v>
      </c>
      <c r="X162" s="178">
        <f>IFERROR(VLOOKUP(R162,conductor_pz_summary_hftd_23_re!$B$2:$N$3636,13,FALSE),0)</f>
        <v>59</v>
      </c>
      <c r="Y162" s="203">
        <f t="shared" si="29"/>
        <v>6.0350912148409996</v>
      </c>
      <c r="Z162" s="159"/>
      <c r="AA162" s="74" t="s">
        <v>4903</v>
      </c>
      <c r="AB162" s="178" t="s">
        <v>5298</v>
      </c>
      <c r="AC162" s="94" t="s">
        <v>4907</v>
      </c>
      <c r="AD162" s="177" t="s">
        <v>4908</v>
      </c>
      <c r="AE162" s="177" t="s">
        <v>4909</v>
      </c>
      <c r="AF162" s="177" t="s">
        <v>4896</v>
      </c>
      <c r="AG162" s="178">
        <v>5794540</v>
      </c>
      <c r="AH162" s="183" t="s">
        <v>5389</v>
      </c>
      <c r="AI162" s="160">
        <v>120141622</v>
      </c>
      <c r="AJ162" s="120">
        <v>35219093</v>
      </c>
      <c r="AK162" s="160" t="s">
        <v>6395</v>
      </c>
      <c r="AL162" s="205">
        <v>0</v>
      </c>
      <c r="AM162" s="205">
        <v>6019.2</v>
      </c>
      <c r="AN162" s="206">
        <v>0</v>
      </c>
      <c r="AO162" s="206">
        <v>0</v>
      </c>
      <c r="AP162" s="182"/>
      <c r="AQ162" s="39" t="s">
        <v>5559</v>
      </c>
      <c r="AR162" s="74">
        <f>AS162*5280</f>
        <v>25396.799999999999</v>
      </c>
      <c r="AS162" s="118">
        <v>4.8099999999999996</v>
      </c>
      <c r="AT162" s="92">
        <v>8092656</v>
      </c>
      <c r="AU162" s="48" t="s">
        <v>6379</v>
      </c>
      <c r="AV162" s="182">
        <v>0</v>
      </c>
      <c r="AW162" s="182">
        <f>1.14*5280</f>
        <v>6019.2</v>
      </c>
      <c r="AX162" s="182">
        <v>0</v>
      </c>
      <c r="AY162" s="23">
        <f>AW162+AX162</f>
        <v>6019.2</v>
      </c>
      <c r="AZ162" s="40">
        <f>AY162/5280</f>
        <v>1.1399999999999999</v>
      </c>
      <c r="BA162" s="41"/>
      <c r="BB162" s="187"/>
      <c r="BC162" s="44"/>
      <c r="BD162" s="191">
        <f t="shared" si="40"/>
        <v>0</v>
      </c>
      <c r="BE162" s="159"/>
      <c r="BF162" s="159"/>
      <c r="BG162" s="159"/>
      <c r="BH162" s="159"/>
      <c r="BI162" s="159"/>
      <c r="BJ162" s="159"/>
      <c r="BK162" s="159"/>
      <c r="BL162" s="159"/>
      <c r="BM162" s="159"/>
      <c r="BN162" s="159"/>
      <c r="BO162" s="159"/>
      <c r="BP162" s="159"/>
      <c r="BQ162" s="159"/>
      <c r="BR162" s="159"/>
      <c r="BS162" s="159"/>
      <c r="BT162" s="159"/>
    </row>
    <row r="163" spans="1:72" s="19" customFormat="1" x14ac:dyDescent="0.25">
      <c r="A163" s="218">
        <v>35231543</v>
      </c>
      <c r="B163" s="116" t="s">
        <v>5497</v>
      </c>
      <c r="C163" s="160">
        <v>13</v>
      </c>
      <c r="D163" s="23" t="str" cm="1">
        <f t="array" ref="D163">IFERROR(_xlfn.IFS(U163&lt;727,"MEET", AB163="FRRB","MEET", AB163="PSPS","MEET"),"No")</f>
        <v>MEET</v>
      </c>
      <c r="E163" s="23" t="str" cm="1">
        <f t="array" ref="E163">IFERROR(_xlfn.IFS(AM163&gt;0,"MEET", AN163&gt;0,"MEET"),"No")</f>
        <v>MEET</v>
      </c>
      <c r="F163" s="100">
        <v>2021104</v>
      </c>
      <c r="G163" s="37">
        <v>1.3</v>
      </c>
      <c r="H163" s="37">
        <f t="shared" si="36"/>
        <v>1.3</v>
      </c>
      <c r="I163" s="37">
        <f t="shared" si="37"/>
        <v>1.3</v>
      </c>
      <c r="J163" s="183">
        <v>2021</v>
      </c>
      <c r="K163" s="159"/>
      <c r="L163" s="159"/>
      <c r="M163" s="37">
        <f t="shared" si="38"/>
        <v>0</v>
      </c>
      <c r="N163" s="21">
        <v>0</v>
      </c>
      <c r="O163" s="183" t="s">
        <v>4878</v>
      </c>
      <c r="P163" s="182">
        <v>14652106</v>
      </c>
      <c r="Q163" s="182" t="s">
        <v>4394</v>
      </c>
      <c r="R163" s="183" t="s">
        <v>4393</v>
      </c>
      <c r="S163" s="38">
        <f>IFERROR(VLOOKUP(R163,[47]conductor_pz_summary_hftd_23_re!$B$2:$Q$3636,8,FALSE),0)</f>
        <v>30</v>
      </c>
      <c r="T163" s="201">
        <f>IFERROR(VLOOKUP(R163,[48]conductor_pz_summary_hftd_23_re!$B$2:$H$3636,7,0),0)/1609</f>
        <v>3.6652030733285454</v>
      </c>
      <c r="U163" s="23">
        <f>IFERROR(VLOOKUP(R163,[47]conductor_pz_summary_hftd_23_re!$B$2:$Q$3636,14,FALSE),0)</f>
        <v>18</v>
      </c>
      <c r="V163" s="37">
        <f t="shared" si="28"/>
        <v>19.599357494642337</v>
      </c>
      <c r="W163" s="202">
        <f>IFERROR(VLOOKUP(R163,[47]conductor_pz_summary_hftd_23_re!$B$2:$Q$3636,13,FALSE),0)</f>
        <v>0.65331191648807796</v>
      </c>
      <c r="X163" s="178">
        <f>IFERROR(VLOOKUP(R163,conductor_pz_summary_hftd_23_re!$B$2:$N$3636,13,FALSE),0)</f>
        <v>59</v>
      </c>
      <c r="Y163" s="203">
        <f t="shared" si="29"/>
        <v>6.8821215607835979</v>
      </c>
      <c r="Z163" s="159"/>
      <c r="AA163" s="74" t="s">
        <v>4903</v>
      </c>
      <c r="AB163" s="178" t="s">
        <v>5298</v>
      </c>
      <c r="AC163" s="94" t="s">
        <v>4907</v>
      </c>
      <c r="AD163" s="182" t="s">
        <v>4908</v>
      </c>
      <c r="AE163" s="182" t="s">
        <v>4909</v>
      </c>
      <c r="AF163" s="182" t="s">
        <v>4896</v>
      </c>
      <c r="AG163" s="178">
        <v>5794540</v>
      </c>
      <c r="AH163" s="23" t="s">
        <v>6393</v>
      </c>
      <c r="AI163" s="160">
        <v>120504099</v>
      </c>
      <c r="AJ163" s="120" t="s">
        <v>6391</v>
      </c>
      <c r="AK163" s="160" t="s">
        <v>6396</v>
      </c>
      <c r="AL163" s="205">
        <v>0</v>
      </c>
      <c r="AM163" s="205">
        <v>6864</v>
      </c>
      <c r="AN163" s="206">
        <v>0</v>
      </c>
      <c r="AO163" s="206">
        <v>0</v>
      </c>
      <c r="AP163" s="182"/>
      <c r="AQ163" s="39" t="s">
        <v>5559</v>
      </c>
      <c r="AR163" s="74"/>
      <c r="AS163" s="118"/>
      <c r="AT163" s="92"/>
      <c r="AU163" s="48" t="s">
        <v>6379</v>
      </c>
      <c r="AV163" s="182">
        <v>0</v>
      </c>
      <c r="AW163" s="182">
        <f>1.3*5280</f>
        <v>6864</v>
      </c>
      <c r="AX163" s="182">
        <v>0</v>
      </c>
      <c r="AY163" s="23">
        <f>AW163+AX163</f>
        <v>6864</v>
      </c>
      <c r="AZ163" s="40">
        <f>AY163/5280</f>
        <v>1.3</v>
      </c>
      <c r="BA163" s="41"/>
      <c r="BB163" s="187"/>
      <c r="BC163" s="44"/>
      <c r="BD163" s="191">
        <f t="shared" si="40"/>
        <v>0</v>
      </c>
      <c r="BE163" s="159"/>
      <c r="BF163" s="159"/>
      <c r="BG163" s="159"/>
      <c r="BH163" s="159"/>
      <c r="BI163" s="159"/>
      <c r="BJ163" s="159"/>
      <c r="BK163" s="159"/>
      <c r="BL163" s="159"/>
      <c r="BM163" s="159"/>
      <c r="BN163" s="159"/>
      <c r="BO163" s="159"/>
      <c r="BP163" s="159"/>
      <c r="BQ163" s="159"/>
      <c r="BR163" s="159"/>
      <c r="BS163" s="159"/>
      <c r="BT163" s="159"/>
    </row>
    <row r="164" spans="1:72" s="19" customFormat="1" ht="14.45" customHeight="1" x14ac:dyDescent="0.25">
      <c r="A164" s="218">
        <v>35231544</v>
      </c>
      <c r="B164" s="116" t="s">
        <v>5497</v>
      </c>
      <c r="C164" s="160">
        <v>13</v>
      </c>
      <c r="D164" s="23" t="str" cm="1">
        <f t="array" ref="D164">IFERROR(_xlfn.IFS(U164&lt;727,"MEET", AB164="FRRB","MEET", AB164="PSPS","MEET"),"No")</f>
        <v>MEET</v>
      </c>
      <c r="E164" s="23" t="str" cm="1">
        <f t="array" ref="E164">IFERROR(_xlfn.IFS(AM164&gt;0,"MEET", AN164&gt;0,"MEET"),"No")</f>
        <v>No</v>
      </c>
      <c r="F164" s="100">
        <v>2021105</v>
      </c>
      <c r="G164" s="37">
        <v>1.2</v>
      </c>
      <c r="H164" s="37">
        <f t="shared" si="36"/>
        <v>1.2</v>
      </c>
      <c r="I164" s="37">
        <f t="shared" si="37"/>
        <v>1.2</v>
      </c>
      <c r="J164" s="183">
        <v>2021</v>
      </c>
      <c r="K164" s="159"/>
      <c r="L164" s="159"/>
      <c r="M164" s="37">
        <f t="shared" si="38"/>
        <v>0</v>
      </c>
      <c r="N164" s="21">
        <v>0</v>
      </c>
      <c r="O164" s="183" t="s">
        <v>4878</v>
      </c>
      <c r="P164" s="182">
        <v>14652106</v>
      </c>
      <c r="Q164" s="182" t="s">
        <v>4394</v>
      </c>
      <c r="R164" s="183" t="s">
        <v>4393</v>
      </c>
      <c r="S164" s="38">
        <f>IFERROR(VLOOKUP(R164,[47]conductor_pz_summary_hftd_23_re!$B$2:$Q$3636,8,FALSE),0)</f>
        <v>30</v>
      </c>
      <c r="T164" s="201">
        <f>IFERROR(VLOOKUP(R164,[48]conductor_pz_summary_hftd_23_re!$B$2:$H$3636,7,0),0)/1609</f>
        <v>3.6652030733285454</v>
      </c>
      <c r="U164" s="23">
        <f>IFERROR(VLOOKUP(R164,[47]conductor_pz_summary_hftd_23_re!$B$2:$Q$3636,14,FALSE),0)</f>
        <v>18</v>
      </c>
      <c r="V164" s="37">
        <f t="shared" si="28"/>
        <v>19.599357494642337</v>
      </c>
      <c r="W164" s="202">
        <f>IFERROR(VLOOKUP(R164,[47]conductor_pz_summary_hftd_23_re!$B$2:$Q$3636,13,FALSE),0)</f>
        <v>0.65331191648807796</v>
      </c>
      <c r="X164" s="73">
        <f>IFERROR(VLOOKUP(R164,conductor_pz_summary_hftd_23_re!$B$2:$N$3636,13,FALSE),0)</f>
        <v>59</v>
      </c>
      <c r="Y164" s="203">
        <f t="shared" si="29"/>
        <v>3.9784758673061353</v>
      </c>
      <c r="Z164" s="159"/>
      <c r="AA164" s="74" t="s">
        <v>4903</v>
      </c>
      <c r="AB164" s="160" t="s">
        <v>5298</v>
      </c>
      <c r="AC164" s="94" t="s">
        <v>4907</v>
      </c>
      <c r="AD164" s="182" t="s">
        <v>4908</v>
      </c>
      <c r="AE164" s="182" t="s">
        <v>4909</v>
      </c>
      <c r="AF164" s="182" t="s">
        <v>4896</v>
      </c>
      <c r="AG164" s="183">
        <v>5794540</v>
      </c>
      <c r="AH164" s="23" t="s">
        <v>6394</v>
      </c>
      <c r="AI164" s="183">
        <v>120504131</v>
      </c>
      <c r="AJ164" s="120" t="s">
        <v>6392</v>
      </c>
      <c r="AK164" s="160" t="s">
        <v>6397</v>
      </c>
      <c r="AL164" s="205">
        <v>6336</v>
      </c>
      <c r="AM164" s="205">
        <v>0</v>
      </c>
      <c r="AN164" s="206">
        <v>0</v>
      </c>
      <c r="AO164" s="206">
        <v>0</v>
      </c>
      <c r="AP164" s="182"/>
      <c r="AQ164" s="39" t="s">
        <v>5559</v>
      </c>
      <c r="AR164" s="74"/>
      <c r="AS164" s="118"/>
      <c r="AT164" s="92"/>
      <c r="AU164" s="48" t="s">
        <v>6379</v>
      </c>
      <c r="AV164" s="182">
        <v>0</v>
      </c>
      <c r="AW164" s="182">
        <v>0</v>
      </c>
      <c r="AX164" s="182">
        <f>1.2*5280</f>
        <v>6336</v>
      </c>
      <c r="AY164" s="23">
        <f>AW164+AX164</f>
        <v>6336</v>
      </c>
      <c r="AZ164" s="40">
        <f>AY164/5280</f>
        <v>1.2</v>
      </c>
      <c r="BA164" s="41"/>
      <c r="BB164" s="187"/>
      <c r="BC164" s="44"/>
      <c r="BD164" s="191">
        <f t="shared" si="40"/>
        <v>0</v>
      </c>
      <c r="BE164" s="159"/>
      <c r="BF164" s="159"/>
      <c r="BG164" s="159"/>
      <c r="BH164" s="159"/>
      <c r="BI164" s="159"/>
      <c r="BJ164" s="159"/>
      <c r="BK164" s="159"/>
      <c r="BL164" s="159"/>
      <c r="BM164" s="159"/>
      <c r="BN164" s="159"/>
      <c r="BO164" s="159"/>
      <c r="BP164" s="159"/>
      <c r="BQ164" s="159"/>
      <c r="BR164" s="159"/>
      <c r="BS164" s="159"/>
      <c r="BT164" s="159"/>
    </row>
    <row r="165" spans="1:72" s="19" customFormat="1" ht="14.45" customHeight="1" x14ac:dyDescent="0.25">
      <c r="A165" s="218">
        <v>35217273</v>
      </c>
      <c r="B165" s="116" t="s">
        <v>5497</v>
      </c>
      <c r="C165" s="160">
        <v>13</v>
      </c>
      <c r="D165" s="23" t="str" cm="1">
        <f t="array" ref="D165">IFERROR(_xlfn.IFS(U165&lt;727,"MEET", AB165="FRRB","MEET", AB165="PSPS","MEET"),"No")</f>
        <v>MEET</v>
      </c>
      <c r="E165" s="23" t="str" cm="1">
        <f t="array" ref="E165">IFERROR(_xlfn.IFS(AM165&gt;0,"MEET", AN165&gt;0,"MEET"),"No")</f>
        <v>MEET</v>
      </c>
      <c r="F165" s="100">
        <v>2021106</v>
      </c>
      <c r="G165" s="37">
        <f>T165</f>
        <v>1.1132767118567868</v>
      </c>
      <c r="H165" s="37">
        <f t="shared" si="36"/>
        <v>1.1054545454545455</v>
      </c>
      <c r="I165" s="37">
        <f t="shared" si="37"/>
        <v>1.1054545454545455</v>
      </c>
      <c r="J165" s="183">
        <v>2021</v>
      </c>
      <c r="K165" s="159"/>
      <c r="L165" s="159"/>
      <c r="M165" s="37">
        <f t="shared" si="38"/>
        <v>0</v>
      </c>
      <c r="N165" s="21">
        <v>14756.58</v>
      </c>
      <c r="O165" s="183" t="s">
        <v>4878</v>
      </c>
      <c r="P165" s="182">
        <v>42871101</v>
      </c>
      <c r="Q165" s="159" t="s">
        <v>4449</v>
      </c>
      <c r="R165" s="160" t="s">
        <v>4456</v>
      </c>
      <c r="S165" s="38">
        <f>IFERROR(VLOOKUP(R165,[47]conductor_pz_summary_hftd_23_re!$B$2:$Q$3636,8,FALSE),0)</f>
        <v>3</v>
      </c>
      <c r="T165" s="201">
        <f>IFERROR(VLOOKUP(R165,[48]conductor_pz_summary_hftd_23_re!$B$2:$H$3636,7,0),0)/1609</f>
        <v>1.1132767118567868</v>
      </c>
      <c r="U165" s="23">
        <f>IFERROR(VLOOKUP(R165,[47]conductor_pz_summary_hftd_23_re!$B$2:$Q$3636,14,FALSE),0)</f>
        <v>6</v>
      </c>
      <c r="V165" s="37">
        <f t="shared" si="28"/>
        <v>3.7675564448636099</v>
      </c>
      <c r="W165" s="202">
        <f>IFERROR(VLOOKUP(R165,[47]conductor_pz_summary_hftd_23_re!$B$2:$Q$3636,13,FALSE),0)</f>
        <v>1.25585214828787</v>
      </c>
      <c r="X165" s="73">
        <f>IFERROR(VLOOKUP(R165,conductor_pz_summary_hftd_23_re!$B$2:$N$3636,13,FALSE),0)</f>
        <v>90</v>
      </c>
      <c r="Y165" s="203">
        <f t="shared" si="29"/>
        <v>3.6826301840415319</v>
      </c>
      <c r="Z165" s="159"/>
      <c r="AA165" s="183" t="s">
        <v>4903</v>
      </c>
      <c r="AB165" s="160" t="s">
        <v>5298</v>
      </c>
      <c r="AC165" s="94" t="s">
        <v>5452</v>
      </c>
      <c r="AD165" s="182" t="s">
        <v>4873</v>
      </c>
      <c r="AE165" s="182" t="s">
        <v>5459</v>
      </c>
      <c r="AF165" s="182" t="s">
        <v>4875</v>
      </c>
      <c r="AG165" s="183">
        <v>5794203</v>
      </c>
      <c r="AH165" s="23" t="s">
        <v>5293</v>
      </c>
      <c r="AI165" s="183">
        <v>120048019</v>
      </c>
      <c r="AJ165" s="120">
        <v>35217273</v>
      </c>
      <c r="AK165" s="160" t="s">
        <v>5300</v>
      </c>
      <c r="AL165" s="205">
        <v>240</v>
      </c>
      <c r="AM165" s="205">
        <v>0</v>
      </c>
      <c r="AN165" s="205">
        <v>5596.8</v>
      </c>
      <c r="AO165" s="205">
        <v>0</v>
      </c>
      <c r="AP165" s="48" t="s">
        <v>5387</v>
      </c>
      <c r="AQ165" s="39" t="s">
        <v>5386</v>
      </c>
      <c r="AR165" s="160">
        <f>AS165*5280</f>
        <v>211.20000000000002</v>
      </c>
      <c r="AS165" s="183">
        <v>0.04</v>
      </c>
      <c r="AT165" s="92">
        <v>970000</v>
      </c>
      <c r="AU165" s="182"/>
      <c r="AV165" s="182">
        <f>1.06*5280</f>
        <v>5596.8</v>
      </c>
      <c r="AW165" s="182"/>
      <c r="AX165" s="182">
        <f>0.04*5280</f>
        <v>211.20000000000002</v>
      </c>
      <c r="AY165" s="23">
        <f>SUM(AV165:AX165)</f>
        <v>5808</v>
      </c>
      <c r="AZ165" s="40">
        <f>AY165/5280</f>
        <v>1.1000000000000001</v>
      </c>
      <c r="BA165" s="41"/>
      <c r="BB165" s="187"/>
      <c r="BC165" s="44"/>
      <c r="BD165" s="191">
        <f t="shared" si="40"/>
        <v>0</v>
      </c>
      <c r="BE165" s="159"/>
      <c r="BF165" s="159"/>
      <c r="BG165" s="159"/>
      <c r="BH165" s="159"/>
      <c r="BI165" s="159"/>
      <c r="BJ165" s="159"/>
      <c r="BK165" s="159"/>
      <c r="BL165" s="159"/>
      <c r="BM165" s="159"/>
      <c r="BN165" s="159"/>
      <c r="BO165" s="159"/>
      <c r="BP165" s="159"/>
      <c r="BQ165" s="159"/>
      <c r="BR165" s="159"/>
      <c r="BS165" s="159"/>
      <c r="BT165" s="159"/>
    </row>
    <row r="166" spans="1:72" s="19" customFormat="1" x14ac:dyDescent="0.25">
      <c r="A166" s="218">
        <v>35217272</v>
      </c>
      <c r="B166" s="116" t="s">
        <v>5497</v>
      </c>
      <c r="C166" s="160">
        <v>13</v>
      </c>
      <c r="D166" s="23" t="str" cm="1">
        <f t="array" ref="D166">IFERROR(_xlfn.IFS(U166&lt;727,"MEET", AB166="FRRB","MEET", AB166="PSPS","MEET"),"No")</f>
        <v>MEET</v>
      </c>
      <c r="E166" s="23" t="str" cm="1">
        <f t="array" ref="E166">IFERROR(_xlfn.IFS(AM166&gt;0,"MEET", AN166&gt;0,"MEET"),"No")</f>
        <v>MEET</v>
      </c>
      <c r="F166" s="100">
        <v>2021107</v>
      </c>
      <c r="G166" s="37">
        <v>0.3</v>
      </c>
      <c r="H166" s="37">
        <f t="shared" si="36"/>
        <v>0.34053030303030302</v>
      </c>
      <c r="I166" s="37">
        <f t="shared" si="37"/>
        <v>0.34053030303030302</v>
      </c>
      <c r="J166" s="183">
        <v>2021</v>
      </c>
      <c r="K166" s="159"/>
      <c r="L166" s="159"/>
      <c r="M166" s="37">
        <f t="shared" si="38"/>
        <v>0</v>
      </c>
      <c r="N166" s="21">
        <v>24256.47</v>
      </c>
      <c r="O166" s="183" t="s">
        <v>4878</v>
      </c>
      <c r="P166" s="182">
        <v>103451101</v>
      </c>
      <c r="Q166" s="159" t="s">
        <v>2051</v>
      </c>
      <c r="R166" s="160" t="s">
        <v>2050</v>
      </c>
      <c r="S166" s="38">
        <f>IFERROR(VLOOKUP(R166,[47]conductor_pz_summary_hftd_23_re!$B$2:$Q$3636,8,FALSE),0)</f>
        <v>39</v>
      </c>
      <c r="T166" s="201">
        <f>IFERROR(VLOOKUP(R166,[48]conductor_pz_summary_hftd_23_re!$B$2:$H$3636,7,0),0)/1609</f>
        <v>7.4478152973437544</v>
      </c>
      <c r="U166" s="23">
        <f>IFERROR(VLOOKUP(R166,[47]conductor_pz_summary_hftd_23_re!$B$2:$Q$3636,14,FALSE),0)</f>
        <v>7</v>
      </c>
      <c r="V166" s="37">
        <f t="shared" si="28"/>
        <v>48.843389095197061</v>
      </c>
      <c r="W166" s="202">
        <f>IFERROR(VLOOKUP(R166,[47]conductor_pz_summary_hftd_23_re!$B$2:$Q$3636,13,FALSE),0)</f>
        <v>1.2523945921845401</v>
      </c>
      <c r="X166" s="73">
        <f>IFERROR(VLOOKUP(R166,conductor_pz_summary_hftd_23_re!$B$2:$N$3636,13,FALSE),0)</f>
        <v>233</v>
      </c>
      <c r="Y166" s="203">
        <f t="shared" si="29"/>
        <v>2.1676947641404825</v>
      </c>
      <c r="Z166" s="159"/>
      <c r="AA166" s="183" t="s">
        <v>4871</v>
      </c>
      <c r="AB166" s="160" t="s">
        <v>5298</v>
      </c>
      <c r="AC166" s="94" t="s">
        <v>5434</v>
      </c>
      <c r="AD166" s="182" t="s">
        <v>5431</v>
      </c>
      <c r="AE166" s="182" t="s">
        <v>5210</v>
      </c>
      <c r="AF166" s="182" t="s">
        <v>4875</v>
      </c>
      <c r="AG166" s="160">
        <v>5794204</v>
      </c>
      <c r="AH166" s="160" t="s">
        <v>5292</v>
      </c>
      <c r="AI166" s="160">
        <v>120048018</v>
      </c>
      <c r="AJ166" s="120">
        <v>35217272</v>
      </c>
      <c r="AK166" s="160" t="s">
        <v>6104</v>
      </c>
      <c r="AL166" s="205">
        <v>94</v>
      </c>
      <c r="AM166" s="205">
        <v>1704</v>
      </c>
      <c r="AN166" s="205">
        <v>0</v>
      </c>
      <c r="AO166" s="205">
        <v>0</v>
      </c>
      <c r="AP166" s="164" t="s">
        <v>5385</v>
      </c>
      <c r="AQ166" s="39" t="s">
        <v>5384</v>
      </c>
      <c r="AR166" s="160">
        <f>AS166*5280</f>
        <v>42926.400000000001</v>
      </c>
      <c r="AS166" s="160">
        <v>8.1300000000000008</v>
      </c>
      <c r="AT166" s="92">
        <v>22711843</v>
      </c>
      <c r="AU166" s="39" t="s">
        <v>6331</v>
      </c>
      <c r="AV166" s="182"/>
      <c r="AW166" s="182">
        <f>6.47*5280</f>
        <v>34161.599999999999</v>
      </c>
      <c r="AX166" s="182">
        <f>1.66*5280</f>
        <v>8764.7999999999993</v>
      </c>
      <c r="AY166" s="23">
        <f>SUM(AV166:AX166)</f>
        <v>42926.399999999994</v>
      </c>
      <c r="AZ166" s="40">
        <f>AY166/5280</f>
        <v>8.129999999999999</v>
      </c>
      <c r="BA166" s="41"/>
      <c r="BB166" s="187">
        <v>41.75</v>
      </c>
      <c r="BC166" s="44">
        <v>31200</v>
      </c>
      <c r="BD166" s="191">
        <f t="shared" si="40"/>
        <v>747.30538922155688</v>
      </c>
      <c r="BE166" s="159"/>
      <c r="BF166" s="159"/>
      <c r="BG166" s="159"/>
      <c r="BH166" s="159"/>
      <c r="BI166" s="159"/>
      <c r="BJ166" s="159"/>
      <c r="BK166" s="159"/>
      <c r="BL166" s="159"/>
      <c r="BM166" s="159"/>
      <c r="BN166" s="159"/>
      <c r="BO166" s="159"/>
      <c r="BP166" s="159"/>
      <c r="BQ166" s="159"/>
      <c r="BR166" s="159"/>
      <c r="BS166" s="159"/>
      <c r="BT166" s="159"/>
    </row>
    <row r="167" spans="1:72" s="19" customFormat="1" x14ac:dyDescent="0.25">
      <c r="A167" s="218">
        <v>35226627</v>
      </c>
      <c r="B167" s="116" t="s">
        <v>5497</v>
      </c>
      <c r="C167" s="160">
        <v>13</v>
      </c>
      <c r="D167" s="23" t="str" cm="1">
        <f t="array" ref="D167">IFERROR(_xlfn.IFS(U167&lt;727,"MEET", AB167="FRRB","MEET", AB167="PSPS","MEET"),"No")</f>
        <v>MEET</v>
      </c>
      <c r="E167" s="23" t="str" cm="1">
        <f t="array" ref="E167">IFERROR(_xlfn.IFS(AM167&gt;0,"MEET", AN167&gt;0,"MEET"),"No")</f>
        <v>No</v>
      </c>
      <c r="F167" s="100">
        <v>2021108</v>
      </c>
      <c r="G167" s="37">
        <v>0.28999999999999998</v>
      </c>
      <c r="H167" s="37">
        <f t="shared" si="36"/>
        <v>0.31231060606060607</v>
      </c>
      <c r="I167" s="37">
        <f t="shared" si="37"/>
        <v>0.31231060606060607</v>
      </c>
      <c r="J167" s="183">
        <v>2021</v>
      </c>
      <c r="K167" s="159"/>
      <c r="L167" s="159"/>
      <c r="M167" s="37">
        <f t="shared" si="38"/>
        <v>0</v>
      </c>
      <c r="N167" s="21">
        <v>0</v>
      </c>
      <c r="O167" s="183" t="s">
        <v>4878</v>
      </c>
      <c r="P167" s="182">
        <v>103451101</v>
      </c>
      <c r="Q167" s="159" t="s">
        <v>2051</v>
      </c>
      <c r="R167" s="160" t="s">
        <v>2050</v>
      </c>
      <c r="S167" s="38">
        <f>IFERROR(VLOOKUP(R167,[47]conductor_pz_summary_hftd_23_re!$B$2:$Q$3636,8,FALSE),0)</f>
        <v>39</v>
      </c>
      <c r="T167" s="201">
        <f>IFERROR(VLOOKUP(R167,[48]conductor_pz_summary_hftd_23_re!$B$2:$H$3636,7,0),0)/1609</f>
        <v>7.4478152973437544</v>
      </c>
      <c r="U167" s="23">
        <f>IFERROR(VLOOKUP(R167,[47]conductor_pz_summary_hftd_23_re!$B$2:$Q$3636,14,FALSE),0)</f>
        <v>7</v>
      </c>
      <c r="V167" s="37">
        <f t="shared" si="28"/>
        <v>48.843389095197061</v>
      </c>
      <c r="W167" s="202">
        <f>IFERROR(VLOOKUP(R167,[47]conductor_pz_summary_hftd_23_re!$B$2:$Q$3636,13,FALSE),0)</f>
        <v>1.2523945921845401</v>
      </c>
      <c r="X167" s="73">
        <f>IFERROR(VLOOKUP(R167,conductor_pz_summary_hftd_23_re!$B$2:$N$3636,13,FALSE),0)</f>
        <v>233</v>
      </c>
      <c r="Y167" s="203">
        <f t="shared" si="29"/>
        <v>1.2698584566947504</v>
      </c>
      <c r="Z167" s="159"/>
      <c r="AA167" s="183" t="s">
        <v>4871</v>
      </c>
      <c r="AB167" s="160" t="s">
        <v>5298</v>
      </c>
      <c r="AC167" s="94" t="s">
        <v>5434</v>
      </c>
      <c r="AD167" s="182" t="s">
        <v>5431</v>
      </c>
      <c r="AE167" s="182" t="s">
        <v>5210</v>
      </c>
      <c r="AF167" s="182" t="s">
        <v>4875</v>
      </c>
      <c r="AG167" s="160">
        <v>5794204</v>
      </c>
      <c r="AH167" s="160" t="s">
        <v>6110</v>
      </c>
      <c r="AI167" s="160">
        <v>120445375</v>
      </c>
      <c r="AJ167" s="120">
        <v>35226627</v>
      </c>
      <c r="AK167" s="160" t="s">
        <v>6105</v>
      </c>
      <c r="AL167" s="205">
        <v>1649</v>
      </c>
      <c r="AM167" s="205">
        <v>0</v>
      </c>
      <c r="AN167" s="205">
        <v>0</v>
      </c>
      <c r="AO167" s="205">
        <v>0</v>
      </c>
      <c r="AP167" s="164" t="s">
        <v>5385</v>
      </c>
      <c r="AQ167" s="39" t="s">
        <v>5384</v>
      </c>
      <c r="AR167" s="160" t="s">
        <v>4883</v>
      </c>
      <c r="AS167" s="160" t="s">
        <v>4883</v>
      </c>
      <c r="AT167" s="92">
        <v>0</v>
      </c>
      <c r="AU167" s="39" t="s">
        <v>6331</v>
      </c>
      <c r="AV167" s="182"/>
      <c r="AW167" s="182"/>
      <c r="AX167" s="182"/>
      <c r="AY167" s="23"/>
      <c r="AZ167" s="40"/>
      <c r="BA167" s="41"/>
      <c r="BB167" s="187">
        <v>0</v>
      </c>
      <c r="BC167" s="44">
        <v>0</v>
      </c>
      <c r="BD167" s="191">
        <f t="shared" si="40"/>
        <v>0</v>
      </c>
      <c r="BE167" s="159"/>
      <c r="BF167" s="159"/>
      <c r="BG167" s="159"/>
      <c r="BH167" s="159"/>
      <c r="BI167" s="159"/>
      <c r="BJ167" s="159"/>
      <c r="BK167" s="159"/>
      <c r="BL167" s="159"/>
      <c r="BM167" s="159"/>
      <c r="BN167" s="159"/>
      <c r="BO167" s="159"/>
      <c r="BP167" s="159"/>
      <c r="BQ167" s="159"/>
      <c r="BR167" s="159"/>
      <c r="BS167" s="159"/>
      <c r="BT167" s="159"/>
    </row>
    <row r="168" spans="1:72" s="19" customFormat="1" x14ac:dyDescent="0.25">
      <c r="A168" s="218">
        <v>35226628</v>
      </c>
      <c r="B168" s="116" t="s">
        <v>5497</v>
      </c>
      <c r="C168" s="183">
        <v>13</v>
      </c>
      <c r="D168" s="23" t="str" cm="1">
        <f t="array" ref="D168">IFERROR(_xlfn.IFS(U168&lt;727,"MEET", AB168="FRRB","MEET", AB168="PSPS","MEET"),"No")</f>
        <v>MEET</v>
      </c>
      <c r="E168" s="23" t="str" cm="1">
        <f t="array" ref="E168">IFERROR(_xlfn.IFS(AM168&gt;0,"MEET", AN168&gt;0,"MEET"),"No")</f>
        <v>MEET</v>
      </c>
      <c r="F168" s="100">
        <v>2021109</v>
      </c>
      <c r="G168" s="37">
        <v>0.82</v>
      </c>
      <c r="H168" s="37">
        <f t="shared" si="36"/>
        <v>0.81912878787878785</v>
      </c>
      <c r="I168" s="37">
        <f t="shared" si="37"/>
        <v>0.81912878787878785</v>
      </c>
      <c r="J168" s="183">
        <v>2021</v>
      </c>
      <c r="K168" s="182"/>
      <c r="L168" s="182"/>
      <c r="M168" s="37">
        <f t="shared" si="38"/>
        <v>0</v>
      </c>
      <c r="N168" s="21">
        <v>0</v>
      </c>
      <c r="O168" s="183" t="s">
        <v>4878</v>
      </c>
      <c r="P168" s="182">
        <v>103451101</v>
      </c>
      <c r="Q168" s="182" t="s">
        <v>2051</v>
      </c>
      <c r="R168" s="183" t="s">
        <v>2050</v>
      </c>
      <c r="S168" s="38">
        <f>IFERROR(VLOOKUP(R168,[47]conductor_pz_summary_hftd_23_re!$B$2:$Q$3636,8,FALSE),0)</f>
        <v>39</v>
      </c>
      <c r="T168" s="201">
        <f>IFERROR(VLOOKUP(R168,[48]conductor_pz_summary_hftd_23_re!$B$2:$H$3636,7,0),0)/1609</f>
        <v>7.4478152973437544</v>
      </c>
      <c r="U168" s="23">
        <f>IFERROR(VLOOKUP(R168,[47]conductor_pz_summary_hftd_23_re!$B$2:$Q$3636,14,FALSE),0)</f>
        <v>7</v>
      </c>
      <c r="V168" s="37">
        <f t="shared" si="28"/>
        <v>48.843389095197061</v>
      </c>
      <c r="W168" s="202">
        <f>IFERROR(VLOOKUP(R168,[47]conductor_pz_summary_hftd_23_re!$B$2:$Q$3636,13,FALSE),0)</f>
        <v>1.2523945921845401</v>
      </c>
      <c r="X168" s="73">
        <f>IFERROR(VLOOKUP(R168,conductor_pz_summary_hftd_23_re!$B$2:$N$3636,13,FALSE),0)</f>
        <v>233</v>
      </c>
      <c r="Y168" s="203">
        <f t="shared" si="29"/>
        <v>5.3181952375366768</v>
      </c>
      <c r="Z168" s="182"/>
      <c r="AA168" s="183" t="s">
        <v>4871</v>
      </c>
      <c r="AB168" s="183" t="s">
        <v>5298</v>
      </c>
      <c r="AC168" s="94" t="s">
        <v>5434</v>
      </c>
      <c r="AD168" s="182" t="s">
        <v>5431</v>
      </c>
      <c r="AE168" s="182" t="s">
        <v>5210</v>
      </c>
      <c r="AF168" s="182" t="s">
        <v>4875</v>
      </c>
      <c r="AG168" s="183">
        <v>5794204</v>
      </c>
      <c r="AH168" s="183" t="s">
        <v>6111</v>
      </c>
      <c r="AI168" s="183">
        <v>120445377</v>
      </c>
      <c r="AJ168" s="120">
        <v>35226628</v>
      </c>
      <c r="AK168" s="183" t="s">
        <v>6106</v>
      </c>
      <c r="AL168" s="205">
        <v>0</v>
      </c>
      <c r="AM168" s="205">
        <v>4325</v>
      </c>
      <c r="AN168" s="205">
        <v>0</v>
      </c>
      <c r="AO168" s="205">
        <v>0</v>
      </c>
      <c r="AP168" s="164" t="s">
        <v>5385</v>
      </c>
      <c r="AQ168" s="39" t="s">
        <v>5384</v>
      </c>
      <c r="AR168" s="183" t="s">
        <v>4883</v>
      </c>
      <c r="AS168" s="183" t="s">
        <v>4883</v>
      </c>
      <c r="AT168" s="92">
        <v>0</v>
      </c>
      <c r="AU168" s="39" t="s">
        <v>6331</v>
      </c>
      <c r="AV168" s="182"/>
      <c r="AW168" s="182"/>
      <c r="AX168" s="182"/>
      <c r="AY168" s="23"/>
      <c r="AZ168" s="40"/>
      <c r="BA168" s="41"/>
      <c r="BB168" s="187">
        <v>0</v>
      </c>
      <c r="BC168" s="44">
        <v>0</v>
      </c>
      <c r="BD168" s="191">
        <f t="shared" si="40"/>
        <v>0</v>
      </c>
      <c r="BE168" s="182"/>
      <c r="BF168" s="182"/>
      <c r="BG168" s="182"/>
      <c r="BH168" s="182"/>
      <c r="BI168" s="182"/>
      <c r="BJ168" s="182"/>
      <c r="BK168" s="182"/>
      <c r="BL168" s="182"/>
      <c r="BM168" s="182"/>
      <c r="BN168" s="182"/>
      <c r="BO168" s="182"/>
      <c r="BP168" s="182"/>
      <c r="BQ168" s="182"/>
      <c r="BR168" s="182"/>
      <c r="BS168" s="182"/>
      <c r="BT168" s="182"/>
    </row>
    <row r="169" spans="1:72" s="19" customFormat="1" ht="14.45" customHeight="1" x14ac:dyDescent="0.25">
      <c r="A169" s="218">
        <v>35226629</v>
      </c>
      <c r="B169" s="116" t="s">
        <v>5497</v>
      </c>
      <c r="C169" s="183">
        <v>13</v>
      </c>
      <c r="D169" s="23" t="str" cm="1">
        <f t="array" ref="D169">IFERROR(_xlfn.IFS(U169&lt;727,"MEET", AB169="FRRB","MEET", AB169="PSPS","MEET"),"No")</f>
        <v>MEET</v>
      </c>
      <c r="E169" s="23" t="str" cm="1">
        <f t="array" ref="E169">IFERROR(_xlfn.IFS(AM169&gt;0,"MEET", AN169&gt;0,"MEET"),"No")</f>
        <v>MEET</v>
      </c>
      <c r="F169" s="100">
        <v>2021110</v>
      </c>
      <c r="G169" s="37">
        <v>4.5</v>
      </c>
      <c r="H169" s="37">
        <f t="shared" si="36"/>
        <v>4.697159090909091</v>
      </c>
      <c r="I169" s="37">
        <f t="shared" si="37"/>
        <v>4.697159090909091</v>
      </c>
      <c r="J169" s="183">
        <v>2021</v>
      </c>
      <c r="K169" s="182"/>
      <c r="L169" s="182"/>
      <c r="M169" s="37">
        <f t="shared" si="38"/>
        <v>0</v>
      </c>
      <c r="N169" s="21">
        <v>0</v>
      </c>
      <c r="O169" s="183" t="s">
        <v>4878</v>
      </c>
      <c r="P169" s="182">
        <v>103451101</v>
      </c>
      <c r="Q169" s="182" t="s">
        <v>2051</v>
      </c>
      <c r="R169" s="183" t="s">
        <v>2050</v>
      </c>
      <c r="S169" s="38">
        <f>IFERROR(VLOOKUP(R169,[47]conductor_pz_summary_hftd_23_re!$B$2:$Q$3636,8,FALSE),0)</f>
        <v>39</v>
      </c>
      <c r="T169" s="201">
        <f>IFERROR(VLOOKUP(R169,[48]conductor_pz_summary_hftd_23_re!$B$2:$H$3636,7,0),0)/1609</f>
        <v>7.4478152973437544</v>
      </c>
      <c r="U169" s="23">
        <f>IFERROR(VLOOKUP(R169,[47]conductor_pz_summary_hftd_23_re!$B$2:$Q$3636,14,FALSE),0)</f>
        <v>7</v>
      </c>
      <c r="V169" s="37">
        <f t="shared" si="28"/>
        <v>48.843389095197061</v>
      </c>
      <c r="W169" s="202">
        <f>IFERROR(VLOOKUP(R169,[47]conductor_pz_summary_hftd_23_re!$B$2:$Q$3636,13,FALSE),0)</f>
        <v>1.2523945921845401</v>
      </c>
      <c r="X169" s="73">
        <f>IFERROR(VLOOKUP(R169,conductor_pz_summary_hftd_23_re!$B$2:$N$3636,13,FALSE),0)</f>
        <v>233</v>
      </c>
      <c r="Y169" s="203">
        <f t="shared" si="29"/>
        <v>30.49631447078546</v>
      </c>
      <c r="Z169" s="182"/>
      <c r="AA169" s="183" t="s">
        <v>4871</v>
      </c>
      <c r="AB169" s="183" t="s">
        <v>5298</v>
      </c>
      <c r="AC169" s="94" t="s">
        <v>5434</v>
      </c>
      <c r="AD169" s="182" t="s">
        <v>5431</v>
      </c>
      <c r="AE169" s="182" t="s">
        <v>5210</v>
      </c>
      <c r="AF169" s="182" t="s">
        <v>4875</v>
      </c>
      <c r="AG169" s="183">
        <v>5794204</v>
      </c>
      <c r="AH169" s="183" t="s">
        <v>6112</v>
      </c>
      <c r="AI169" s="183">
        <v>120445378</v>
      </c>
      <c r="AJ169" s="120">
        <v>35226629</v>
      </c>
      <c r="AK169" s="183" t="s">
        <v>6107</v>
      </c>
      <c r="AL169" s="205">
        <v>0</v>
      </c>
      <c r="AM169" s="205">
        <v>24801</v>
      </c>
      <c r="AN169" s="205">
        <v>0</v>
      </c>
      <c r="AO169" s="205">
        <v>0</v>
      </c>
      <c r="AP169" s="164" t="s">
        <v>5385</v>
      </c>
      <c r="AQ169" s="39" t="s">
        <v>5384</v>
      </c>
      <c r="AR169" s="183" t="s">
        <v>4883</v>
      </c>
      <c r="AS169" s="183" t="s">
        <v>4883</v>
      </c>
      <c r="AT169" s="92">
        <v>0</v>
      </c>
      <c r="AU169" s="39" t="s">
        <v>6331</v>
      </c>
      <c r="AV169" s="182"/>
      <c r="AW169" s="182"/>
      <c r="AX169" s="182"/>
      <c r="AY169" s="23"/>
      <c r="AZ169" s="40"/>
      <c r="BA169" s="41"/>
      <c r="BB169" s="187">
        <v>0</v>
      </c>
      <c r="BC169" s="44">
        <v>0</v>
      </c>
      <c r="BD169" s="191">
        <f t="shared" si="40"/>
        <v>0</v>
      </c>
      <c r="BE169" s="182"/>
      <c r="BF169" s="182"/>
      <c r="BG169" s="182"/>
      <c r="BH169" s="182"/>
      <c r="BI169" s="182"/>
      <c r="BJ169" s="182"/>
      <c r="BK169" s="182"/>
      <c r="BL169" s="182"/>
      <c r="BM169" s="182"/>
      <c r="BN169" s="182"/>
      <c r="BO169" s="182"/>
      <c r="BP169" s="182"/>
      <c r="BQ169" s="182"/>
      <c r="BR169" s="182"/>
      <c r="BS169" s="182"/>
      <c r="BT169" s="182"/>
    </row>
    <row r="170" spans="1:72" s="19" customFormat="1" x14ac:dyDescent="0.25">
      <c r="A170" s="218">
        <v>35226630</v>
      </c>
      <c r="B170" s="116" t="s">
        <v>5497</v>
      </c>
      <c r="C170" s="183">
        <v>13</v>
      </c>
      <c r="D170" s="23" t="str" cm="1">
        <f t="array" ref="D170">IFERROR(_xlfn.IFS(U170&lt;727,"MEET", AB170="FRRB","MEET", AB170="PSPS","MEET"),"No")</f>
        <v>MEET</v>
      </c>
      <c r="E170" s="23" t="str" cm="1">
        <f t="array" ref="E170">IFERROR(_xlfn.IFS(AM170&gt;0,"MEET", AN170&gt;0,"MEET"),"No")</f>
        <v>No</v>
      </c>
      <c r="F170" s="100">
        <v>2021111</v>
      </c>
      <c r="G170" s="37">
        <v>1.44</v>
      </c>
      <c r="H170" s="37">
        <f t="shared" si="36"/>
        <v>1.406060606060606</v>
      </c>
      <c r="I170" s="37">
        <f t="shared" si="37"/>
        <v>1.406060606060606</v>
      </c>
      <c r="J170" s="183">
        <v>2021</v>
      </c>
      <c r="K170" s="182"/>
      <c r="L170" s="182"/>
      <c r="M170" s="37">
        <f t="shared" si="38"/>
        <v>0</v>
      </c>
      <c r="N170" s="21">
        <v>0</v>
      </c>
      <c r="O170" s="183" t="s">
        <v>4878</v>
      </c>
      <c r="P170" s="182">
        <v>103451101</v>
      </c>
      <c r="Q170" s="182" t="s">
        <v>2051</v>
      </c>
      <c r="R170" s="183" t="s">
        <v>2050</v>
      </c>
      <c r="S170" s="38">
        <f>IFERROR(VLOOKUP(R170,[47]conductor_pz_summary_hftd_23_re!$B$2:$Q$3636,8,FALSE),0)</f>
        <v>39</v>
      </c>
      <c r="T170" s="201">
        <f>IFERROR(VLOOKUP(R170,[48]conductor_pz_summary_hftd_23_re!$B$2:$H$3636,7,0),0)/1609</f>
        <v>7.4478152973437544</v>
      </c>
      <c r="U170" s="23">
        <f>IFERROR(VLOOKUP(R170,[47]conductor_pz_summary_hftd_23_re!$B$2:$Q$3636,14,FALSE),0)</f>
        <v>7</v>
      </c>
      <c r="V170" s="37">
        <f t="shared" si="28"/>
        <v>48.843389095197061</v>
      </c>
      <c r="W170" s="202">
        <f>IFERROR(VLOOKUP(R170,[47]conductor_pz_summary_hftd_23_re!$B$2:$Q$3636,13,FALSE),0)</f>
        <v>1.2523945921845401</v>
      </c>
      <c r="X170" s="73">
        <f>IFERROR(VLOOKUP(R170,conductor_pz_summary_hftd_23_re!$B$2:$N$3636,13,FALSE),0)</f>
        <v>233</v>
      </c>
      <c r="Y170" s="203">
        <f t="shared" si="29"/>
        <v>5.7170583277755167</v>
      </c>
      <c r="Z170" s="182"/>
      <c r="AA170" s="183" t="s">
        <v>4871</v>
      </c>
      <c r="AB170" s="183" t="s">
        <v>5298</v>
      </c>
      <c r="AC170" s="94" t="s">
        <v>5434</v>
      </c>
      <c r="AD170" s="182" t="s">
        <v>5431</v>
      </c>
      <c r="AE170" s="182" t="s">
        <v>5210</v>
      </c>
      <c r="AF170" s="182" t="s">
        <v>4875</v>
      </c>
      <c r="AG170" s="183">
        <v>5794204</v>
      </c>
      <c r="AH170" s="183" t="s">
        <v>6113</v>
      </c>
      <c r="AI170" s="183">
        <v>120445421</v>
      </c>
      <c r="AJ170" s="120">
        <v>35226630</v>
      </c>
      <c r="AK170" s="183" t="s">
        <v>6108</v>
      </c>
      <c r="AL170" s="205">
        <v>7424</v>
      </c>
      <c r="AM170" s="205">
        <v>0</v>
      </c>
      <c r="AN170" s="205">
        <v>0</v>
      </c>
      <c r="AO170" s="205">
        <v>0</v>
      </c>
      <c r="AP170" s="164" t="s">
        <v>5385</v>
      </c>
      <c r="AQ170" s="39" t="s">
        <v>5384</v>
      </c>
      <c r="AR170" s="183" t="s">
        <v>4883</v>
      </c>
      <c r="AS170" s="183" t="s">
        <v>4883</v>
      </c>
      <c r="AT170" s="92">
        <v>0</v>
      </c>
      <c r="AU170" s="39" t="s">
        <v>6331</v>
      </c>
      <c r="AV170" s="182"/>
      <c r="AW170" s="182"/>
      <c r="AX170" s="182"/>
      <c r="AY170" s="23"/>
      <c r="AZ170" s="40"/>
      <c r="BA170" s="41"/>
      <c r="BB170" s="187">
        <v>0</v>
      </c>
      <c r="BC170" s="44">
        <v>0</v>
      </c>
      <c r="BD170" s="191">
        <f t="shared" si="40"/>
        <v>0</v>
      </c>
      <c r="BE170" s="182"/>
      <c r="BF170" s="182"/>
      <c r="BG170" s="182"/>
      <c r="BH170" s="182"/>
      <c r="BI170" s="182"/>
      <c r="BJ170" s="182"/>
      <c r="BK170" s="182"/>
      <c r="BL170" s="182"/>
      <c r="BM170" s="182"/>
      <c r="BN170" s="182"/>
      <c r="BO170" s="182"/>
      <c r="BP170" s="182"/>
      <c r="BQ170" s="182"/>
      <c r="BR170" s="182"/>
      <c r="BS170" s="182"/>
      <c r="BT170" s="182"/>
    </row>
    <row r="171" spans="1:72" s="19" customFormat="1" x14ac:dyDescent="0.25">
      <c r="A171" s="218">
        <v>35226631</v>
      </c>
      <c r="B171" s="116" t="s">
        <v>5497</v>
      </c>
      <c r="C171" s="183">
        <v>13</v>
      </c>
      <c r="D171" s="23" t="str" cm="1">
        <f t="array" ref="D171">IFERROR(_xlfn.IFS(U171&lt;727,"MEET", AB171="FRRB","MEET", AB171="PSPS","MEET"),"No")</f>
        <v>MEET</v>
      </c>
      <c r="E171" s="23" t="str" cm="1">
        <f t="array" ref="E171">IFERROR(_xlfn.IFS(AM171&gt;0,"MEET", AN171&gt;0,"MEET"),"No")</f>
        <v>No</v>
      </c>
      <c r="F171" s="100">
        <v>2021112</v>
      </c>
      <c r="G171" s="37">
        <v>1.54</v>
      </c>
      <c r="H171" s="37">
        <f t="shared" si="36"/>
        <v>1.5325757575757575</v>
      </c>
      <c r="I171" s="37">
        <f t="shared" si="37"/>
        <v>1.5325757575757575</v>
      </c>
      <c r="J171" s="183">
        <v>2021</v>
      </c>
      <c r="K171" s="182"/>
      <c r="L171" s="182"/>
      <c r="M171" s="37">
        <f t="shared" si="38"/>
        <v>0</v>
      </c>
      <c r="N171" s="21">
        <v>0</v>
      </c>
      <c r="O171" s="183" t="s">
        <v>4878</v>
      </c>
      <c r="P171" s="182">
        <v>103451101</v>
      </c>
      <c r="Q171" s="182" t="s">
        <v>2051</v>
      </c>
      <c r="R171" s="183" t="s">
        <v>2050</v>
      </c>
      <c r="S171" s="38">
        <f>IFERROR(VLOOKUP(R171,[47]conductor_pz_summary_hftd_23_re!$B$2:$Q$3636,8,FALSE),0)</f>
        <v>39</v>
      </c>
      <c r="T171" s="201">
        <f>IFERROR(VLOOKUP(R171,[48]conductor_pz_summary_hftd_23_re!$B$2:$H$3636,7,0),0)/1609</f>
        <v>7.4478152973437544</v>
      </c>
      <c r="U171" s="23">
        <f>IFERROR(VLOOKUP(R171,[47]conductor_pz_summary_hftd_23_re!$B$2:$Q$3636,14,FALSE),0)</f>
        <v>7</v>
      </c>
      <c r="V171" s="37">
        <f t="shared" si="28"/>
        <v>48.843389095197061</v>
      </c>
      <c r="W171" s="202">
        <f>IFERROR(VLOOKUP(R171,[47]conductor_pz_summary_hftd_23_re!$B$2:$Q$3636,13,FALSE),0)</f>
        <v>1.2523945921845401</v>
      </c>
      <c r="X171" s="73">
        <f>IFERROR(VLOOKUP(R171,conductor_pz_summary_hftd_23_re!$B$2:$N$3636,13,FALSE),0)</f>
        <v>233</v>
      </c>
      <c r="Y171" s="203">
        <f t="shared" si="29"/>
        <v>6.2314703648113525</v>
      </c>
      <c r="Z171" s="182"/>
      <c r="AA171" s="183" t="s">
        <v>4871</v>
      </c>
      <c r="AB171" s="183" t="s">
        <v>5298</v>
      </c>
      <c r="AC171" s="94" t="s">
        <v>5434</v>
      </c>
      <c r="AD171" s="182" t="s">
        <v>5431</v>
      </c>
      <c r="AE171" s="182" t="s">
        <v>5210</v>
      </c>
      <c r="AF171" s="182" t="s">
        <v>4875</v>
      </c>
      <c r="AG171" s="183">
        <v>5794204</v>
      </c>
      <c r="AH171" s="183" t="s">
        <v>6114</v>
      </c>
      <c r="AI171" s="183">
        <v>120445423</v>
      </c>
      <c r="AJ171" s="120">
        <v>35226631</v>
      </c>
      <c r="AK171" s="183" t="s">
        <v>6109</v>
      </c>
      <c r="AL171" s="205">
        <v>8092</v>
      </c>
      <c r="AM171" s="205">
        <v>0</v>
      </c>
      <c r="AN171" s="205">
        <v>0</v>
      </c>
      <c r="AO171" s="205">
        <v>0</v>
      </c>
      <c r="AP171" s="164" t="s">
        <v>5385</v>
      </c>
      <c r="AQ171" s="39" t="s">
        <v>5384</v>
      </c>
      <c r="AR171" s="183" t="s">
        <v>4883</v>
      </c>
      <c r="AS171" s="183" t="s">
        <v>4883</v>
      </c>
      <c r="AT171" s="92">
        <v>0</v>
      </c>
      <c r="AU171" s="39" t="s">
        <v>6331</v>
      </c>
      <c r="AV171" s="182"/>
      <c r="AW171" s="182"/>
      <c r="AX171" s="182"/>
      <c r="AY171" s="23"/>
      <c r="AZ171" s="40"/>
      <c r="BA171" s="41"/>
      <c r="BB171" s="187">
        <v>0</v>
      </c>
      <c r="BC171" s="44">
        <v>0</v>
      </c>
      <c r="BD171" s="191">
        <f t="shared" si="40"/>
        <v>0</v>
      </c>
      <c r="BE171" s="182"/>
      <c r="BF171" s="182"/>
      <c r="BG171" s="182"/>
      <c r="BH171" s="182"/>
      <c r="BI171" s="182"/>
      <c r="BJ171" s="182"/>
      <c r="BK171" s="182"/>
      <c r="BL171" s="182"/>
      <c r="BM171" s="182"/>
      <c r="BN171" s="182"/>
      <c r="BO171" s="182"/>
      <c r="BP171" s="182"/>
      <c r="BQ171" s="182"/>
      <c r="BR171" s="182"/>
      <c r="BS171" s="182"/>
      <c r="BT171" s="182"/>
    </row>
    <row r="172" spans="1:72" s="19" customFormat="1" x14ac:dyDescent="0.25">
      <c r="A172" s="218">
        <v>35217269</v>
      </c>
      <c r="B172" s="116" t="s">
        <v>5497</v>
      </c>
      <c r="C172" s="183">
        <v>13</v>
      </c>
      <c r="D172" s="23" t="str" cm="1">
        <f t="array" ref="D172">IFERROR(_xlfn.IFS(U172&lt;727,"MEET", AB172="FRRB","MEET", AB172="PSPS","MEET"),"No")</f>
        <v>MEET</v>
      </c>
      <c r="E172" s="23" t="str" cm="1">
        <f t="array" ref="E172">IFERROR(_xlfn.IFS(AM172&gt;0,"MEET", AN172&gt;0,"MEET"),"No")</f>
        <v>MEET</v>
      </c>
      <c r="F172" s="100">
        <v>2021113</v>
      </c>
      <c r="G172" s="37">
        <f t="shared" ref="G172:G178" si="41">T172*H172/SUM($H$171:$H$177)</f>
        <v>0.31514700632632181</v>
      </c>
      <c r="H172" s="37">
        <f t="shared" si="36"/>
        <v>0.52083333333333337</v>
      </c>
      <c r="I172" s="37">
        <f t="shared" si="37"/>
        <v>0.52083333333333337</v>
      </c>
      <c r="J172" s="183">
        <v>2021</v>
      </c>
      <c r="K172" s="182"/>
      <c r="L172" s="182"/>
      <c r="M172" s="37">
        <f t="shared" si="38"/>
        <v>0</v>
      </c>
      <c r="N172" s="21">
        <v>15574.94</v>
      </c>
      <c r="O172" s="183" t="s">
        <v>4878</v>
      </c>
      <c r="P172" s="182">
        <v>43141102</v>
      </c>
      <c r="Q172" s="182" t="s">
        <v>2425</v>
      </c>
      <c r="R172" s="183" t="s">
        <v>2426</v>
      </c>
      <c r="S172" s="38">
        <f>IFERROR(VLOOKUP(R172,[47]conductor_pz_summary_hftd_23_re!$B$2:$Q$3636,8,FALSE),0)</f>
        <v>53</v>
      </c>
      <c r="T172" s="201">
        <f>IFERROR(VLOOKUP(R172,[48]conductor_pz_summary_hftd_23_re!$B$2:$H$3636,7,0),0)/1609</f>
        <v>4.7057750984646365</v>
      </c>
      <c r="U172" s="23">
        <f>IFERROR(VLOOKUP(R172,[47]conductor_pz_summary_hftd_23_re!$B$2:$Q$3636,14,FALSE),0)</f>
        <v>8</v>
      </c>
      <c r="V172" s="37">
        <f t="shared" si="28"/>
        <v>48.564977773158759</v>
      </c>
      <c r="W172" s="202">
        <f>IFERROR(VLOOKUP(R172,[47]conductor_pz_summary_hftd_23_re!$B$2:$Q$3636,13,FALSE),0)</f>
        <v>0.91632033534261803</v>
      </c>
      <c r="X172" s="73">
        <f>IFERROR(VLOOKUP(R172,conductor_pz_summary_hftd_23_re!$B$2:$N$3636,13,FALSE),0)</f>
        <v>121</v>
      </c>
      <c r="Y172" s="203">
        <f t="shared" si="29"/>
        <v>4.8657835938696383</v>
      </c>
      <c r="Z172" s="182"/>
      <c r="AA172" s="183" t="s">
        <v>4903</v>
      </c>
      <c r="AB172" s="183" t="s">
        <v>5298</v>
      </c>
      <c r="AC172" s="94" t="s">
        <v>4872</v>
      </c>
      <c r="AD172" s="182" t="s">
        <v>4873</v>
      </c>
      <c r="AE172" s="182" t="s">
        <v>4874</v>
      </c>
      <c r="AF172" s="182" t="s">
        <v>4875</v>
      </c>
      <c r="AG172" s="183">
        <v>5794207</v>
      </c>
      <c r="AH172" s="183" t="s">
        <v>5289</v>
      </c>
      <c r="AI172" s="183">
        <v>120048011</v>
      </c>
      <c r="AJ172" s="120">
        <v>35217269</v>
      </c>
      <c r="AK172" s="183" t="s">
        <v>6209</v>
      </c>
      <c r="AL172" s="205">
        <v>630</v>
      </c>
      <c r="AM172" s="205">
        <v>2120</v>
      </c>
      <c r="AN172" s="205">
        <v>0</v>
      </c>
      <c r="AO172" s="205">
        <v>0</v>
      </c>
      <c r="AP172" s="48" t="s">
        <v>5381</v>
      </c>
      <c r="AQ172" s="39" t="s">
        <v>5380</v>
      </c>
      <c r="AR172" s="183">
        <f>AS172*5280</f>
        <v>26294.400000000001</v>
      </c>
      <c r="AS172" s="183">
        <v>4.9800000000000004</v>
      </c>
      <c r="AT172" s="92">
        <v>6542572</v>
      </c>
      <c r="AU172" s="39" t="s">
        <v>6452</v>
      </c>
      <c r="AV172" s="182"/>
      <c r="AW172" s="182">
        <f>1.75*5280</f>
        <v>9240</v>
      </c>
      <c r="AX172" s="182">
        <f>3.23*5280</f>
        <v>17054.400000000001</v>
      </c>
      <c r="AY172" s="23">
        <f>SUM(AV172:AX172)</f>
        <v>26294.400000000001</v>
      </c>
      <c r="AZ172" s="40">
        <f>AY172/5280</f>
        <v>4.9800000000000004</v>
      </c>
      <c r="BA172" s="41"/>
      <c r="BB172" s="187">
        <v>39.700000000000003</v>
      </c>
      <c r="BC172" s="44">
        <v>22200</v>
      </c>
      <c r="BD172" s="191">
        <f t="shared" si="40"/>
        <v>559.19395465994955</v>
      </c>
      <c r="BE172" s="182"/>
      <c r="BF172" s="182"/>
      <c r="BG172" s="182"/>
      <c r="BH172" s="182"/>
      <c r="BI172" s="182"/>
      <c r="BJ172" s="182"/>
      <c r="BK172" s="182"/>
      <c r="BL172" s="182"/>
      <c r="BM172" s="182"/>
      <c r="BN172" s="182"/>
      <c r="BO172" s="182"/>
      <c r="BP172" s="182"/>
      <c r="BQ172" s="182"/>
      <c r="BR172" s="182"/>
      <c r="BS172" s="182"/>
      <c r="BT172" s="182"/>
    </row>
    <row r="173" spans="1:72" s="19" customFormat="1" x14ac:dyDescent="0.25">
      <c r="A173" s="218">
        <v>35226819</v>
      </c>
      <c r="B173" s="116" t="s">
        <v>5497</v>
      </c>
      <c r="C173" s="183">
        <v>13</v>
      </c>
      <c r="D173" s="23" t="str" cm="1">
        <f t="array" ref="D173">IFERROR(_xlfn.IFS(U173&lt;727,"MEET", AB173="FRRB","MEET", AB173="PSPS","MEET"),"No")</f>
        <v>MEET</v>
      </c>
      <c r="E173" s="23" t="str" cm="1">
        <f t="array" ref="E173">IFERROR(_xlfn.IFS(AM173&gt;0,"MEET", AN173&gt;0,"MEET"),"No")</f>
        <v>No</v>
      </c>
      <c r="F173" s="100">
        <v>2021114</v>
      </c>
      <c r="G173" s="37">
        <f t="shared" si="41"/>
        <v>0.79932740695494342</v>
      </c>
      <c r="H173" s="37">
        <f t="shared" si="36"/>
        <v>1.3210227272727273</v>
      </c>
      <c r="I173" s="37">
        <f t="shared" si="37"/>
        <v>1.3210227272727273</v>
      </c>
      <c r="J173" s="183">
        <v>2021</v>
      </c>
      <c r="K173" s="182"/>
      <c r="L173" s="182"/>
      <c r="M173" s="37">
        <f t="shared" si="38"/>
        <v>0</v>
      </c>
      <c r="N173" s="21">
        <v>0</v>
      </c>
      <c r="O173" s="183" t="s">
        <v>4878</v>
      </c>
      <c r="P173" s="182">
        <v>43141102</v>
      </c>
      <c r="Q173" s="182" t="s">
        <v>2425</v>
      </c>
      <c r="R173" s="183" t="s">
        <v>2426</v>
      </c>
      <c r="S173" s="38">
        <f>IFERROR(VLOOKUP(R173,[47]conductor_pz_summary_hftd_23_re!$B$2:$Q$3636,8,FALSE),0)</f>
        <v>53</v>
      </c>
      <c r="T173" s="201">
        <f>IFERROR(VLOOKUP(R173,[48]conductor_pz_summary_hftd_23_re!$B$2:$H$3636,7,0),0)/1609</f>
        <v>4.7057750984646365</v>
      </c>
      <c r="U173" s="23">
        <f>IFERROR(VLOOKUP(R173,[47]conductor_pz_summary_hftd_23_re!$B$2:$Q$3636,14,FALSE),0)</f>
        <v>8</v>
      </c>
      <c r="V173" s="37">
        <f t="shared" si="28"/>
        <v>48.564977773158759</v>
      </c>
      <c r="W173" s="202">
        <f>IFERROR(VLOOKUP(R173,[47]conductor_pz_summary_hftd_23_re!$B$2:$Q$3636,13,FALSE),0)</f>
        <v>0.91632033534261803</v>
      </c>
      <c r="X173" s="73">
        <f>IFERROR(VLOOKUP(R173,conductor_pz_summary_hftd_23_re!$B$2:$N$3636,13,FALSE),0)</f>
        <v>121</v>
      </c>
      <c r="Y173" s="203">
        <f t="shared" si="29"/>
        <v>8.4526717890613199</v>
      </c>
      <c r="Z173" s="182"/>
      <c r="AA173" s="183" t="s">
        <v>4903</v>
      </c>
      <c r="AB173" s="183" t="s">
        <v>5298</v>
      </c>
      <c r="AC173" s="94" t="s">
        <v>4872</v>
      </c>
      <c r="AD173" s="182" t="s">
        <v>4873</v>
      </c>
      <c r="AE173" s="182" t="s">
        <v>4874</v>
      </c>
      <c r="AF173" s="182" t="s">
        <v>4875</v>
      </c>
      <c r="AG173" s="183">
        <v>5794207</v>
      </c>
      <c r="AH173" s="183" t="s">
        <v>6216</v>
      </c>
      <c r="AI173" s="183">
        <v>120456652</v>
      </c>
      <c r="AJ173" s="120">
        <v>35226819</v>
      </c>
      <c r="AK173" s="183" t="s">
        <v>6210</v>
      </c>
      <c r="AL173" s="205">
        <v>6975</v>
      </c>
      <c r="AM173" s="205">
        <v>0</v>
      </c>
      <c r="AN173" s="205">
        <v>0</v>
      </c>
      <c r="AO173" s="205">
        <v>0</v>
      </c>
      <c r="AP173" s="48"/>
      <c r="AQ173" s="39" t="s">
        <v>5380</v>
      </c>
      <c r="AR173" s="183"/>
      <c r="AS173" s="183"/>
      <c r="AT173" s="92"/>
      <c r="AU173" s="39" t="s">
        <v>6452</v>
      </c>
      <c r="AV173" s="182"/>
      <c r="AW173" s="182"/>
      <c r="AX173" s="182"/>
      <c r="AY173" s="23"/>
      <c r="AZ173" s="40"/>
      <c r="BA173" s="41"/>
      <c r="BB173" s="187">
        <v>0</v>
      </c>
      <c r="BC173" s="44">
        <v>0</v>
      </c>
      <c r="BD173" s="191">
        <f t="shared" si="40"/>
        <v>0</v>
      </c>
      <c r="BE173" s="182"/>
      <c r="BF173" s="182"/>
      <c r="BG173" s="182"/>
      <c r="BH173" s="182"/>
      <c r="BI173" s="182"/>
      <c r="BJ173" s="182"/>
      <c r="BK173" s="182"/>
      <c r="BL173" s="182"/>
      <c r="BM173" s="182"/>
      <c r="BN173" s="182"/>
      <c r="BO173" s="182"/>
      <c r="BP173" s="182"/>
      <c r="BQ173" s="182"/>
      <c r="BR173" s="182"/>
      <c r="BS173" s="182"/>
      <c r="BT173" s="182"/>
    </row>
    <row r="174" spans="1:72" s="19" customFormat="1" x14ac:dyDescent="0.25">
      <c r="A174" s="218">
        <v>35227160</v>
      </c>
      <c r="B174" s="116" t="s">
        <v>5497</v>
      </c>
      <c r="C174" s="183">
        <v>13</v>
      </c>
      <c r="D174" s="23" t="str" cm="1">
        <f t="array" ref="D174">IFERROR(_xlfn.IFS(U174&lt;727,"MEET", AB174="FRRB","MEET", AB174="PSPS","MEET"),"No")</f>
        <v>MEET</v>
      </c>
      <c r="E174" s="23" t="str" cm="1">
        <f t="array" ref="E174">IFERROR(_xlfn.IFS(AM174&gt;0,"MEET", AN174&gt;0,"MEET"),"No")</f>
        <v>MEET</v>
      </c>
      <c r="F174" s="100">
        <v>2021115</v>
      </c>
      <c r="G174" s="37">
        <f t="shared" si="41"/>
        <v>1.7202442588961513</v>
      </c>
      <c r="H174" s="37">
        <f t="shared" si="36"/>
        <v>2.842992424242424</v>
      </c>
      <c r="I174" s="37">
        <f t="shared" si="37"/>
        <v>2.842992424242424</v>
      </c>
      <c r="J174" s="183">
        <v>2021</v>
      </c>
      <c r="K174" s="182"/>
      <c r="L174" s="182"/>
      <c r="M174" s="37">
        <f t="shared" si="38"/>
        <v>0</v>
      </c>
      <c r="N174" s="21">
        <v>0</v>
      </c>
      <c r="O174" s="183" t="s">
        <v>4878</v>
      </c>
      <c r="P174" s="182">
        <v>43141102</v>
      </c>
      <c r="Q174" s="182" t="s">
        <v>2425</v>
      </c>
      <c r="R174" s="183" t="s">
        <v>2426</v>
      </c>
      <c r="S174" s="38">
        <f>IFERROR(VLOOKUP(R174,[47]conductor_pz_summary_hftd_23_re!$B$2:$Q$3636,8,FALSE),0)</f>
        <v>53</v>
      </c>
      <c r="T174" s="201">
        <f>IFERROR(VLOOKUP(R174,[48]conductor_pz_summary_hftd_23_re!$B$2:$H$3636,7,0),0)/1609</f>
        <v>4.7057750984646365</v>
      </c>
      <c r="U174" s="23">
        <f>IFERROR(VLOOKUP(R174,[47]conductor_pz_summary_hftd_23_re!$B$2:$Q$3636,14,FALSE),0)</f>
        <v>8</v>
      </c>
      <c r="V174" s="37">
        <f t="shared" si="28"/>
        <v>48.564977773158759</v>
      </c>
      <c r="W174" s="202">
        <f>IFERROR(VLOOKUP(R174,[47]conductor_pz_summary_hftd_23_re!$B$2:$Q$3636,13,FALSE),0)</f>
        <v>0.91632033534261803</v>
      </c>
      <c r="X174" s="73">
        <f>IFERROR(VLOOKUP(R174,conductor_pz_summary_hftd_23_re!$B$2:$N$3636,13,FALSE),0)</f>
        <v>121</v>
      </c>
      <c r="Y174" s="203">
        <f t="shared" si="29"/>
        <v>28.919826032244149</v>
      </c>
      <c r="Z174" s="182"/>
      <c r="AA174" s="183" t="s">
        <v>4903</v>
      </c>
      <c r="AB174" s="183" t="s">
        <v>5298</v>
      </c>
      <c r="AC174" s="94" t="s">
        <v>4872</v>
      </c>
      <c r="AD174" s="182" t="s">
        <v>4873</v>
      </c>
      <c r="AE174" s="182" t="s">
        <v>4874</v>
      </c>
      <c r="AF174" s="182" t="s">
        <v>4875</v>
      </c>
      <c r="AG174" s="183">
        <v>5794207</v>
      </c>
      <c r="AH174" s="183" t="s">
        <v>6217</v>
      </c>
      <c r="AI174" s="183">
        <v>120456653</v>
      </c>
      <c r="AJ174" s="120">
        <v>35227160</v>
      </c>
      <c r="AK174" s="183" t="s">
        <v>6211</v>
      </c>
      <c r="AL174" s="205">
        <v>176</v>
      </c>
      <c r="AM174" s="205">
        <v>14835</v>
      </c>
      <c r="AN174" s="205">
        <v>0</v>
      </c>
      <c r="AO174" s="205">
        <v>0</v>
      </c>
      <c r="AP174" s="48"/>
      <c r="AQ174" s="39" t="s">
        <v>5380</v>
      </c>
      <c r="AR174" s="183"/>
      <c r="AS174" s="183"/>
      <c r="AT174" s="92"/>
      <c r="AU174" s="39" t="s">
        <v>6452</v>
      </c>
      <c r="AV174" s="182"/>
      <c r="AW174" s="182"/>
      <c r="AX174" s="182"/>
      <c r="AY174" s="23"/>
      <c r="AZ174" s="40"/>
      <c r="BA174" s="41"/>
      <c r="BB174" s="187">
        <v>0</v>
      </c>
      <c r="BC174" s="44">
        <v>0</v>
      </c>
      <c r="BD174" s="191">
        <f t="shared" si="40"/>
        <v>0</v>
      </c>
      <c r="BE174" s="182"/>
      <c r="BF174" s="182"/>
      <c r="BG174" s="182"/>
      <c r="BH174" s="182"/>
      <c r="BI174" s="182"/>
      <c r="BJ174" s="182"/>
      <c r="BK174" s="182"/>
      <c r="BL174" s="182"/>
      <c r="BM174" s="182"/>
      <c r="BN174" s="182"/>
      <c r="BO174" s="182"/>
      <c r="BP174" s="182"/>
      <c r="BQ174" s="182"/>
      <c r="BR174" s="182"/>
      <c r="BS174" s="182"/>
      <c r="BT174" s="182"/>
    </row>
    <row r="175" spans="1:72" s="19" customFormat="1" x14ac:dyDescent="0.25">
      <c r="A175" s="218">
        <v>35227161</v>
      </c>
      <c r="B175" s="116" t="s">
        <v>5497</v>
      </c>
      <c r="C175" s="183">
        <v>13</v>
      </c>
      <c r="D175" s="23" t="str" cm="1">
        <f t="array" ref="D175">IFERROR(_xlfn.IFS(U175&lt;727,"MEET", AB175="FRRB","MEET", AB175="PSPS","MEET"),"No")</f>
        <v>MEET</v>
      </c>
      <c r="E175" s="23" t="str" cm="1">
        <f t="array" ref="E175">IFERROR(_xlfn.IFS(AM175&gt;0,"MEET", AN175&gt;0,"MEET"),"No")</f>
        <v>No</v>
      </c>
      <c r="F175" s="100">
        <v>2021116</v>
      </c>
      <c r="G175" s="37">
        <f t="shared" si="41"/>
        <v>0.44212260014798166</v>
      </c>
      <c r="H175" s="37">
        <f t="shared" si="36"/>
        <v>0.73068181818181821</v>
      </c>
      <c r="I175" s="37">
        <f t="shared" si="37"/>
        <v>0.73068181818181821</v>
      </c>
      <c r="J175" s="183">
        <v>2021</v>
      </c>
      <c r="K175" s="182"/>
      <c r="L175" s="182"/>
      <c r="M175" s="37">
        <f t="shared" si="38"/>
        <v>0</v>
      </c>
      <c r="N175" s="21">
        <v>0</v>
      </c>
      <c r="O175" s="183" t="s">
        <v>4878</v>
      </c>
      <c r="P175" s="182">
        <v>43141102</v>
      </c>
      <c r="Q175" s="182" t="s">
        <v>2425</v>
      </c>
      <c r="R175" s="183" t="s">
        <v>2426</v>
      </c>
      <c r="S175" s="38">
        <f>IFERROR(VLOOKUP(R175,[47]conductor_pz_summary_hftd_23_re!$B$2:$Q$3636,8,FALSE),0)</f>
        <v>53</v>
      </c>
      <c r="T175" s="201">
        <f>IFERROR(VLOOKUP(R175,[48]conductor_pz_summary_hftd_23_re!$B$2:$H$3636,7,0),0)/1609</f>
        <v>4.7057750984646365</v>
      </c>
      <c r="U175" s="23">
        <f>IFERROR(VLOOKUP(R175,[47]conductor_pz_summary_hftd_23_re!$B$2:$Q$3636,14,FALSE),0)</f>
        <v>8</v>
      </c>
      <c r="V175" s="37">
        <f t="shared" si="28"/>
        <v>48.564977773158759</v>
      </c>
      <c r="W175" s="202">
        <f>IFERROR(VLOOKUP(R175,[47]conductor_pz_summary_hftd_23_re!$B$2:$Q$3636,13,FALSE),0)</f>
        <v>0.91632033534261803</v>
      </c>
      <c r="X175" s="73">
        <f>IFERROR(VLOOKUP(R175,conductor_pz_summary_hftd_23_re!$B$2:$N$3636,13,FALSE),0)</f>
        <v>121</v>
      </c>
      <c r="Y175" s="203">
        <f t="shared" si="29"/>
        <v>4.6753272777345627</v>
      </c>
      <c r="Z175" s="182"/>
      <c r="AA175" s="183" t="s">
        <v>4903</v>
      </c>
      <c r="AB175" s="183" t="s">
        <v>5298</v>
      </c>
      <c r="AC175" s="94" t="s">
        <v>4872</v>
      </c>
      <c r="AD175" s="182" t="s">
        <v>4873</v>
      </c>
      <c r="AE175" s="182" t="s">
        <v>4874</v>
      </c>
      <c r="AF175" s="182" t="s">
        <v>4875</v>
      </c>
      <c r="AG175" s="183">
        <v>5794207</v>
      </c>
      <c r="AH175" s="183" t="s">
        <v>6218</v>
      </c>
      <c r="AI175" s="183">
        <v>120456654</v>
      </c>
      <c r="AJ175" s="120">
        <v>35227161</v>
      </c>
      <c r="AK175" s="183" t="s">
        <v>6212</v>
      </c>
      <c r="AL175" s="205">
        <v>3858</v>
      </c>
      <c r="AM175" s="205">
        <v>0</v>
      </c>
      <c r="AN175" s="205">
        <v>0</v>
      </c>
      <c r="AO175" s="205">
        <v>0</v>
      </c>
      <c r="AP175" s="48"/>
      <c r="AQ175" s="39" t="s">
        <v>5380</v>
      </c>
      <c r="AR175" s="183"/>
      <c r="AS175" s="183"/>
      <c r="AT175" s="92"/>
      <c r="AU175" s="39" t="s">
        <v>6452</v>
      </c>
      <c r="AV175" s="182"/>
      <c r="AW175" s="182"/>
      <c r="AX175" s="182"/>
      <c r="AY175" s="23"/>
      <c r="AZ175" s="40"/>
      <c r="BA175" s="41"/>
      <c r="BB175" s="187">
        <v>0</v>
      </c>
      <c r="BC175" s="44">
        <v>0</v>
      </c>
      <c r="BD175" s="191">
        <f t="shared" si="40"/>
        <v>0</v>
      </c>
      <c r="BE175" s="182"/>
      <c r="BF175" s="182"/>
      <c r="BG175" s="182"/>
      <c r="BH175" s="182"/>
      <c r="BI175" s="182"/>
      <c r="BJ175" s="182"/>
      <c r="BK175" s="182"/>
      <c r="BL175" s="182"/>
      <c r="BM175" s="182"/>
      <c r="BN175" s="182"/>
      <c r="BO175" s="182"/>
      <c r="BP175" s="182"/>
      <c r="BQ175" s="182"/>
      <c r="BR175" s="182"/>
      <c r="BS175" s="182"/>
      <c r="BT175" s="182"/>
    </row>
    <row r="176" spans="1:72" s="19" customFormat="1" x14ac:dyDescent="0.25">
      <c r="A176" s="218">
        <v>35227162</v>
      </c>
      <c r="B176" s="116" t="s">
        <v>5497</v>
      </c>
      <c r="C176" s="183">
        <v>13</v>
      </c>
      <c r="D176" s="23" t="str" cm="1">
        <f t="array" ref="D176">IFERROR(_xlfn.IFS(U176&lt;727,"MEET", AB176="FRRB","MEET", AB176="PSPS","MEET"),"No")</f>
        <v>MEET</v>
      </c>
      <c r="E176" s="23" t="str" cm="1">
        <f t="array" ref="E176">IFERROR(_xlfn.IFS(AM176&gt;0,"MEET", AN176&gt;0,"MEET"),"No")</f>
        <v>MEET</v>
      </c>
      <c r="F176" s="100">
        <v>2021117</v>
      </c>
      <c r="G176" s="37">
        <f t="shared" si="41"/>
        <v>0.25280519852940575</v>
      </c>
      <c r="H176" s="37">
        <f t="shared" si="36"/>
        <v>0.41780303030303029</v>
      </c>
      <c r="I176" s="37">
        <f t="shared" si="37"/>
        <v>0.41780303030303029</v>
      </c>
      <c r="J176" s="183">
        <v>2021</v>
      </c>
      <c r="K176" s="182"/>
      <c r="L176" s="182"/>
      <c r="M176" s="37">
        <f t="shared" si="38"/>
        <v>0</v>
      </c>
      <c r="N176" s="21">
        <v>0</v>
      </c>
      <c r="O176" s="183" t="s">
        <v>4878</v>
      </c>
      <c r="P176" s="182">
        <v>43141102</v>
      </c>
      <c r="Q176" s="182" t="s">
        <v>2425</v>
      </c>
      <c r="R176" s="183" t="s">
        <v>2426</v>
      </c>
      <c r="S176" s="38">
        <f>IFERROR(VLOOKUP(R176,[47]conductor_pz_summary_hftd_23_re!$B$2:$Q$3636,8,FALSE),0)</f>
        <v>53</v>
      </c>
      <c r="T176" s="201">
        <f>IFERROR(VLOOKUP(R176,[48]conductor_pz_summary_hftd_23_re!$B$2:$H$3636,7,0),0)/1609</f>
        <v>4.7057750984646365</v>
      </c>
      <c r="U176" s="23">
        <f>IFERROR(VLOOKUP(R176,[47]conductor_pz_summary_hftd_23_re!$B$2:$Q$3636,14,FALSE),0)</f>
        <v>8</v>
      </c>
      <c r="V176" s="37">
        <f t="shared" si="28"/>
        <v>48.564977773158759</v>
      </c>
      <c r="W176" s="202">
        <f>IFERROR(VLOOKUP(R176,[47]conductor_pz_summary_hftd_23_re!$B$2:$Q$3636,13,FALSE),0)</f>
        <v>0.91632033534261803</v>
      </c>
      <c r="X176" s="73">
        <f>IFERROR(VLOOKUP(R176,conductor_pz_summary_hftd_23_re!$B$2:$N$3636,13,FALSE),0)</f>
        <v>121</v>
      </c>
      <c r="Y176" s="203">
        <f t="shared" si="29"/>
        <v>4.2687311890397917</v>
      </c>
      <c r="Z176" s="182"/>
      <c r="AA176" s="183" t="s">
        <v>4903</v>
      </c>
      <c r="AB176" s="183" t="s">
        <v>5298</v>
      </c>
      <c r="AC176" s="94" t="s">
        <v>4872</v>
      </c>
      <c r="AD176" s="182" t="s">
        <v>4873</v>
      </c>
      <c r="AE176" s="182" t="s">
        <v>4874</v>
      </c>
      <c r="AF176" s="182" t="s">
        <v>4875</v>
      </c>
      <c r="AG176" s="183">
        <v>5794207</v>
      </c>
      <c r="AH176" s="183" t="s">
        <v>6219</v>
      </c>
      <c r="AI176" s="183">
        <v>120456655</v>
      </c>
      <c r="AJ176" s="120">
        <v>35227162</v>
      </c>
      <c r="AK176" s="183" t="s">
        <v>6213</v>
      </c>
      <c r="AL176" s="205">
        <v>0</v>
      </c>
      <c r="AM176" s="205">
        <v>2206</v>
      </c>
      <c r="AN176" s="205">
        <v>0</v>
      </c>
      <c r="AO176" s="205">
        <v>0</v>
      </c>
      <c r="AP176" s="48"/>
      <c r="AQ176" s="39" t="s">
        <v>5380</v>
      </c>
      <c r="AR176" s="183"/>
      <c r="AS176" s="183"/>
      <c r="AT176" s="92"/>
      <c r="AU176" s="39" t="s">
        <v>6452</v>
      </c>
      <c r="AV176" s="182"/>
      <c r="AW176" s="182"/>
      <c r="AX176" s="182"/>
      <c r="AY176" s="23"/>
      <c r="AZ176" s="40"/>
      <c r="BA176" s="41"/>
      <c r="BB176" s="187">
        <v>0</v>
      </c>
      <c r="BC176" s="44">
        <v>0</v>
      </c>
      <c r="BD176" s="191">
        <f t="shared" si="40"/>
        <v>0</v>
      </c>
      <c r="BE176" s="182"/>
      <c r="BF176" s="182"/>
      <c r="BG176" s="182"/>
      <c r="BH176" s="182"/>
      <c r="BI176" s="182"/>
      <c r="BJ176" s="182"/>
      <c r="BK176" s="182"/>
      <c r="BL176" s="182"/>
      <c r="BM176" s="182"/>
      <c r="BN176" s="182"/>
      <c r="BO176" s="182"/>
      <c r="BP176" s="182"/>
      <c r="BQ176" s="182"/>
      <c r="BR176" s="182"/>
      <c r="BS176" s="182"/>
      <c r="BT176" s="182"/>
    </row>
    <row r="177" spans="1:72" s="19" customFormat="1" x14ac:dyDescent="0.25">
      <c r="A177" s="218">
        <v>35227163</v>
      </c>
      <c r="B177" s="116" t="s">
        <v>5497</v>
      </c>
      <c r="C177" s="183">
        <v>13</v>
      </c>
      <c r="D177" s="23" t="str" cm="1">
        <f t="array" ref="D177">IFERROR(_xlfn.IFS(U177&lt;727,"MEET", AB177="FRRB","MEET", AB177="PSPS","MEET"),"No")</f>
        <v>MEET</v>
      </c>
      <c r="E177" s="23" t="str" cm="1">
        <f t="array" ref="E177">IFERROR(_xlfn.IFS(AM177&gt;0,"MEET", AN177&gt;0,"MEET"),"No")</f>
        <v>No</v>
      </c>
      <c r="F177" s="100">
        <v>2021118</v>
      </c>
      <c r="G177" s="37">
        <f t="shared" si="41"/>
        <v>0.24879423663070713</v>
      </c>
      <c r="H177" s="37">
        <f t="shared" si="36"/>
        <v>0.41117424242424244</v>
      </c>
      <c r="I177" s="37">
        <f t="shared" si="37"/>
        <v>0.41117424242424244</v>
      </c>
      <c r="J177" s="183">
        <v>2021</v>
      </c>
      <c r="K177" s="182"/>
      <c r="L177" s="182"/>
      <c r="M177" s="37">
        <f t="shared" si="38"/>
        <v>0</v>
      </c>
      <c r="N177" s="21">
        <v>0</v>
      </c>
      <c r="O177" s="183" t="s">
        <v>4878</v>
      </c>
      <c r="P177" s="182">
        <v>43141102</v>
      </c>
      <c r="Q177" s="182" t="s">
        <v>2425</v>
      </c>
      <c r="R177" s="183" t="s">
        <v>2426</v>
      </c>
      <c r="S177" s="38">
        <f>IFERROR(VLOOKUP(R177,[47]conductor_pz_summary_hftd_23_re!$B$2:$Q$3636,8,FALSE),0)</f>
        <v>53</v>
      </c>
      <c r="T177" s="201">
        <f>IFERROR(VLOOKUP(R177,[48]conductor_pz_summary_hftd_23_re!$B$2:$H$3636,7,0),0)/1609</f>
        <v>4.7057750984646365</v>
      </c>
      <c r="U177" s="23">
        <f>IFERROR(VLOOKUP(R177,[47]conductor_pz_summary_hftd_23_re!$B$2:$Q$3636,14,FALSE),0)</f>
        <v>8</v>
      </c>
      <c r="V177" s="37">
        <f t="shared" si="28"/>
        <v>48.564977773158759</v>
      </c>
      <c r="W177" s="202">
        <f>IFERROR(VLOOKUP(R177,[47]conductor_pz_summary_hftd_23_re!$B$2:$Q$3636,13,FALSE),0)</f>
        <v>0.91632033534261803</v>
      </c>
      <c r="X177" s="73">
        <f>IFERROR(VLOOKUP(R177,conductor_pz_summary_hftd_23_re!$B$2:$N$3636,13,FALSE),0)</f>
        <v>121</v>
      </c>
      <c r="Y177" s="203">
        <f t="shared" si="29"/>
        <v>2.630931964738656</v>
      </c>
      <c r="Z177" s="182"/>
      <c r="AA177" s="183" t="s">
        <v>4903</v>
      </c>
      <c r="AB177" s="183" t="s">
        <v>5298</v>
      </c>
      <c r="AC177" s="94" t="s">
        <v>4872</v>
      </c>
      <c r="AD177" s="182" t="s">
        <v>4873</v>
      </c>
      <c r="AE177" s="182" t="s">
        <v>4874</v>
      </c>
      <c r="AF177" s="182" t="s">
        <v>4875</v>
      </c>
      <c r="AG177" s="183">
        <v>5794207</v>
      </c>
      <c r="AH177" s="183" t="s">
        <v>6220</v>
      </c>
      <c r="AI177" s="183">
        <v>120456657</v>
      </c>
      <c r="AJ177" s="120">
        <v>35227163</v>
      </c>
      <c r="AK177" s="183" t="s">
        <v>6214</v>
      </c>
      <c r="AL177" s="205">
        <v>2171</v>
      </c>
      <c r="AM177" s="205">
        <v>0</v>
      </c>
      <c r="AN177" s="205">
        <v>0</v>
      </c>
      <c r="AO177" s="205">
        <v>0</v>
      </c>
      <c r="AP177" s="48"/>
      <c r="AQ177" s="39" t="s">
        <v>5380</v>
      </c>
      <c r="AR177" s="183"/>
      <c r="AS177" s="183"/>
      <c r="AT177" s="92"/>
      <c r="AU177" s="39" t="s">
        <v>6452</v>
      </c>
      <c r="AV177" s="182"/>
      <c r="AW177" s="182"/>
      <c r="AX177" s="182"/>
      <c r="AY177" s="23"/>
      <c r="AZ177" s="40"/>
      <c r="BA177" s="41"/>
      <c r="BB177" s="187">
        <v>0</v>
      </c>
      <c r="BC177" s="44">
        <v>0</v>
      </c>
      <c r="BD177" s="191">
        <f t="shared" si="40"/>
        <v>0</v>
      </c>
      <c r="BE177" s="182"/>
      <c r="BF177" s="182"/>
      <c r="BG177" s="182"/>
      <c r="BH177" s="182"/>
      <c r="BI177" s="182"/>
      <c r="BJ177" s="182"/>
      <c r="BK177" s="182"/>
      <c r="BL177" s="182"/>
      <c r="BM177" s="182"/>
      <c r="BN177" s="182"/>
      <c r="BO177" s="182"/>
      <c r="BP177" s="182"/>
      <c r="BQ177" s="182"/>
      <c r="BR177" s="182"/>
      <c r="BS177" s="182"/>
      <c r="BT177" s="182"/>
    </row>
    <row r="178" spans="1:72" s="19" customFormat="1" x14ac:dyDescent="0.25">
      <c r="A178" s="218">
        <v>35227164</v>
      </c>
      <c r="B178" s="116" t="s">
        <v>5497</v>
      </c>
      <c r="C178" s="183">
        <v>13</v>
      </c>
      <c r="D178" s="23" t="str" cm="1">
        <f t="array" ref="D178">IFERROR(_xlfn.IFS(U178&lt;727,"MEET", AB178="FRRB","MEET", AB178="PSPS","MEET"),"No")</f>
        <v>MEET</v>
      </c>
      <c r="E178" s="23" t="str" cm="1">
        <f t="array" ref="E178">IFERROR(_xlfn.IFS(AM178&gt;0,"MEET", AN178&gt;0,"MEET"),"No")</f>
        <v>No</v>
      </c>
      <c r="F178" s="100">
        <v>2021119</v>
      </c>
      <c r="G178" s="37">
        <f t="shared" si="41"/>
        <v>0.33818138751599114</v>
      </c>
      <c r="H178" s="37">
        <f t="shared" si="36"/>
        <v>0.5589015151515152</v>
      </c>
      <c r="I178" s="37">
        <f t="shared" si="37"/>
        <v>0.5589015151515152</v>
      </c>
      <c r="J178" s="183">
        <v>2021</v>
      </c>
      <c r="K178" s="182"/>
      <c r="L178" s="182"/>
      <c r="M178" s="37">
        <f t="shared" si="38"/>
        <v>0</v>
      </c>
      <c r="N178" s="21">
        <v>0</v>
      </c>
      <c r="O178" s="183" t="s">
        <v>4878</v>
      </c>
      <c r="P178" s="182">
        <v>43141102</v>
      </c>
      <c r="Q178" s="182" t="s">
        <v>2425</v>
      </c>
      <c r="R178" s="183" t="s">
        <v>2426</v>
      </c>
      <c r="S178" s="38">
        <f>IFERROR(VLOOKUP(R178,[47]conductor_pz_summary_hftd_23_re!$B$2:$Q$3636,8,FALSE),0)</f>
        <v>53</v>
      </c>
      <c r="T178" s="201">
        <f>IFERROR(VLOOKUP(R178,[48]conductor_pz_summary_hftd_23_re!$B$2:$H$3636,7,0),0)/1609</f>
        <v>4.7057750984646365</v>
      </c>
      <c r="U178" s="23">
        <f>IFERROR(VLOOKUP(R178,[47]conductor_pz_summary_hftd_23_re!$B$2:$Q$3636,14,FALSE),0)</f>
        <v>8</v>
      </c>
      <c r="V178" s="37">
        <f t="shared" si="28"/>
        <v>48.564977773158759</v>
      </c>
      <c r="W178" s="202">
        <f>IFERROR(VLOOKUP(R178,[47]conductor_pz_summary_hftd_23_re!$B$2:$Q$3636,13,FALSE),0)</f>
        <v>0.91632033534261803</v>
      </c>
      <c r="X178" s="73">
        <f>IFERROR(VLOOKUP(R178,conductor_pz_summary_hftd_23_re!$B$2:$N$3636,13,FALSE),0)</f>
        <v>121</v>
      </c>
      <c r="Y178" s="203">
        <f t="shared" si="29"/>
        <v>3.57617698201003</v>
      </c>
      <c r="Z178" s="182"/>
      <c r="AA178" s="183" t="s">
        <v>4903</v>
      </c>
      <c r="AB178" s="183" t="s">
        <v>5298</v>
      </c>
      <c r="AC178" s="94" t="s">
        <v>4872</v>
      </c>
      <c r="AD178" s="182" t="s">
        <v>4873</v>
      </c>
      <c r="AE178" s="182" t="s">
        <v>4874</v>
      </c>
      <c r="AF178" s="182" t="s">
        <v>4875</v>
      </c>
      <c r="AG178" s="183">
        <v>5794207</v>
      </c>
      <c r="AH178" s="183" t="s">
        <v>6221</v>
      </c>
      <c r="AI178" s="183">
        <v>120456658</v>
      </c>
      <c r="AJ178" s="120">
        <v>35227164</v>
      </c>
      <c r="AK178" s="183" t="s">
        <v>6215</v>
      </c>
      <c r="AL178" s="205">
        <v>2951</v>
      </c>
      <c r="AM178" s="205">
        <v>0</v>
      </c>
      <c r="AN178" s="205">
        <v>0</v>
      </c>
      <c r="AO178" s="205">
        <v>0</v>
      </c>
      <c r="AP178" s="48"/>
      <c r="AQ178" s="39" t="s">
        <v>5380</v>
      </c>
      <c r="AR178" s="183"/>
      <c r="AS178" s="183"/>
      <c r="AT178" s="92"/>
      <c r="AU178" s="39" t="s">
        <v>6452</v>
      </c>
      <c r="AV178" s="182"/>
      <c r="AW178" s="182"/>
      <c r="AX178" s="182"/>
      <c r="AY178" s="23"/>
      <c r="AZ178" s="40"/>
      <c r="BA178" s="41"/>
      <c r="BB178" s="187">
        <v>0</v>
      </c>
      <c r="BC178" s="44">
        <v>0</v>
      </c>
      <c r="BD178" s="191">
        <f t="shared" si="40"/>
        <v>0</v>
      </c>
      <c r="BE178" s="159"/>
      <c r="BF178" s="159"/>
      <c r="BG178" s="182"/>
      <c r="BH178" s="182"/>
      <c r="BI178" s="182"/>
      <c r="BJ178" s="182"/>
      <c r="BK178" s="182"/>
      <c r="BL178" s="182"/>
      <c r="BM178" s="182"/>
      <c r="BN178" s="182"/>
      <c r="BO178" s="182"/>
      <c r="BP178" s="182"/>
      <c r="BQ178" s="182"/>
      <c r="BR178" s="182"/>
      <c r="BS178" s="182"/>
      <c r="BT178" s="182"/>
    </row>
    <row r="179" spans="1:72" s="19" customFormat="1" x14ac:dyDescent="0.25">
      <c r="A179" s="218">
        <v>35217270</v>
      </c>
      <c r="B179" s="116" t="s">
        <v>5497</v>
      </c>
      <c r="C179" s="183">
        <v>13</v>
      </c>
      <c r="D179" s="23" t="str" cm="1">
        <f t="array" ref="D179">IFERROR(_xlfn.IFS(U179&lt;727,"MEET", AB179="FRRB","MEET", AB179="PSPS","MEET"),"No")</f>
        <v>MEET</v>
      </c>
      <c r="E179" s="23" t="str" cm="1">
        <f t="array" ref="E179">IFERROR(_xlfn.IFS(AM179&gt;0,"MEET", AN179&gt;0,"MEET"),"No")</f>
        <v>No</v>
      </c>
      <c r="F179" s="100">
        <v>2021120</v>
      </c>
      <c r="G179" s="37">
        <f>T179*H179/SUM($H$178:$H$180)</f>
        <v>1.6175849288871613</v>
      </c>
      <c r="H179" s="37">
        <f t="shared" si="36"/>
        <v>0.57613636363636367</v>
      </c>
      <c r="I179" s="37">
        <f t="shared" si="37"/>
        <v>0.57613636363636367</v>
      </c>
      <c r="J179" s="183">
        <v>2021</v>
      </c>
      <c r="K179" s="182"/>
      <c r="L179" s="182"/>
      <c r="M179" s="37">
        <f t="shared" si="38"/>
        <v>0</v>
      </c>
      <c r="N179" s="21">
        <v>35945.14</v>
      </c>
      <c r="O179" s="183" t="s">
        <v>4878</v>
      </c>
      <c r="P179" s="182">
        <v>43311101</v>
      </c>
      <c r="Q179" s="182" t="s">
        <v>2063</v>
      </c>
      <c r="R179" s="183" t="s">
        <v>2073</v>
      </c>
      <c r="S179" s="38">
        <f>IFERROR(VLOOKUP(R179,[47]conductor_pz_summary_hftd_23_re!$B$2:$Q$3636,8,FALSE),0)</f>
        <v>59</v>
      </c>
      <c r="T179" s="201">
        <f>IFERROR(VLOOKUP(R179,[48]conductor_pz_summary_hftd_23_re!$B$2:$H$3636,7,0),0)/1609</f>
        <v>6.2704015389340588</v>
      </c>
      <c r="U179" s="23">
        <f>IFERROR(VLOOKUP(R179,[47]conductor_pz_summary_hftd_23_re!$B$2:$Q$3636,14,FALSE),0)</f>
        <v>9</v>
      </c>
      <c r="V179" s="37">
        <f t="shared" si="28"/>
        <v>51.700819597256988</v>
      </c>
      <c r="W179" s="202">
        <f>IFERROR(VLOOKUP(R179,[47]conductor_pz_summary_hftd_23_re!$B$2:$Q$3636,13,FALSE),0)</f>
        <v>0.87628507791960997</v>
      </c>
      <c r="X179" s="73">
        <f>IFERROR(VLOOKUP(R179,conductor_pz_summary_hftd_23_re!$B$2:$N$3636,13,FALSE),0)</f>
        <v>220</v>
      </c>
      <c r="Y179" s="203">
        <f t="shared" si="29"/>
        <v>2.9452288899197163</v>
      </c>
      <c r="Z179" s="182"/>
      <c r="AA179" s="183" t="s">
        <v>4871</v>
      </c>
      <c r="AB179" s="183" t="s">
        <v>5298</v>
      </c>
      <c r="AC179" s="94" t="s">
        <v>4984</v>
      </c>
      <c r="AD179" s="182" t="s">
        <v>4873</v>
      </c>
      <c r="AE179" s="182" t="s">
        <v>4874</v>
      </c>
      <c r="AF179" s="182" t="s">
        <v>4875</v>
      </c>
      <c r="AG179" s="183">
        <v>5794206</v>
      </c>
      <c r="AH179" s="183" t="s">
        <v>5290</v>
      </c>
      <c r="AI179" s="183">
        <v>120048013</v>
      </c>
      <c r="AJ179" s="120">
        <v>35217270</v>
      </c>
      <c r="AK179" s="183" t="s">
        <v>6043</v>
      </c>
      <c r="AL179" s="205">
        <v>3042</v>
      </c>
      <c r="AM179" s="205">
        <v>0</v>
      </c>
      <c r="AN179" s="205">
        <v>0</v>
      </c>
      <c r="AO179" s="205">
        <v>0</v>
      </c>
      <c r="AP179" s="48" t="s">
        <v>5383</v>
      </c>
      <c r="AQ179" s="39" t="s">
        <v>5382</v>
      </c>
      <c r="AR179" s="183">
        <f>AS179*5280</f>
        <v>11035.199999999999</v>
      </c>
      <c r="AS179" s="183">
        <v>2.09</v>
      </c>
      <c r="AT179" s="92">
        <v>2458800</v>
      </c>
      <c r="AU179" s="182"/>
      <c r="AV179" s="182"/>
      <c r="AW179" s="182"/>
      <c r="AX179" s="182">
        <f>2.09*5280</f>
        <v>11035.199999999999</v>
      </c>
      <c r="AY179" s="23">
        <f>SUM(AV179:AX179)</f>
        <v>11035.199999999999</v>
      </c>
      <c r="AZ179" s="40">
        <f>AY179/5280</f>
        <v>2.09</v>
      </c>
      <c r="BA179" s="41"/>
      <c r="BB179" s="187"/>
      <c r="BC179" s="44"/>
      <c r="BD179" s="191">
        <f t="shared" si="40"/>
        <v>0</v>
      </c>
      <c r="BE179" s="159"/>
      <c r="BF179" s="159"/>
      <c r="BG179" s="182"/>
      <c r="BH179" s="182"/>
      <c r="BI179" s="182"/>
      <c r="BJ179" s="182"/>
      <c r="BK179" s="182"/>
      <c r="BL179" s="182"/>
      <c r="BM179" s="182"/>
      <c r="BN179" s="182"/>
      <c r="BO179" s="182"/>
      <c r="BP179" s="182"/>
      <c r="BQ179" s="182"/>
      <c r="BR179" s="182"/>
      <c r="BS179" s="182"/>
      <c r="BT179" s="182"/>
    </row>
    <row r="180" spans="1:72" s="19" customFormat="1" x14ac:dyDescent="0.25">
      <c r="A180" s="218">
        <v>35225589</v>
      </c>
      <c r="B180" s="116" t="s">
        <v>5497</v>
      </c>
      <c r="C180" s="183">
        <v>14</v>
      </c>
      <c r="D180" s="23" t="str" cm="1">
        <f t="array" ref="D180">IFERROR(_xlfn.IFS(U180&lt;727,"MEET", AB180="FRRB","MEET", AB180="PSPS","MEET"),"No")</f>
        <v>MEET</v>
      </c>
      <c r="E180" s="23" t="str" cm="1">
        <f t="array" ref="E180">IFERROR(_xlfn.IFS(AM180&gt;0,"MEET", AN180&gt;0,"MEET"),"No")</f>
        <v>No</v>
      </c>
      <c r="F180" s="100">
        <v>2021121</v>
      </c>
      <c r="G180" s="37">
        <f>T180*H180/SUM($H$178:$H$180)</f>
        <v>3.0836209739042237</v>
      </c>
      <c r="H180" s="37">
        <f t="shared" si="36"/>
        <v>1.0982954545454546</v>
      </c>
      <c r="I180" s="37">
        <f t="shared" si="37"/>
        <v>1.0982954545454546</v>
      </c>
      <c r="J180" s="183">
        <v>2021</v>
      </c>
      <c r="K180" s="182"/>
      <c r="L180" s="182"/>
      <c r="M180" s="37">
        <f t="shared" si="38"/>
        <v>0</v>
      </c>
      <c r="N180" s="21">
        <v>31647.51</v>
      </c>
      <c r="O180" s="183" t="s">
        <v>4870</v>
      </c>
      <c r="P180" s="182">
        <v>43311101</v>
      </c>
      <c r="Q180" s="182" t="s">
        <v>2063</v>
      </c>
      <c r="R180" s="183" t="s">
        <v>2073</v>
      </c>
      <c r="S180" s="38">
        <f>IFERROR(VLOOKUP(R180,[47]conductor_pz_summary_hftd_23_re!$B$2:$Q$3636,8,FALSE),0)</f>
        <v>59</v>
      </c>
      <c r="T180" s="201">
        <f>IFERROR(VLOOKUP(R180,[48]conductor_pz_summary_hftd_23_re!$B$2:$H$3636,7,0),0)/1609</f>
        <v>6.2704015389340588</v>
      </c>
      <c r="U180" s="23">
        <f>IFERROR(VLOOKUP(R180,[47]conductor_pz_summary_hftd_23_re!$B$2:$Q$3636,14,FALSE),0)</f>
        <v>9</v>
      </c>
      <c r="V180" s="37">
        <f t="shared" si="28"/>
        <v>51.700819597256988</v>
      </c>
      <c r="W180" s="202">
        <f>IFERROR(VLOOKUP(R180,[47]conductor_pz_summary_hftd_23_re!$B$2:$Q$3636,13,FALSE),0)</f>
        <v>0.87628507791960997</v>
      </c>
      <c r="X180" s="73">
        <f>IFERROR(VLOOKUP(R180,conductor_pz_summary_hftd_23_re!$B$2:$N$3636,13,FALSE),0)</f>
        <v>220</v>
      </c>
      <c r="Y180" s="203">
        <f t="shared" si="29"/>
        <v>5.6145241067207223</v>
      </c>
      <c r="Z180" s="182"/>
      <c r="AA180" s="183" t="s">
        <v>4871</v>
      </c>
      <c r="AB180" s="183" t="s">
        <v>5298</v>
      </c>
      <c r="AC180" s="94" t="s">
        <v>4984</v>
      </c>
      <c r="AD180" s="182" t="s">
        <v>4873</v>
      </c>
      <c r="AE180" s="182" t="s">
        <v>4874</v>
      </c>
      <c r="AF180" s="182" t="s">
        <v>4875</v>
      </c>
      <c r="AG180" s="183">
        <v>5794206</v>
      </c>
      <c r="AH180" s="183" t="s">
        <v>6056</v>
      </c>
      <c r="AI180" s="183">
        <v>120423768</v>
      </c>
      <c r="AJ180" s="120">
        <v>35225589</v>
      </c>
      <c r="AK180" s="183" t="s">
        <v>6054</v>
      </c>
      <c r="AL180" s="205">
        <v>5799</v>
      </c>
      <c r="AM180" s="205">
        <v>0</v>
      </c>
      <c r="AN180" s="205">
        <v>0</v>
      </c>
      <c r="AO180" s="205">
        <v>0</v>
      </c>
      <c r="AP180" s="48"/>
      <c r="AQ180" s="39" t="s">
        <v>5382</v>
      </c>
      <c r="AR180" s="183"/>
      <c r="AS180" s="183"/>
      <c r="AT180" s="92"/>
      <c r="AU180" s="182"/>
      <c r="AV180" s="182"/>
      <c r="AW180" s="182"/>
      <c r="AX180" s="182"/>
      <c r="AY180" s="23"/>
      <c r="AZ180" s="40"/>
      <c r="BA180" s="41"/>
      <c r="BB180" s="187"/>
      <c r="BC180" s="44"/>
      <c r="BD180" s="191">
        <f t="shared" si="40"/>
        <v>0</v>
      </c>
      <c r="BE180" s="159"/>
      <c r="BF180" s="159"/>
      <c r="BG180" s="182"/>
      <c r="BH180" s="182"/>
      <c r="BI180" s="182"/>
      <c r="BJ180" s="182"/>
      <c r="BK180" s="182"/>
      <c r="BL180" s="182"/>
      <c r="BM180" s="182"/>
      <c r="BN180" s="182"/>
      <c r="BO180" s="182"/>
      <c r="BP180" s="182"/>
      <c r="BQ180" s="182"/>
      <c r="BR180" s="182"/>
      <c r="BS180" s="182"/>
      <c r="BT180" s="182"/>
    </row>
    <row r="181" spans="1:72" s="19" customFormat="1" x14ac:dyDescent="0.25">
      <c r="A181" s="218">
        <v>35225591</v>
      </c>
      <c r="B181" s="116" t="s">
        <v>5497</v>
      </c>
      <c r="C181" s="183">
        <v>14</v>
      </c>
      <c r="D181" s="23" t="str" cm="1">
        <f t="array" ref="D181">IFERROR(_xlfn.IFS(U181&lt;727,"MEET", AB181="FRRB","MEET", AB181="PSPS","MEET"),"No")</f>
        <v>MEET</v>
      </c>
      <c r="E181" s="23" t="str" cm="1">
        <f t="array" ref="E181">IFERROR(_xlfn.IFS(AM181&gt;0,"MEET", AN181&gt;0,"MEET"),"No")</f>
        <v>MEET</v>
      </c>
      <c r="F181" s="100">
        <v>2021122</v>
      </c>
      <c r="G181" s="37">
        <f>T181*H181/SUM($H$178:$H$180)</f>
        <v>4.1338281516005235</v>
      </c>
      <c r="H181" s="37">
        <f t="shared" si="36"/>
        <v>1.4723484848484849</v>
      </c>
      <c r="I181" s="37">
        <v>0.85699999999999998</v>
      </c>
      <c r="J181" s="183">
        <v>2021</v>
      </c>
      <c r="K181" s="182"/>
      <c r="L181" s="182"/>
      <c r="M181" s="37">
        <f t="shared" si="38"/>
        <v>0</v>
      </c>
      <c r="N181" s="21">
        <v>28447.200000000001</v>
      </c>
      <c r="O181" s="183" t="s">
        <v>4870</v>
      </c>
      <c r="P181" s="182">
        <v>43311101</v>
      </c>
      <c r="Q181" s="182" t="s">
        <v>2063</v>
      </c>
      <c r="R181" s="183" t="s">
        <v>2073</v>
      </c>
      <c r="S181" s="38">
        <f>IFERROR(VLOOKUP(R181,[47]conductor_pz_summary_hftd_23_re!$B$2:$Q$3636,8,FALSE),0)</f>
        <v>59</v>
      </c>
      <c r="T181" s="201">
        <f>IFERROR(VLOOKUP(R181,[48]conductor_pz_summary_hftd_23_re!$B$2:$H$3636,7,0),0)/1609</f>
        <v>6.2704015389340588</v>
      </c>
      <c r="U181" s="23">
        <f>IFERROR(VLOOKUP(R181,[47]conductor_pz_summary_hftd_23_re!$B$2:$Q$3636,14,FALSE),0)</f>
        <v>9</v>
      </c>
      <c r="V181" s="37">
        <f t="shared" si="28"/>
        <v>51.700819597256988</v>
      </c>
      <c r="W181" s="202">
        <f>IFERROR(VLOOKUP(R181,[47]conductor_pz_summary_hftd_23_re!$B$2:$Q$3636,13,FALSE),0)</f>
        <v>0.87628507791960997</v>
      </c>
      <c r="X181" s="73">
        <f>IFERROR(VLOOKUP(R181,conductor_pz_summary_hftd_23_re!$B$2:$N$3636,13,FALSE),0)</f>
        <v>220</v>
      </c>
      <c r="Y181" s="203">
        <f t="shared" si="29"/>
        <v>9.4534845178588913</v>
      </c>
      <c r="Z181" s="182"/>
      <c r="AA181" s="183" t="s">
        <v>4871</v>
      </c>
      <c r="AB181" s="183" t="s">
        <v>5298</v>
      </c>
      <c r="AC181" s="94" t="s">
        <v>4984</v>
      </c>
      <c r="AD181" s="182" t="s">
        <v>4873</v>
      </c>
      <c r="AE181" s="182" t="s">
        <v>4874</v>
      </c>
      <c r="AF181" s="182" t="s">
        <v>4875</v>
      </c>
      <c r="AG181" s="183">
        <v>5794206</v>
      </c>
      <c r="AH181" s="183" t="s">
        <v>6057</v>
      </c>
      <c r="AI181" s="183">
        <v>120423769</v>
      </c>
      <c r="AJ181" s="120">
        <v>35225591</v>
      </c>
      <c r="AK181" s="183" t="s">
        <v>6055</v>
      </c>
      <c r="AL181" s="205">
        <v>4527</v>
      </c>
      <c r="AM181" s="205">
        <v>0</v>
      </c>
      <c r="AN181" s="205">
        <v>3247</v>
      </c>
      <c r="AO181" s="205">
        <v>0</v>
      </c>
      <c r="AP181" s="48"/>
      <c r="AQ181" s="39" t="s">
        <v>5382</v>
      </c>
      <c r="AR181" s="183"/>
      <c r="AS181" s="183"/>
      <c r="AT181" s="92"/>
      <c r="AU181" s="182"/>
      <c r="AV181" s="182"/>
      <c r="AW181" s="182"/>
      <c r="AX181" s="182"/>
      <c r="AY181" s="23"/>
      <c r="AZ181" s="40"/>
      <c r="BA181" s="41"/>
      <c r="BB181" s="187"/>
      <c r="BC181" s="44"/>
      <c r="BD181" s="191">
        <f t="shared" si="40"/>
        <v>0</v>
      </c>
      <c r="BE181" s="159"/>
      <c r="BF181" s="159"/>
      <c r="BG181" s="182"/>
      <c r="BH181" s="182"/>
      <c r="BI181" s="182"/>
      <c r="BJ181" s="182"/>
      <c r="BK181" s="182"/>
      <c r="BL181" s="182"/>
      <c r="BM181" s="182"/>
      <c r="BN181" s="182"/>
      <c r="BO181" s="182"/>
      <c r="BP181" s="182"/>
      <c r="BQ181" s="182"/>
      <c r="BR181" s="182"/>
      <c r="BS181" s="182"/>
      <c r="BT181" s="182"/>
    </row>
    <row r="182" spans="1:72" s="19" customFormat="1" x14ac:dyDescent="0.25">
      <c r="A182" s="218">
        <v>35217267</v>
      </c>
      <c r="B182" s="116" t="s">
        <v>5497</v>
      </c>
      <c r="C182" s="183">
        <v>14</v>
      </c>
      <c r="D182" s="23" t="str" cm="1">
        <f t="array" ref="D182">IFERROR(_xlfn.IFS(U182&lt;727,"MEET", AB182="FRRB","MEET", AB182="PSPS","MEET"),"No")</f>
        <v>MEET</v>
      </c>
      <c r="E182" s="23" t="str" cm="1">
        <f t="array" ref="E182">IFERROR(_xlfn.IFS(AM182&gt;0,"MEET", AN182&gt;0,"MEET"),"No")</f>
        <v>No</v>
      </c>
      <c r="F182" s="100">
        <v>2021123</v>
      </c>
      <c r="G182" s="37">
        <f>T182</f>
        <v>0.71280745282256674</v>
      </c>
      <c r="H182" s="37">
        <f t="shared" si="36"/>
        <v>0.71000000000000008</v>
      </c>
      <c r="I182" s="37">
        <f t="shared" ref="I182:I213" si="42">H182-M182</f>
        <v>0.71000000000000008</v>
      </c>
      <c r="J182" s="183">
        <v>2021</v>
      </c>
      <c r="K182" s="182"/>
      <c r="L182" s="182"/>
      <c r="M182" s="37">
        <f t="shared" si="38"/>
        <v>0</v>
      </c>
      <c r="N182" s="21">
        <v>46774.47</v>
      </c>
      <c r="O182" s="183" t="s">
        <v>4870</v>
      </c>
      <c r="P182" s="182">
        <v>254452102</v>
      </c>
      <c r="Q182" s="182" t="s">
        <v>2319</v>
      </c>
      <c r="R182" s="183" t="s">
        <v>2321</v>
      </c>
      <c r="S182" s="38">
        <f>IFERROR(VLOOKUP(R182,[47]conductor_pz_summary_hftd_23_re!$B$2:$Q$3636,8,FALSE),0)</f>
        <v>14</v>
      </c>
      <c r="T182" s="201">
        <f>IFERROR(VLOOKUP(R182,[48]conductor_pz_summary_hftd_23_re!$B$2:$H$3636,7,0),0)/1609</f>
        <v>0.71280745282256674</v>
      </c>
      <c r="U182" s="23">
        <f>IFERROR(VLOOKUP(R182,[47]conductor_pz_summary_hftd_23_re!$B$2:$Q$3636,14,FALSE),0)</f>
        <v>10</v>
      </c>
      <c r="V182" s="37">
        <f t="shared" si="28"/>
        <v>10.814776558984439</v>
      </c>
      <c r="W182" s="202">
        <f>IFERROR(VLOOKUP(R182,[47]conductor_pz_summary_hftd_23_re!$B$2:$Q$3636,13,FALSE),0)</f>
        <v>0.77248403992745995</v>
      </c>
      <c r="X182" s="73">
        <f>IFERROR(VLOOKUP(R182,conductor_pz_summary_hftd_23_re!$B$2:$N$3636,13,FALSE),0)</f>
        <v>26</v>
      </c>
      <c r="Y182" s="203">
        <f t="shared" si="29"/>
        <v>6.6787526174336795</v>
      </c>
      <c r="Z182" s="182"/>
      <c r="AA182" s="183" t="s">
        <v>5418</v>
      </c>
      <c r="AB182" s="183" t="s">
        <v>5298</v>
      </c>
      <c r="AC182" s="94" t="s">
        <v>5451</v>
      </c>
      <c r="AD182" s="182" t="s">
        <v>5417</v>
      </c>
      <c r="AE182" s="182" t="s">
        <v>4944</v>
      </c>
      <c r="AF182" s="182" t="s">
        <v>4939</v>
      </c>
      <c r="AG182" s="183">
        <v>5794209</v>
      </c>
      <c r="AH182" s="183" t="s">
        <v>5287</v>
      </c>
      <c r="AI182" s="183">
        <v>120047657</v>
      </c>
      <c r="AJ182" s="120">
        <v>35217267</v>
      </c>
      <c r="AK182" s="183" t="s">
        <v>5299</v>
      </c>
      <c r="AL182" s="205">
        <v>3748.8</v>
      </c>
      <c r="AM182" s="205">
        <v>0</v>
      </c>
      <c r="AN182" s="205">
        <v>0</v>
      </c>
      <c r="AO182" s="205">
        <v>0</v>
      </c>
      <c r="AP182" s="182"/>
      <c r="AQ182" s="39" t="s">
        <v>5416</v>
      </c>
      <c r="AR182" s="183">
        <f>AS182*5280</f>
        <v>3748.7999999999997</v>
      </c>
      <c r="AS182" s="183">
        <v>0.71</v>
      </c>
      <c r="AT182" s="92">
        <v>804541</v>
      </c>
      <c r="AU182" s="182"/>
      <c r="AV182" s="182"/>
      <c r="AW182" s="182"/>
      <c r="AX182" s="182">
        <v>3748.8</v>
      </c>
      <c r="AY182" s="23">
        <f>SUM(AV182:AX182)</f>
        <v>3748.8</v>
      </c>
      <c r="AZ182" s="40">
        <f>AY182/5280</f>
        <v>0.71000000000000008</v>
      </c>
      <c r="BA182" s="41"/>
      <c r="BB182" s="187"/>
      <c r="BC182" s="44"/>
      <c r="BD182" s="191">
        <f t="shared" si="40"/>
        <v>0</v>
      </c>
      <c r="BE182" s="182"/>
      <c r="BF182" s="182"/>
      <c r="BG182" s="182"/>
      <c r="BH182" s="182"/>
      <c r="BI182" s="182"/>
      <c r="BJ182" s="182"/>
      <c r="BK182" s="182"/>
      <c r="BL182" s="182"/>
      <c r="BM182" s="182"/>
      <c r="BN182" s="182"/>
      <c r="BO182" s="182"/>
      <c r="BP182" s="182"/>
      <c r="BQ182" s="182"/>
      <c r="BR182" s="182"/>
      <c r="BS182" s="182"/>
      <c r="BT182" s="182"/>
    </row>
    <row r="183" spans="1:72" s="19" customFormat="1" x14ac:dyDescent="0.25">
      <c r="A183" s="218">
        <v>35217268</v>
      </c>
      <c r="B183" s="116" t="s">
        <v>5497</v>
      </c>
      <c r="C183" s="183">
        <v>14</v>
      </c>
      <c r="D183" s="23" t="str" cm="1">
        <f t="array" ref="D183">IFERROR(_xlfn.IFS(U183&lt;727,"MEET", AB183="FRRB","MEET", AB183="PSPS","MEET"),"No")</f>
        <v>MEET</v>
      </c>
      <c r="E183" s="23" t="str" cm="1">
        <f t="array" ref="E183">IFERROR(_xlfn.IFS(AM183&gt;0,"MEET", AN183&gt;0,"MEET"),"No")</f>
        <v>MEET</v>
      </c>
      <c r="F183" s="100">
        <v>2021124</v>
      </c>
      <c r="G183" s="37"/>
      <c r="H183" s="37">
        <f t="shared" si="36"/>
        <v>0.25795454545454544</v>
      </c>
      <c r="I183" s="37">
        <f t="shared" si="42"/>
        <v>0.25795454545454544</v>
      </c>
      <c r="J183" s="183">
        <v>2021</v>
      </c>
      <c r="K183" s="182"/>
      <c r="L183" s="182"/>
      <c r="M183" s="37">
        <f t="shared" si="38"/>
        <v>0</v>
      </c>
      <c r="N183" s="21">
        <v>16622.75</v>
      </c>
      <c r="O183" s="183" t="s">
        <v>4870</v>
      </c>
      <c r="P183" s="182">
        <v>102211101</v>
      </c>
      <c r="Q183" s="182" t="s">
        <v>498</v>
      </c>
      <c r="R183" s="183" t="s">
        <v>497</v>
      </c>
      <c r="S183" s="38">
        <f>IFERROR(VLOOKUP(R183,[47]conductor_pz_summary_hftd_23_re!$B$2:$Q$3636,8,FALSE),0)</f>
        <v>13</v>
      </c>
      <c r="T183" s="201">
        <f>IFERROR(VLOOKUP(R183,[48]conductor_pz_summary_hftd_23_re!$B$2:$H$3636,7,0),0)/1609</f>
        <v>4.8007878256915042</v>
      </c>
      <c r="U183" s="23">
        <f>IFERROR(VLOOKUP(R183,[47]conductor_pz_summary_hftd_23_re!$B$2:$Q$3636,14,FALSE),0)</f>
        <v>11</v>
      </c>
      <c r="V183" s="37">
        <f t="shared" si="28"/>
        <v>9.5538678011782601</v>
      </c>
      <c r="W183" s="202">
        <f>IFERROR(VLOOKUP(R183,[47]conductor_pz_summary_hftd_23_re!$B$2:$Q$3636,13,FALSE),0)</f>
        <v>0.73491290778294305</v>
      </c>
      <c r="X183" s="73">
        <f>IFERROR(VLOOKUP(R183,conductor_pz_summary_hftd_23_re!$B$2:$N$3636,13,FALSE),0)</f>
        <v>200</v>
      </c>
      <c r="Y183" s="203">
        <f t="shared" si="29"/>
        <v>0.34672316116291468</v>
      </c>
      <c r="Z183" s="182"/>
      <c r="AA183" s="183" t="s">
        <v>5418</v>
      </c>
      <c r="AB183" s="183" t="s">
        <v>5298</v>
      </c>
      <c r="AC183" s="94" t="s">
        <v>5458</v>
      </c>
      <c r="AD183" s="182" t="s">
        <v>5419</v>
      </c>
      <c r="AE183" s="182" t="s">
        <v>5210</v>
      </c>
      <c r="AF183" s="182" t="s">
        <v>4875</v>
      </c>
      <c r="AG183" s="183">
        <v>5794208</v>
      </c>
      <c r="AH183" s="183" t="s">
        <v>5288</v>
      </c>
      <c r="AI183" s="183">
        <v>120047659</v>
      </c>
      <c r="AJ183" s="120">
        <v>35217268</v>
      </c>
      <c r="AK183" s="183" t="s">
        <v>6083</v>
      </c>
      <c r="AL183" s="205">
        <v>1158</v>
      </c>
      <c r="AM183" s="205">
        <v>204</v>
      </c>
      <c r="AN183" s="205">
        <v>0</v>
      </c>
      <c r="AO183" s="205">
        <v>0</v>
      </c>
      <c r="AP183" s="48" t="s">
        <v>5379</v>
      </c>
      <c r="AQ183" s="39" t="s">
        <v>5378</v>
      </c>
      <c r="AR183" s="183">
        <f>AS183*5280</f>
        <v>21436.799999999999</v>
      </c>
      <c r="AS183" s="183">
        <v>4.0599999999999996</v>
      </c>
      <c r="AT183" s="92">
        <v>6144137</v>
      </c>
      <c r="AU183" s="39" t="s">
        <v>6326</v>
      </c>
      <c r="AV183" s="182"/>
      <c r="AW183" s="182">
        <f>1.83*5280</f>
        <v>9662.4</v>
      </c>
      <c r="AX183" s="182">
        <f>2.23*5280</f>
        <v>11774.4</v>
      </c>
      <c r="AY183" s="23">
        <f>SUM(AV183:AX183)</f>
        <v>21436.799999999999</v>
      </c>
      <c r="AZ183" s="40">
        <f>AY183/5280</f>
        <v>4.0599999999999996</v>
      </c>
      <c r="BA183" s="41"/>
      <c r="BB183" s="187"/>
      <c r="BC183" s="44"/>
      <c r="BD183" s="191">
        <f t="shared" si="40"/>
        <v>0</v>
      </c>
      <c r="BE183" s="182"/>
      <c r="BF183" s="182"/>
      <c r="BG183" s="182"/>
      <c r="BH183" s="182"/>
      <c r="BI183" s="182"/>
      <c r="BJ183" s="182"/>
      <c r="BK183" s="182"/>
      <c r="BL183" s="182"/>
      <c r="BM183" s="182"/>
      <c r="BN183" s="182"/>
      <c r="BO183" s="182"/>
      <c r="BP183" s="182"/>
      <c r="BQ183" s="182"/>
      <c r="BR183" s="182"/>
      <c r="BS183" s="182"/>
      <c r="BT183" s="182"/>
    </row>
    <row r="184" spans="1:72" s="19" customFormat="1" x14ac:dyDescent="0.25">
      <c r="A184" s="218">
        <v>35224712</v>
      </c>
      <c r="B184" s="116" t="s">
        <v>5497</v>
      </c>
      <c r="C184" s="183">
        <v>14</v>
      </c>
      <c r="D184" s="23" t="str" cm="1">
        <f t="array" ref="D184">IFERROR(_xlfn.IFS(U184&lt;727,"MEET", AB184="FRRB","MEET", AB184="PSPS","MEET"),"No")</f>
        <v>MEET</v>
      </c>
      <c r="E184" s="23" t="str" cm="1">
        <f t="array" ref="E184">IFERROR(_xlfn.IFS(AM184&gt;0,"MEET", AN184&gt;0,"MEET"),"No")</f>
        <v>MEET</v>
      </c>
      <c r="F184" s="100">
        <v>2021125</v>
      </c>
      <c r="G184" s="37"/>
      <c r="H184" s="37">
        <f t="shared" si="36"/>
        <v>3.2869318181818183</v>
      </c>
      <c r="I184" s="37">
        <f t="shared" si="42"/>
        <v>3.2869318181818183</v>
      </c>
      <c r="J184" s="183">
        <v>2021</v>
      </c>
      <c r="K184" s="182"/>
      <c r="L184" s="182"/>
      <c r="M184" s="37">
        <f t="shared" si="38"/>
        <v>0</v>
      </c>
      <c r="N184" s="21">
        <v>0</v>
      </c>
      <c r="O184" s="183" t="s">
        <v>4870</v>
      </c>
      <c r="P184" s="182">
        <v>102211101</v>
      </c>
      <c r="Q184" s="182" t="s">
        <v>498</v>
      </c>
      <c r="R184" s="183" t="s">
        <v>497</v>
      </c>
      <c r="S184" s="38">
        <f>IFERROR(VLOOKUP(R184,[47]conductor_pz_summary_hftd_23_re!$B$2:$Q$3636,8,FALSE),0)</f>
        <v>13</v>
      </c>
      <c r="T184" s="201">
        <f>IFERROR(VLOOKUP(R184,[48]conductor_pz_summary_hftd_23_re!$B$2:$H$3636,7,0),0)/1609</f>
        <v>4.8007878256915042</v>
      </c>
      <c r="U184" s="23">
        <f>IFERROR(VLOOKUP(R184,[47]conductor_pz_summary_hftd_23_re!$B$2:$Q$3636,14,FALSE),0)</f>
        <v>11</v>
      </c>
      <c r="V184" s="37">
        <f t="shared" si="28"/>
        <v>9.5538678011782601</v>
      </c>
      <c r="W184" s="202">
        <f>IFERROR(VLOOKUP(R184,[47]conductor_pz_summary_hftd_23_re!$B$2:$Q$3636,13,FALSE),0)</f>
        <v>0.73491290778294305</v>
      </c>
      <c r="X184" s="73">
        <f>IFERROR(VLOOKUP(R184,conductor_pz_summary_hftd_23_re!$B$2:$N$3636,13,FALSE),0)</f>
        <v>200</v>
      </c>
      <c r="Y184" s="203">
        <f t="shared" si="29"/>
        <v>6.3053735621297076</v>
      </c>
      <c r="Z184" s="182"/>
      <c r="AA184" s="183" t="s">
        <v>5418</v>
      </c>
      <c r="AB184" s="183" t="s">
        <v>5298</v>
      </c>
      <c r="AC184" s="94" t="s">
        <v>5458</v>
      </c>
      <c r="AD184" s="182" t="s">
        <v>5419</v>
      </c>
      <c r="AE184" s="182" t="s">
        <v>5210</v>
      </c>
      <c r="AF184" s="182" t="s">
        <v>4875</v>
      </c>
      <c r="AG184" s="183">
        <v>5794208</v>
      </c>
      <c r="AH184" s="183" t="s">
        <v>6085</v>
      </c>
      <c r="AI184" s="183">
        <v>120427328</v>
      </c>
      <c r="AJ184" s="120">
        <v>35224712</v>
      </c>
      <c r="AK184" s="183" t="s">
        <v>6084</v>
      </c>
      <c r="AL184" s="205">
        <v>1222</v>
      </c>
      <c r="AM184" s="205">
        <v>16133</v>
      </c>
      <c r="AN184" s="205">
        <v>0</v>
      </c>
      <c r="AO184" s="205">
        <v>0</v>
      </c>
      <c r="AP184" s="48"/>
      <c r="AQ184" s="39" t="s">
        <v>5378</v>
      </c>
      <c r="AR184" s="183"/>
      <c r="AS184" s="183"/>
      <c r="AT184" s="92"/>
      <c r="AU184" s="39" t="s">
        <v>6326</v>
      </c>
      <c r="AV184" s="182"/>
      <c r="AW184" s="182"/>
      <c r="AX184" s="182"/>
      <c r="AY184" s="23"/>
      <c r="AZ184" s="40"/>
      <c r="BA184" s="41"/>
      <c r="BB184" s="187"/>
      <c r="BC184" s="44"/>
      <c r="BD184" s="191">
        <f t="shared" si="40"/>
        <v>0</v>
      </c>
      <c r="BE184" s="182"/>
      <c r="BF184" s="182"/>
      <c r="BG184" s="182"/>
      <c r="BH184" s="182"/>
      <c r="BI184" s="182"/>
      <c r="BJ184" s="182"/>
      <c r="BK184" s="182"/>
      <c r="BL184" s="182"/>
      <c r="BM184" s="182"/>
      <c r="BN184" s="182"/>
      <c r="BO184" s="182"/>
      <c r="BP184" s="182"/>
      <c r="BQ184" s="182"/>
      <c r="BR184" s="182"/>
      <c r="BS184" s="182"/>
      <c r="BT184" s="182"/>
    </row>
    <row r="185" spans="1:72" s="19" customFormat="1" x14ac:dyDescent="0.25">
      <c r="A185" s="218">
        <v>35224713</v>
      </c>
      <c r="B185" s="116" t="s">
        <v>5497</v>
      </c>
      <c r="C185" s="183">
        <v>14</v>
      </c>
      <c r="D185" s="23" t="str" cm="1">
        <f t="array" ref="D185">IFERROR(_xlfn.IFS(U185&lt;727,"MEET", AB185="FRRB","MEET", AB185="PSPS","MEET"),"No")</f>
        <v>MEET</v>
      </c>
      <c r="E185" s="23" t="str" cm="1">
        <f t="array" ref="E185">IFERROR(_xlfn.IFS(AM185&gt;0,"MEET", AN185&gt;0,"MEET"),"No")</f>
        <v>MEET</v>
      </c>
      <c r="F185" s="100">
        <v>2021126</v>
      </c>
      <c r="G185" s="37"/>
      <c r="H185" s="37">
        <f t="shared" si="36"/>
        <v>1.865530303030303</v>
      </c>
      <c r="I185" s="37">
        <f t="shared" si="42"/>
        <v>1.865530303030303</v>
      </c>
      <c r="J185" s="183">
        <v>2021</v>
      </c>
      <c r="K185" s="182"/>
      <c r="L185" s="182"/>
      <c r="M185" s="37">
        <f t="shared" si="38"/>
        <v>0</v>
      </c>
      <c r="N185" s="21">
        <v>0</v>
      </c>
      <c r="O185" s="183" t="s">
        <v>4870</v>
      </c>
      <c r="P185" s="182">
        <v>102211101</v>
      </c>
      <c r="Q185" s="182" t="s">
        <v>498</v>
      </c>
      <c r="R185" s="183" t="s">
        <v>497</v>
      </c>
      <c r="S185" s="38">
        <f>IFERROR(VLOOKUP(R185,[47]conductor_pz_summary_hftd_23_re!$B$2:$Q$3636,8,FALSE),0)</f>
        <v>13</v>
      </c>
      <c r="T185" s="201">
        <f>IFERROR(VLOOKUP(R185,[48]conductor_pz_summary_hftd_23_re!$B$2:$H$3636,7,0),0)/1609</f>
        <v>4.8007878256915042</v>
      </c>
      <c r="U185" s="23">
        <f>IFERROR(VLOOKUP(R185,[47]conductor_pz_summary_hftd_23_re!$B$2:$Q$3636,14,FALSE),0)</f>
        <v>11</v>
      </c>
      <c r="V185" s="37">
        <f t="shared" si="28"/>
        <v>9.5538678011782601</v>
      </c>
      <c r="W185" s="202">
        <f>IFERROR(VLOOKUP(R185,[47]conductor_pz_summary_hftd_23_re!$B$2:$Q$3636,13,FALSE),0)</f>
        <v>0.73491290778294305</v>
      </c>
      <c r="X185" s="73">
        <f>IFERROR(VLOOKUP(R185,conductor_pz_summary_hftd_23_re!$B$2:$N$3636,13,FALSE),0)</f>
        <v>200</v>
      </c>
      <c r="Y185" s="203">
        <f t="shared" si="29"/>
        <v>3.6530838496166163</v>
      </c>
      <c r="Z185" s="182"/>
      <c r="AA185" s="183" t="s">
        <v>5418</v>
      </c>
      <c r="AB185" s="183" t="s">
        <v>5298</v>
      </c>
      <c r="AC185" s="94" t="s">
        <v>5458</v>
      </c>
      <c r="AD185" s="182" t="s">
        <v>5419</v>
      </c>
      <c r="AE185" s="182" t="s">
        <v>5210</v>
      </c>
      <c r="AF185" s="182" t="s">
        <v>4875</v>
      </c>
      <c r="AG185" s="183">
        <v>5794208</v>
      </c>
      <c r="AH185" s="183" t="s">
        <v>6086</v>
      </c>
      <c r="AI185" s="183">
        <v>120427329</v>
      </c>
      <c r="AJ185" s="120">
        <v>35224713</v>
      </c>
      <c r="AK185" s="183" t="s">
        <v>6087</v>
      </c>
      <c r="AL185" s="205">
        <v>160</v>
      </c>
      <c r="AM185" s="205">
        <v>9690</v>
      </c>
      <c r="AN185" s="205">
        <v>0</v>
      </c>
      <c r="AO185" s="205">
        <v>0</v>
      </c>
      <c r="AP185" s="48"/>
      <c r="AQ185" s="39" t="s">
        <v>5378</v>
      </c>
      <c r="AR185" s="183"/>
      <c r="AS185" s="183"/>
      <c r="AT185" s="92"/>
      <c r="AU185" s="39" t="s">
        <v>6326</v>
      </c>
      <c r="AV185" s="182"/>
      <c r="AW185" s="182"/>
      <c r="AX185" s="182"/>
      <c r="AY185" s="23"/>
      <c r="AZ185" s="40"/>
      <c r="BA185" s="41"/>
      <c r="BB185" s="187"/>
      <c r="BC185" s="44"/>
      <c r="BD185" s="191">
        <f t="shared" si="40"/>
        <v>0</v>
      </c>
      <c r="BE185" s="182"/>
      <c r="BF185" s="182"/>
      <c r="BG185" s="182"/>
      <c r="BH185" s="182"/>
      <c r="BI185" s="182"/>
      <c r="BJ185" s="182"/>
      <c r="BK185" s="182"/>
      <c r="BL185" s="182"/>
      <c r="BM185" s="182"/>
      <c r="BN185" s="182"/>
      <c r="BO185" s="182"/>
      <c r="BP185" s="182"/>
      <c r="BQ185" s="182"/>
      <c r="BR185" s="182"/>
      <c r="BS185" s="182"/>
      <c r="BT185" s="182"/>
    </row>
    <row r="186" spans="1:72" s="19" customFormat="1" x14ac:dyDescent="0.25">
      <c r="A186" s="218">
        <v>35217271</v>
      </c>
      <c r="B186" s="116" t="s">
        <v>5497</v>
      </c>
      <c r="C186" s="183">
        <v>13</v>
      </c>
      <c r="D186" s="23" t="str" cm="1">
        <f t="array" ref="D186">IFERROR(_xlfn.IFS(U186&lt;727,"MEET", AB186="FRRB","MEET", AB186="PSPS","MEET"),"No")</f>
        <v>MEET</v>
      </c>
      <c r="E186" s="23" t="str" cm="1">
        <f t="array" ref="E186">IFERROR(_xlfn.IFS(AM186&gt;0,"MEET", AN186&gt;0,"MEET"),"No")</f>
        <v>MEET</v>
      </c>
      <c r="F186" s="100">
        <v>2021127</v>
      </c>
      <c r="G186" s="37"/>
      <c r="H186" s="37">
        <f t="shared" si="36"/>
        <v>2.8496212121212121</v>
      </c>
      <c r="I186" s="37">
        <f t="shared" si="42"/>
        <v>2.8496212121212121</v>
      </c>
      <c r="J186" s="183">
        <v>2021</v>
      </c>
      <c r="K186" s="182"/>
      <c r="L186" s="182"/>
      <c r="M186" s="37">
        <f t="shared" si="38"/>
        <v>0</v>
      </c>
      <c r="N186" s="182">
        <v>47097.09</v>
      </c>
      <c r="O186" s="183" t="s">
        <v>4878</v>
      </c>
      <c r="P186" s="182">
        <v>43141103</v>
      </c>
      <c r="Q186" s="182" t="s">
        <v>2433</v>
      </c>
      <c r="R186" s="183" t="s">
        <v>2432</v>
      </c>
      <c r="S186" s="38">
        <f>IFERROR(VLOOKUP(R186,[47]conductor_pz_summary_hftd_23_re!$B$2:$Q$3636,8,FALSE),0)</f>
        <v>212</v>
      </c>
      <c r="T186" s="201">
        <f>IFERROR(VLOOKUP(R186,[48]conductor_pz_summary_hftd_23_re!$B$2:$H$3636,7,0),0)/1609</f>
        <v>27.732817672521005</v>
      </c>
      <c r="U186" s="23">
        <f>IFERROR(VLOOKUP(R186,[47]conductor_pz_summary_hftd_23_re!$B$2:$Q$3636,14,FALSE),0)</f>
        <v>14</v>
      </c>
      <c r="V186" s="37">
        <f t="shared" si="28"/>
        <v>151.82914987294214</v>
      </c>
      <c r="W186" s="202">
        <f>IFERROR(VLOOKUP(R186,[47]conductor_pz_summary_hftd_23_re!$B$2:$Q$3636,13,FALSE),0)</f>
        <v>0.71617523524972704</v>
      </c>
      <c r="X186" s="160">
        <f>IFERROR(VLOOKUP(R186,conductor_pz_summary_hftd_23_re!$B$2:$N$3636,13,FALSE),0)</f>
        <v>102</v>
      </c>
      <c r="Y186" s="203">
        <f t="shared" si="29"/>
        <v>15.44484283902074</v>
      </c>
      <c r="Z186" s="182"/>
      <c r="AA186" s="182"/>
      <c r="AB186" s="183" t="s">
        <v>5298</v>
      </c>
      <c r="AC186" s="94" t="s">
        <v>4872</v>
      </c>
      <c r="AD186" s="182" t="s">
        <v>4873</v>
      </c>
      <c r="AE186" s="182" t="s">
        <v>4874</v>
      </c>
      <c r="AF186" s="182" t="s">
        <v>4875</v>
      </c>
      <c r="AG186" s="183">
        <v>5794205</v>
      </c>
      <c r="AH186" s="183" t="s">
        <v>5291</v>
      </c>
      <c r="AI186" s="183">
        <v>120048017</v>
      </c>
      <c r="AJ186" s="120">
        <v>35217271</v>
      </c>
      <c r="AK186" s="183" t="s">
        <v>6271</v>
      </c>
      <c r="AL186" s="205">
        <v>0</v>
      </c>
      <c r="AM186" s="205">
        <v>15046</v>
      </c>
      <c r="AN186" s="205">
        <v>0</v>
      </c>
      <c r="AO186" s="205">
        <v>0</v>
      </c>
      <c r="AP186" s="182"/>
      <c r="AQ186" s="39" t="s">
        <v>5560</v>
      </c>
      <c r="AR186" s="183">
        <f>AS186*5280</f>
        <v>38016</v>
      </c>
      <c r="AS186" s="183">
        <v>7.2</v>
      </c>
      <c r="AT186" s="92">
        <v>11000000</v>
      </c>
      <c r="AU186" s="39" t="s">
        <v>6451</v>
      </c>
      <c r="AV186" s="182">
        <v>0</v>
      </c>
      <c r="AW186" s="182">
        <v>15046</v>
      </c>
      <c r="AX186" s="182">
        <v>0</v>
      </c>
      <c r="AY186" s="23">
        <f t="shared" ref="AY186:AY221" si="43">SUM(AV186:AX186)</f>
        <v>15046</v>
      </c>
      <c r="AZ186" s="40">
        <f t="shared" ref="AZ186:AZ221" si="44">AY186/5280</f>
        <v>2.8496212121212121</v>
      </c>
      <c r="BA186" s="41">
        <v>5487320</v>
      </c>
      <c r="BB186" s="187">
        <v>34.46</v>
      </c>
      <c r="BC186" s="44">
        <v>31600</v>
      </c>
      <c r="BD186" s="191">
        <f t="shared" si="40"/>
        <v>917.00522344747526</v>
      </c>
      <c r="BE186" s="159"/>
      <c r="BF186" s="159"/>
      <c r="BG186" s="182"/>
      <c r="BH186" s="182"/>
      <c r="BI186" s="182"/>
      <c r="BJ186" s="182"/>
      <c r="BK186" s="182"/>
      <c r="BL186" s="182"/>
      <c r="BM186" s="182"/>
      <c r="BN186" s="182"/>
      <c r="BO186" s="182"/>
      <c r="BP186" s="182"/>
      <c r="BQ186" s="182"/>
      <c r="BR186" s="182"/>
      <c r="BS186" s="182"/>
      <c r="BT186" s="182"/>
    </row>
    <row r="187" spans="1:72" s="19" customFormat="1" x14ac:dyDescent="0.25">
      <c r="A187" s="218">
        <v>35227860</v>
      </c>
      <c r="B187" s="116" t="s">
        <v>5497</v>
      </c>
      <c r="C187" s="183">
        <v>13</v>
      </c>
      <c r="D187" s="23" t="str" cm="1">
        <f t="array" ref="D187">IFERROR(_xlfn.IFS(U187&lt;727,"MEET", AB187="FRRB","MEET", AB187="PSPS","MEET"),"No")</f>
        <v>MEET</v>
      </c>
      <c r="E187" s="23" t="str" cm="1">
        <f t="array" ref="E187">IFERROR(_xlfn.IFS(AM187&gt;0,"MEET", AN187&gt;0,"MEET"),"No")</f>
        <v>No</v>
      </c>
      <c r="F187" s="100">
        <v>2021128</v>
      </c>
      <c r="G187" s="37"/>
      <c r="H187" s="37">
        <f t="shared" si="36"/>
        <v>0.19583333333333333</v>
      </c>
      <c r="I187" s="37">
        <f t="shared" si="42"/>
        <v>0.19583333333333333</v>
      </c>
      <c r="J187" s="183">
        <v>2021</v>
      </c>
      <c r="K187" s="182"/>
      <c r="L187" s="182"/>
      <c r="M187" s="37">
        <f t="shared" si="38"/>
        <v>0</v>
      </c>
      <c r="N187" s="21">
        <v>0</v>
      </c>
      <c r="O187" s="183" t="s">
        <v>4878</v>
      </c>
      <c r="P187" s="182">
        <v>43141103</v>
      </c>
      <c r="Q187" s="182" t="s">
        <v>2433</v>
      </c>
      <c r="R187" s="183" t="s">
        <v>2432</v>
      </c>
      <c r="S187" s="38">
        <f>IFERROR(VLOOKUP(R187,[47]conductor_pz_summary_hftd_23_re!$B$2:$Q$3636,8,FALSE),0)</f>
        <v>212</v>
      </c>
      <c r="T187" s="201">
        <f>IFERROR(VLOOKUP(R187,[48]conductor_pz_summary_hftd_23_re!$B$2:$H$3636,7,0),0)/1609</f>
        <v>27.732817672521005</v>
      </c>
      <c r="U187" s="23">
        <f>IFERROR(VLOOKUP(R187,[47]conductor_pz_summary_hftd_23_re!$B$2:$Q$3636,14,FALSE),0)</f>
        <v>14</v>
      </c>
      <c r="V187" s="37">
        <f t="shared" si="28"/>
        <v>151.82914987294214</v>
      </c>
      <c r="W187" s="202">
        <f>IFERROR(VLOOKUP(R187,[47]conductor_pz_summary_hftd_23_re!$B$2:$Q$3636,13,FALSE),0)</f>
        <v>0.71617523524972704</v>
      </c>
      <c r="X187" s="160">
        <f>IFERROR(VLOOKUP(R187,conductor_pz_summary_hftd_23_re!$B$2:$N$3636,13,FALSE),0)</f>
        <v>102</v>
      </c>
      <c r="Y187" s="203">
        <f t="shared" si="29"/>
        <v>0.66472110760935266</v>
      </c>
      <c r="Z187" s="182"/>
      <c r="AA187" s="182"/>
      <c r="AB187" s="183" t="s">
        <v>5298</v>
      </c>
      <c r="AC187" s="94" t="s">
        <v>4872</v>
      </c>
      <c r="AD187" s="182" t="s">
        <v>4873</v>
      </c>
      <c r="AE187" s="182" t="s">
        <v>4874</v>
      </c>
      <c r="AF187" s="182" t="s">
        <v>4875</v>
      </c>
      <c r="AG187" s="183">
        <v>5794205</v>
      </c>
      <c r="AH187" s="183" t="s">
        <v>6280</v>
      </c>
      <c r="AI187" s="183">
        <v>120462186</v>
      </c>
      <c r="AJ187" s="120">
        <v>35227860</v>
      </c>
      <c r="AK187" s="183" t="s">
        <v>6272</v>
      </c>
      <c r="AL187" s="205">
        <v>1034</v>
      </c>
      <c r="AM187" s="205">
        <v>0</v>
      </c>
      <c r="AN187" s="205">
        <v>0</v>
      </c>
      <c r="AO187" s="205">
        <v>0</v>
      </c>
      <c r="AP187" s="182"/>
      <c r="AQ187" s="39" t="s">
        <v>5560</v>
      </c>
      <c r="AR187" s="183"/>
      <c r="AS187" s="183"/>
      <c r="AT187" s="92"/>
      <c r="AU187" s="39" t="s">
        <v>6451</v>
      </c>
      <c r="AV187" s="182">
        <v>0</v>
      </c>
      <c r="AW187" s="182">
        <v>0</v>
      </c>
      <c r="AX187" s="182">
        <v>1034</v>
      </c>
      <c r="AY187" s="23">
        <f t="shared" si="43"/>
        <v>1034</v>
      </c>
      <c r="AZ187" s="40">
        <f t="shared" si="44"/>
        <v>0.19583333333333333</v>
      </c>
      <c r="BA187" s="41">
        <v>223852</v>
      </c>
      <c r="BB187" s="187">
        <v>0</v>
      </c>
      <c r="BC187" s="44">
        <v>0</v>
      </c>
      <c r="BD187" s="191">
        <f t="shared" si="40"/>
        <v>0</v>
      </c>
      <c r="BE187" s="159"/>
      <c r="BF187" s="159"/>
      <c r="BG187" s="182"/>
      <c r="BH187" s="182"/>
      <c r="BI187" s="182"/>
      <c r="BJ187" s="182"/>
      <c r="BK187" s="182"/>
      <c r="BL187" s="182"/>
      <c r="BM187" s="182"/>
      <c r="BN187" s="182"/>
      <c r="BO187" s="182"/>
      <c r="BP187" s="182"/>
      <c r="BQ187" s="182"/>
      <c r="BR187" s="182"/>
      <c r="BS187" s="182"/>
      <c r="BT187" s="182"/>
    </row>
    <row r="188" spans="1:72" s="19" customFormat="1" x14ac:dyDescent="0.25">
      <c r="A188" s="218">
        <v>35227861</v>
      </c>
      <c r="B188" s="116" t="s">
        <v>5497</v>
      </c>
      <c r="C188" s="183">
        <v>13</v>
      </c>
      <c r="D188" s="23" t="str" cm="1">
        <f t="array" ref="D188">IFERROR(_xlfn.IFS(U188&lt;727,"MEET", AB188="FRRB","MEET", AB188="PSPS","MEET"),"No")</f>
        <v>MEET</v>
      </c>
      <c r="E188" s="23" t="str" cm="1">
        <f t="array" ref="E188">IFERROR(_xlfn.IFS(AM188&gt;0,"MEET", AN188&gt;0,"MEET"),"No")</f>
        <v>No</v>
      </c>
      <c r="F188" s="100">
        <v>2021129</v>
      </c>
      <c r="G188" s="37"/>
      <c r="H188" s="37">
        <f t="shared" ref="H188:H219" si="45">SUM(AL188:AO188)/5280</f>
        <v>1.5339015151515152</v>
      </c>
      <c r="I188" s="37">
        <f t="shared" si="42"/>
        <v>1.5339015151515152</v>
      </c>
      <c r="J188" s="183">
        <v>2021</v>
      </c>
      <c r="K188" s="182"/>
      <c r="L188" s="182"/>
      <c r="M188" s="37">
        <f t="shared" ref="M188:M219" si="46">SUM(K188:L188)</f>
        <v>0</v>
      </c>
      <c r="N188" s="21">
        <v>0</v>
      </c>
      <c r="O188" s="183" t="s">
        <v>4878</v>
      </c>
      <c r="P188" s="182">
        <v>43141103</v>
      </c>
      <c r="Q188" s="182" t="s">
        <v>2433</v>
      </c>
      <c r="R188" s="183" t="s">
        <v>2432</v>
      </c>
      <c r="S188" s="38">
        <f>IFERROR(VLOOKUP(R188,[47]conductor_pz_summary_hftd_23_re!$B$2:$Q$3636,8,FALSE),0)</f>
        <v>212</v>
      </c>
      <c r="T188" s="201">
        <f>IFERROR(VLOOKUP(R188,[48]conductor_pz_summary_hftd_23_re!$B$2:$H$3636,7,0),0)/1609</f>
        <v>27.732817672521005</v>
      </c>
      <c r="U188" s="23">
        <f>IFERROR(VLOOKUP(R188,[47]conductor_pz_summary_hftd_23_re!$B$2:$Q$3636,14,FALSE),0)</f>
        <v>14</v>
      </c>
      <c r="V188" s="37">
        <f t="shared" ref="V188:V251" si="47">IFERROR(W188*S188,0)</f>
        <v>151.82914987294214</v>
      </c>
      <c r="W188" s="202">
        <f>IFERROR(VLOOKUP(R188,[47]conductor_pz_summary_hftd_23_re!$B$2:$Q$3636,13,FALSE),0)</f>
        <v>0.71617523524972704</v>
      </c>
      <c r="X188" s="160">
        <f>IFERROR(VLOOKUP(R188,conductor_pz_summary_hftd_23_re!$B$2:$N$3636,13,FALSE),0)</f>
        <v>102</v>
      </c>
      <c r="Y188" s="203">
        <f t="shared" ref="Y188:Y251" si="48">(AL188*0.62+AM188*0.99+AN188+AO188*0.99)/(SUM(AL188:AO188))*V188*(H188/T188)</f>
        <v>5.2065534337796393</v>
      </c>
      <c r="Z188" s="182"/>
      <c r="AA188" s="182"/>
      <c r="AB188" s="183" t="s">
        <v>5298</v>
      </c>
      <c r="AC188" s="94" t="s">
        <v>4872</v>
      </c>
      <c r="AD188" s="182" t="s">
        <v>4873</v>
      </c>
      <c r="AE188" s="182" t="s">
        <v>4874</v>
      </c>
      <c r="AF188" s="182" t="s">
        <v>4875</v>
      </c>
      <c r="AG188" s="183">
        <v>5794205</v>
      </c>
      <c r="AH188" s="183" t="s">
        <v>6281</v>
      </c>
      <c r="AI188" s="183">
        <v>120462188</v>
      </c>
      <c r="AJ188" s="120">
        <v>35227861</v>
      </c>
      <c r="AK188" s="183" t="s">
        <v>6273</v>
      </c>
      <c r="AL188" s="205">
        <v>8099</v>
      </c>
      <c r="AM188" s="205">
        <v>0</v>
      </c>
      <c r="AN188" s="205">
        <v>0</v>
      </c>
      <c r="AO188" s="205">
        <v>0</v>
      </c>
      <c r="AP188" s="182"/>
      <c r="AQ188" s="39" t="s">
        <v>5560</v>
      </c>
      <c r="AR188" s="183"/>
      <c r="AS188" s="183"/>
      <c r="AT188" s="92"/>
      <c r="AU188" s="39" t="s">
        <v>6451</v>
      </c>
      <c r="AV188" s="182">
        <v>0</v>
      </c>
      <c r="AW188" s="182">
        <v>0</v>
      </c>
      <c r="AX188" s="182">
        <v>8099</v>
      </c>
      <c r="AY188" s="23">
        <f t="shared" si="43"/>
        <v>8099</v>
      </c>
      <c r="AZ188" s="40">
        <f t="shared" si="44"/>
        <v>1.5339015151515152</v>
      </c>
      <c r="BA188" s="41">
        <v>1685035</v>
      </c>
      <c r="BB188" s="187">
        <v>0</v>
      </c>
      <c r="BC188" s="44">
        <v>0</v>
      </c>
      <c r="BD188" s="191">
        <f t="shared" ref="BD188:BD219" si="49">IFERROR(BC188/BB188,0)</f>
        <v>0</v>
      </c>
      <c r="BE188" s="59"/>
      <c r="BF188" s="182"/>
      <c r="BG188" s="182"/>
      <c r="BH188" s="182"/>
      <c r="BI188" s="182"/>
      <c r="BJ188" s="182"/>
      <c r="BK188" s="182"/>
      <c r="BL188" s="182"/>
      <c r="BM188" s="182"/>
      <c r="BN188" s="182"/>
      <c r="BO188" s="182"/>
      <c r="BP188" s="182"/>
      <c r="BQ188" s="182"/>
      <c r="BR188" s="182"/>
      <c r="BS188" s="182"/>
      <c r="BT188" s="182"/>
    </row>
    <row r="189" spans="1:72" s="19" customFormat="1" x14ac:dyDescent="0.25">
      <c r="A189" s="218">
        <v>35227862</v>
      </c>
      <c r="B189" s="116" t="s">
        <v>5497</v>
      </c>
      <c r="C189" s="183">
        <v>13</v>
      </c>
      <c r="D189" s="23" t="str" cm="1">
        <f t="array" ref="D189">IFERROR(_xlfn.IFS(U189&lt;727,"MEET", AB189="FRRB","MEET", AB189="PSPS","MEET"),"No")</f>
        <v>MEET</v>
      </c>
      <c r="E189" s="23" t="str" cm="1">
        <f t="array" ref="E189">IFERROR(_xlfn.IFS(AM189&gt;0,"MEET", AN189&gt;0,"MEET"),"No")</f>
        <v>No</v>
      </c>
      <c r="F189" s="100">
        <v>2021130</v>
      </c>
      <c r="G189" s="37"/>
      <c r="H189" s="37">
        <f t="shared" si="45"/>
        <v>0.93465909090909094</v>
      </c>
      <c r="I189" s="37">
        <f t="shared" si="42"/>
        <v>0.93465909090909094</v>
      </c>
      <c r="J189" s="183">
        <v>2021</v>
      </c>
      <c r="K189" s="182"/>
      <c r="L189" s="182"/>
      <c r="M189" s="37">
        <f t="shared" si="46"/>
        <v>0</v>
      </c>
      <c r="N189" s="21">
        <v>0</v>
      </c>
      <c r="O189" s="183" t="s">
        <v>4878</v>
      </c>
      <c r="P189" s="182">
        <v>43141103</v>
      </c>
      <c r="Q189" s="182" t="s">
        <v>2433</v>
      </c>
      <c r="R189" s="183" t="s">
        <v>2432</v>
      </c>
      <c r="S189" s="38">
        <f>IFERROR(VLOOKUP(R189,[47]conductor_pz_summary_hftd_23_re!$B$2:$Q$3636,8,FALSE),0)</f>
        <v>212</v>
      </c>
      <c r="T189" s="201">
        <f>IFERROR(VLOOKUP(R189,[48]conductor_pz_summary_hftd_23_re!$B$2:$H$3636,7,0),0)/1609</f>
        <v>27.732817672521005</v>
      </c>
      <c r="U189" s="23">
        <f>IFERROR(VLOOKUP(R189,[47]conductor_pz_summary_hftd_23_re!$B$2:$Q$3636,14,FALSE),0)</f>
        <v>14</v>
      </c>
      <c r="V189" s="37">
        <f t="shared" si="47"/>
        <v>151.82914987294214</v>
      </c>
      <c r="W189" s="202">
        <f>IFERROR(VLOOKUP(R189,[47]conductor_pz_summary_hftd_23_re!$B$2:$Q$3636,13,FALSE),0)</f>
        <v>0.71617523524972704</v>
      </c>
      <c r="X189" s="160">
        <f>IFERROR(VLOOKUP(R189,conductor_pz_summary_hftd_23_re!$B$2:$N$3636,13,FALSE),0)</f>
        <v>102</v>
      </c>
      <c r="Y189" s="203">
        <f t="shared" si="48"/>
        <v>3.1725325590446376</v>
      </c>
      <c r="Z189" s="182"/>
      <c r="AA189" s="182"/>
      <c r="AB189" s="183" t="s">
        <v>5298</v>
      </c>
      <c r="AC189" s="94" t="s">
        <v>4872</v>
      </c>
      <c r="AD189" s="182" t="s">
        <v>4873</v>
      </c>
      <c r="AE189" s="182" t="s">
        <v>4874</v>
      </c>
      <c r="AF189" s="182" t="s">
        <v>4875</v>
      </c>
      <c r="AG189" s="183">
        <v>5794205</v>
      </c>
      <c r="AH189" s="183" t="s">
        <v>6282</v>
      </c>
      <c r="AI189" s="183">
        <v>120462232</v>
      </c>
      <c r="AJ189" s="120">
        <v>35227862</v>
      </c>
      <c r="AK189" s="183" t="s">
        <v>6274</v>
      </c>
      <c r="AL189" s="205">
        <v>4935</v>
      </c>
      <c r="AM189" s="205">
        <v>0</v>
      </c>
      <c r="AN189" s="205">
        <v>0</v>
      </c>
      <c r="AO189" s="205">
        <v>0</v>
      </c>
      <c r="AP189" s="182"/>
      <c r="AQ189" s="39" t="s">
        <v>5560</v>
      </c>
      <c r="AR189" s="183"/>
      <c r="AS189" s="183"/>
      <c r="AT189" s="92"/>
      <c r="AU189" s="39" t="s">
        <v>6451</v>
      </c>
      <c r="AV189" s="182">
        <v>0</v>
      </c>
      <c r="AW189" s="182">
        <v>0</v>
      </c>
      <c r="AX189" s="182">
        <v>4935</v>
      </c>
      <c r="AY189" s="23">
        <f t="shared" si="43"/>
        <v>4935</v>
      </c>
      <c r="AZ189" s="40">
        <f t="shared" si="44"/>
        <v>0.93465909090909094</v>
      </c>
      <c r="BA189" s="41">
        <v>1020657</v>
      </c>
      <c r="BB189" s="187">
        <v>0</v>
      </c>
      <c r="BC189" s="44">
        <v>0</v>
      </c>
      <c r="BD189" s="191">
        <f t="shared" si="49"/>
        <v>0</v>
      </c>
      <c r="BE189" s="182"/>
      <c r="BF189" s="182"/>
      <c r="BG189" s="182"/>
      <c r="BH189" s="182"/>
      <c r="BI189" s="182"/>
      <c r="BJ189" s="182"/>
      <c r="BK189" s="182"/>
      <c r="BL189" s="182"/>
      <c r="BM189" s="182"/>
      <c r="BN189" s="182"/>
      <c r="BO189" s="182"/>
      <c r="BP189" s="182"/>
      <c r="BQ189" s="182"/>
      <c r="BR189" s="182"/>
      <c r="BS189" s="182"/>
      <c r="BT189" s="182"/>
    </row>
    <row r="190" spans="1:72" s="19" customFormat="1" x14ac:dyDescent="0.25">
      <c r="A190" s="218">
        <v>35227863</v>
      </c>
      <c r="B190" s="116" t="s">
        <v>5497</v>
      </c>
      <c r="C190" s="183">
        <v>13</v>
      </c>
      <c r="D190" s="23" t="str" cm="1">
        <f t="array" ref="D190">IFERROR(_xlfn.IFS(U190&lt;727,"MEET", AB190="FRRB","MEET", AB190="PSPS","MEET"),"No")</f>
        <v>MEET</v>
      </c>
      <c r="E190" s="23" t="str" cm="1">
        <f t="array" ref="E190">IFERROR(_xlfn.IFS(AM190&gt;0,"MEET", AN190&gt;0,"MEET"),"No")</f>
        <v>No</v>
      </c>
      <c r="F190" s="100">
        <v>2021131</v>
      </c>
      <c r="G190" s="37"/>
      <c r="H190" s="37">
        <f t="shared" si="45"/>
        <v>0.79128787878787876</v>
      </c>
      <c r="I190" s="37">
        <f t="shared" si="42"/>
        <v>0.79128787878787876</v>
      </c>
      <c r="J190" s="183">
        <v>2021</v>
      </c>
      <c r="K190" s="182"/>
      <c r="L190" s="182"/>
      <c r="M190" s="37">
        <f t="shared" si="46"/>
        <v>0</v>
      </c>
      <c r="N190" s="21">
        <v>0</v>
      </c>
      <c r="O190" s="183" t="s">
        <v>4878</v>
      </c>
      <c r="P190" s="182">
        <v>43141103</v>
      </c>
      <c r="Q190" s="182" t="s">
        <v>2433</v>
      </c>
      <c r="R190" s="183" t="s">
        <v>2432</v>
      </c>
      <c r="S190" s="38">
        <f>IFERROR(VLOOKUP(R190,[47]conductor_pz_summary_hftd_23_re!$B$2:$Q$3636,8,FALSE),0)</f>
        <v>212</v>
      </c>
      <c r="T190" s="201">
        <f>IFERROR(VLOOKUP(R190,[48]conductor_pz_summary_hftd_23_re!$B$2:$H$3636,7,0),0)/1609</f>
        <v>27.732817672521005</v>
      </c>
      <c r="U190" s="23">
        <f>IFERROR(VLOOKUP(R190,[47]conductor_pz_summary_hftd_23_re!$B$2:$Q$3636,14,FALSE),0)</f>
        <v>14</v>
      </c>
      <c r="V190" s="37">
        <f t="shared" si="47"/>
        <v>151.82914987294214</v>
      </c>
      <c r="W190" s="202">
        <f>IFERROR(VLOOKUP(R190,[47]conductor_pz_summary_hftd_23_re!$B$2:$Q$3636,13,FALSE),0)</f>
        <v>0.71617523524972704</v>
      </c>
      <c r="X190" s="160">
        <f>IFERROR(VLOOKUP(R190,conductor_pz_summary_hftd_23_re!$B$2:$N$3636,13,FALSE),0)</f>
        <v>102</v>
      </c>
      <c r="Y190" s="203">
        <f t="shared" si="48"/>
        <v>2.6858847075356627</v>
      </c>
      <c r="Z190" s="182"/>
      <c r="AA190" s="182"/>
      <c r="AB190" s="183" t="s">
        <v>5298</v>
      </c>
      <c r="AC190" s="94" t="s">
        <v>4872</v>
      </c>
      <c r="AD190" s="182" t="s">
        <v>4873</v>
      </c>
      <c r="AE190" s="182" t="s">
        <v>4874</v>
      </c>
      <c r="AF190" s="182" t="s">
        <v>4875</v>
      </c>
      <c r="AG190" s="183">
        <v>5794205</v>
      </c>
      <c r="AH190" s="183" t="s">
        <v>6283</v>
      </c>
      <c r="AI190" s="183">
        <v>120462233</v>
      </c>
      <c r="AJ190" s="120">
        <v>35227863</v>
      </c>
      <c r="AK190" s="183" t="s">
        <v>6275</v>
      </c>
      <c r="AL190" s="205">
        <v>4178</v>
      </c>
      <c r="AM190" s="205">
        <v>0</v>
      </c>
      <c r="AN190" s="205">
        <v>0</v>
      </c>
      <c r="AO190" s="205">
        <v>0</v>
      </c>
      <c r="AP190" s="182"/>
      <c r="AQ190" s="39" t="s">
        <v>5560</v>
      </c>
      <c r="AR190" s="183"/>
      <c r="AS190" s="183"/>
      <c r="AT190" s="92"/>
      <c r="AU190" s="39" t="s">
        <v>6451</v>
      </c>
      <c r="AV190" s="182">
        <v>0</v>
      </c>
      <c r="AW190" s="182">
        <v>0</v>
      </c>
      <c r="AX190" s="182">
        <v>4178</v>
      </c>
      <c r="AY190" s="23">
        <f t="shared" si="43"/>
        <v>4178</v>
      </c>
      <c r="AZ190" s="40">
        <f t="shared" si="44"/>
        <v>0.79128787878787876</v>
      </c>
      <c r="BA190" s="41">
        <v>874094</v>
      </c>
      <c r="BB190" s="187">
        <v>0</v>
      </c>
      <c r="BC190" s="44">
        <v>0</v>
      </c>
      <c r="BD190" s="191">
        <f t="shared" si="49"/>
        <v>0</v>
      </c>
      <c r="BE190" s="182"/>
      <c r="BF190" s="182"/>
      <c r="BG190" s="182"/>
      <c r="BH190" s="182"/>
      <c r="BI190" s="182"/>
      <c r="BJ190" s="182"/>
      <c r="BK190" s="182"/>
      <c r="BL190" s="182"/>
      <c r="BM190" s="182"/>
      <c r="BN190" s="182"/>
      <c r="BO190" s="182"/>
      <c r="BP190" s="182"/>
      <c r="BQ190" s="182"/>
      <c r="BR190" s="182"/>
      <c r="BS190" s="182"/>
      <c r="BT190" s="182"/>
    </row>
    <row r="191" spans="1:72" s="19" customFormat="1" x14ac:dyDescent="0.25">
      <c r="A191" s="218">
        <v>35227864</v>
      </c>
      <c r="B191" s="116" t="s">
        <v>5497</v>
      </c>
      <c r="C191" s="183">
        <v>13</v>
      </c>
      <c r="D191" s="23" t="str" cm="1">
        <f t="array" ref="D191">IFERROR(_xlfn.IFS(U191&lt;727,"MEET", AB191="FRRB","MEET", AB191="PSPS","MEET"),"No")</f>
        <v>MEET</v>
      </c>
      <c r="E191" s="23" t="str" cm="1">
        <f t="array" ref="E191">IFERROR(_xlfn.IFS(AM191&gt;0,"MEET", AN191&gt;0,"MEET"),"No")</f>
        <v>MEET</v>
      </c>
      <c r="F191" s="100">
        <v>2021132</v>
      </c>
      <c r="G191" s="37"/>
      <c r="H191" s="37">
        <f t="shared" si="45"/>
        <v>1.8392045454545454</v>
      </c>
      <c r="I191" s="37">
        <f t="shared" si="42"/>
        <v>1.8392045454545454</v>
      </c>
      <c r="J191" s="183">
        <v>2021</v>
      </c>
      <c r="K191" s="182"/>
      <c r="L191" s="182"/>
      <c r="M191" s="37">
        <f t="shared" si="46"/>
        <v>0</v>
      </c>
      <c r="N191" s="21">
        <v>0</v>
      </c>
      <c r="O191" s="183" t="s">
        <v>4878</v>
      </c>
      <c r="P191" s="182">
        <v>43141103</v>
      </c>
      <c r="Q191" s="182" t="s">
        <v>2433</v>
      </c>
      <c r="R191" s="183" t="s">
        <v>2432</v>
      </c>
      <c r="S191" s="38">
        <f>IFERROR(VLOOKUP(R191,[47]conductor_pz_summary_hftd_23_re!$B$2:$Q$3636,8,FALSE),0)</f>
        <v>212</v>
      </c>
      <c r="T191" s="201">
        <f>IFERROR(VLOOKUP(R191,[48]conductor_pz_summary_hftd_23_re!$B$2:$H$3636,7,0),0)/1609</f>
        <v>27.732817672521005</v>
      </c>
      <c r="U191" s="23">
        <f>IFERROR(VLOOKUP(R191,[47]conductor_pz_summary_hftd_23_re!$B$2:$Q$3636,14,FALSE),0)</f>
        <v>14</v>
      </c>
      <c r="V191" s="37">
        <f t="shared" si="47"/>
        <v>151.82914987294214</v>
      </c>
      <c r="W191" s="202">
        <f>IFERROR(VLOOKUP(R191,[47]conductor_pz_summary_hftd_23_re!$B$2:$Q$3636,13,FALSE),0)</f>
        <v>0.71617523524972704</v>
      </c>
      <c r="X191" s="160">
        <f>IFERROR(VLOOKUP(R191,conductor_pz_summary_hftd_23_re!$B$2:$N$3636,13,FALSE),0)</f>
        <v>102</v>
      </c>
      <c r="Y191" s="203">
        <f t="shared" si="48"/>
        <v>9.9684214282686696</v>
      </c>
      <c r="Z191" s="182"/>
      <c r="AA191" s="182"/>
      <c r="AB191" s="183" t="s">
        <v>5298</v>
      </c>
      <c r="AC191" s="94" t="s">
        <v>4872</v>
      </c>
      <c r="AD191" s="182" t="s">
        <v>4873</v>
      </c>
      <c r="AE191" s="182" t="s">
        <v>4874</v>
      </c>
      <c r="AF191" s="182" t="s">
        <v>4875</v>
      </c>
      <c r="AG191" s="183">
        <v>5794205</v>
      </c>
      <c r="AH191" s="183" t="s">
        <v>6284</v>
      </c>
      <c r="AI191" s="183">
        <v>120462234</v>
      </c>
      <c r="AJ191" s="120">
        <v>35227864</v>
      </c>
      <c r="AK191" s="183" t="s">
        <v>6276</v>
      </c>
      <c r="AL191" s="205">
        <v>0</v>
      </c>
      <c r="AM191" s="205">
        <v>9711</v>
      </c>
      <c r="AN191" s="205">
        <v>0</v>
      </c>
      <c r="AO191" s="205">
        <v>0</v>
      </c>
      <c r="AP191" s="182"/>
      <c r="AQ191" s="39" t="s">
        <v>5560</v>
      </c>
      <c r="AR191" s="183"/>
      <c r="AS191" s="183"/>
      <c r="AT191" s="92"/>
      <c r="AU191" s="39" t="s">
        <v>6451</v>
      </c>
      <c r="AV191" s="182">
        <v>0</v>
      </c>
      <c r="AW191" s="182">
        <v>9711</v>
      </c>
      <c r="AX191" s="182">
        <v>0</v>
      </c>
      <c r="AY191" s="23">
        <f t="shared" si="43"/>
        <v>9711</v>
      </c>
      <c r="AZ191" s="40">
        <f t="shared" si="44"/>
        <v>1.8392045454545454</v>
      </c>
      <c r="BA191" s="41">
        <v>3498820</v>
      </c>
      <c r="BB191" s="187">
        <v>0</v>
      </c>
      <c r="BC191" s="44">
        <v>0</v>
      </c>
      <c r="BD191" s="191">
        <f t="shared" si="49"/>
        <v>0</v>
      </c>
      <c r="BE191" s="182"/>
      <c r="BF191" s="182"/>
      <c r="BG191" s="182"/>
      <c r="BH191" s="182"/>
      <c r="BI191" s="182"/>
      <c r="BJ191" s="182"/>
      <c r="BK191" s="182"/>
      <c r="BL191" s="182"/>
      <c r="BM191" s="182"/>
      <c r="BN191" s="182"/>
      <c r="BO191" s="182"/>
      <c r="BP191" s="182"/>
      <c r="BQ191" s="182"/>
      <c r="BR191" s="182"/>
      <c r="BS191" s="182"/>
      <c r="BT191" s="182"/>
    </row>
    <row r="192" spans="1:72" s="19" customFormat="1" x14ac:dyDescent="0.25">
      <c r="A192" s="218">
        <v>35227866</v>
      </c>
      <c r="B192" s="116" t="s">
        <v>5497</v>
      </c>
      <c r="C192" s="183">
        <v>13</v>
      </c>
      <c r="D192" s="23" t="str" cm="1">
        <f t="array" ref="D192">IFERROR(_xlfn.IFS(U192&lt;727,"MEET", AB192="FRRB","MEET", AB192="PSPS","MEET"),"No")</f>
        <v>MEET</v>
      </c>
      <c r="E192" s="23" t="str" cm="1">
        <f t="array" ref="E192">IFERROR(_xlfn.IFS(AM192&gt;0,"MEET", AN192&gt;0,"MEET"),"No")</f>
        <v>No</v>
      </c>
      <c r="F192" s="100">
        <v>2021133</v>
      </c>
      <c r="G192" s="37"/>
      <c r="H192" s="37">
        <f t="shared" si="45"/>
        <v>0.52386363636363631</v>
      </c>
      <c r="I192" s="37">
        <f t="shared" si="42"/>
        <v>0.52386363636363631</v>
      </c>
      <c r="J192" s="183">
        <v>2021</v>
      </c>
      <c r="K192" s="182"/>
      <c r="L192" s="182"/>
      <c r="M192" s="37">
        <f t="shared" si="46"/>
        <v>0</v>
      </c>
      <c r="N192" s="21">
        <v>0</v>
      </c>
      <c r="O192" s="183" t="s">
        <v>4878</v>
      </c>
      <c r="P192" s="182">
        <v>43141103</v>
      </c>
      <c r="Q192" s="182" t="s">
        <v>2433</v>
      </c>
      <c r="R192" s="183" t="s">
        <v>2432</v>
      </c>
      <c r="S192" s="38">
        <f>IFERROR(VLOOKUP(R192,[47]conductor_pz_summary_hftd_23_re!$B$2:$Q$3636,8,FALSE),0)</f>
        <v>212</v>
      </c>
      <c r="T192" s="201">
        <f>IFERROR(VLOOKUP(R192,[48]conductor_pz_summary_hftd_23_re!$B$2:$H$3636,7,0),0)/1609</f>
        <v>27.732817672521005</v>
      </c>
      <c r="U192" s="23">
        <f>IFERROR(VLOOKUP(R192,[47]conductor_pz_summary_hftd_23_re!$B$2:$Q$3636,14,FALSE),0)</f>
        <v>14</v>
      </c>
      <c r="V192" s="37">
        <f t="shared" si="47"/>
        <v>151.82914987294214</v>
      </c>
      <c r="W192" s="202">
        <f>IFERROR(VLOOKUP(R192,[47]conductor_pz_summary_hftd_23_re!$B$2:$Q$3636,13,FALSE),0)</f>
        <v>0.71617523524972704</v>
      </c>
      <c r="X192" s="160">
        <f>IFERROR(VLOOKUP(R192,conductor_pz_summary_hftd_23_re!$B$2:$N$3636,13,FALSE),0)</f>
        <v>102</v>
      </c>
      <c r="Y192" s="203">
        <f t="shared" si="48"/>
        <v>1.7781611060420399</v>
      </c>
      <c r="Z192" s="182"/>
      <c r="AA192" s="182"/>
      <c r="AB192" s="183" t="s">
        <v>5298</v>
      </c>
      <c r="AC192" s="94" t="s">
        <v>4872</v>
      </c>
      <c r="AD192" s="182" t="s">
        <v>4873</v>
      </c>
      <c r="AE192" s="182" t="s">
        <v>4874</v>
      </c>
      <c r="AF192" s="182" t="s">
        <v>4875</v>
      </c>
      <c r="AG192" s="183">
        <v>5794205</v>
      </c>
      <c r="AH192" s="183" t="s">
        <v>6285</v>
      </c>
      <c r="AI192" s="183">
        <v>120462238</v>
      </c>
      <c r="AJ192" s="120">
        <v>35227866</v>
      </c>
      <c r="AK192" s="183" t="s">
        <v>6277</v>
      </c>
      <c r="AL192" s="205">
        <v>2766</v>
      </c>
      <c r="AM192" s="205">
        <v>0</v>
      </c>
      <c r="AN192" s="205">
        <v>0</v>
      </c>
      <c r="AO192" s="205">
        <v>0</v>
      </c>
      <c r="AP192" s="182"/>
      <c r="AQ192" s="39" t="s">
        <v>5560</v>
      </c>
      <c r="AR192" s="183"/>
      <c r="AS192" s="183"/>
      <c r="AT192" s="92"/>
      <c r="AU192" s="39" t="s">
        <v>6451</v>
      </c>
      <c r="AV192" s="182">
        <v>0</v>
      </c>
      <c r="AW192" s="182">
        <v>0</v>
      </c>
      <c r="AX192" s="182">
        <v>2766</v>
      </c>
      <c r="AY192" s="23">
        <f t="shared" si="43"/>
        <v>2766</v>
      </c>
      <c r="AZ192" s="40">
        <f t="shared" si="44"/>
        <v>0.52386363636363631</v>
      </c>
      <c r="BA192" s="41">
        <v>592064</v>
      </c>
      <c r="BB192" s="187">
        <v>0</v>
      </c>
      <c r="BC192" s="44">
        <v>0</v>
      </c>
      <c r="BD192" s="191">
        <f t="shared" si="49"/>
        <v>0</v>
      </c>
      <c r="BE192" s="182"/>
      <c r="BF192" s="182"/>
      <c r="BG192" s="182"/>
      <c r="BH192" s="182"/>
      <c r="BI192" s="182"/>
      <c r="BJ192" s="182"/>
      <c r="BK192" s="182"/>
      <c r="BL192" s="182"/>
      <c r="BM192" s="182"/>
      <c r="BN192" s="182"/>
      <c r="BO192" s="182"/>
      <c r="BP192" s="182"/>
      <c r="BQ192" s="182"/>
      <c r="BR192" s="182"/>
      <c r="BS192" s="182"/>
      <c r="BT192" s="182"/>
    </row>
    <row r="193" spans="1:72" s="19" customFormat="1" x14ac:dyDescent="0.25">
      <c r="A193" s="218">
        <v>35227867</v>
      </c>
      <c r="B193" s="116" t="s">
        <v>5497</v>
      </c>
      <c r="C193" s="183">
        <v>13</v>
      </c>
      <c r="D193" s="23" t="str" cm="1">
        <f t="array" ref="D193">IFERROR(_xlfn.IFS(U193&lt;727,"MEET", AB193="FRRB","MEET", AB193="PSPS","MEET"),"No")</f>
        <v>MEET</v>
      </c>
      <c r="E193" s="23" t="str" cm="1">
        <f t="array" ref="E193">IFERROR(_xlfn.IFS(AM193&gt;0,"MEET", AN193&gt;0,"MEET"),"No")</f>
        <v>No</v>
      </c>
      <c r="F193" s="100">
        <v>2021134</v>
      </c>
      <c r="G193" s="37"/>
      <c r="H193" s="37">
        <f t="shared" si="45"/>
        <v>0.99526515151515149</v>
      </c>
      <c r="I193" s="37">
        <f t="shared" si="42"/>
        <v>0.99526515151515149</v>
      </c>
      <c r="J193" s="183">
        <v>2021</v>
      </c>
      <c r="K193" s="182"/>
      <c r="L193" s="182"/>
      <c r="M193" s="37">
        <f t="shared" si="46"/>
        <v>0</v>
      </c>
      <c r="N193" s="21">
        <v>0</v>
      </c>
      <c r="O193" s="183" t="s">
        <v>4878</v>
      </c>
      <c r="P193" s="182">
        <v>43141103</v>
      </c>
      <c r="Q193" s="182" t="s">
        <v>2433</v>
      </c>
      <c r="R193" s="183" t="s">
        <v>2432</v>
      </c>
      <c r="S193" s="38">
        <f>IFERROR(VLOOKUP(R193,[47]conductor_pz_summary_hftd_23_re!$B$2:$Q$3636,8,FALSE),0)</f>
        <v>212</v>
      </c>
      <c r="T193" s="201">
        <f>IFERROR(VLOOKUP(R193,[48]conductor_pz_summary_hftd_23_re!$B$2:$H$3636,7,0),0)/1609</f>
        <v>27.732817672521005</v>
      </c>
      <c r="U193" s="23">
        <f>IFERROR(VLOOKUP(R193,[47]conductor_pz_summary_hftd_23_re!$B$2:$Q$3636,14,FALSE),0)</f>
        <v>14</v>
      </c>
      <c r="V193" s="37">
        <f t="shared" si="47"/>
        <v>151.82914987294214</v>
      </c>
      <c r="W193" s="202">
        <f>IFERROR(VLOOKUP(R193,[47]conductor_pz_summary_hftd_23_re!$B$2:$Q$3636,13,FALSE),0)</f>
        <v>0.71617523524972704</v>
      </c>
      <c r="X193" s="160">
        <f>IFERROR(VLOOKUP(R193,conductor_pz_summary_hftd_23_re!$B$2:$N$3636,13,FALSE),0)</f>
        <v>102</v>
      </c>
      <c r="Y193" s="203">
        <f t="shared" si="48"/>
        <v>3.3782489559837026</v>
      </c>
      <c r="Z193" s="182"/>
      <c r="AA193" s="182"/>
      <c r="AB193" s="183" t="s">
        <v>5298</v>
      </c>
      <c r="AC193" s="94" t="s">
        <v>4872</v>
      </c>
      <c r="AD193" s="182" t="s">
        <v>4873</v>
      </c>
      <c r="AE193" s="182" t="s">
        <v>4874</v>
      </c>
      <c r="AF193" s="182" t="s">
        <v>4875</v>
      </c>
      <c r="AG193" s="183">
        <v>5794205</v>
      </c>
      <c r="AH193" s="183" t="s">
        <v>6286</v>
      </c>
      <c r="AI193" s="183">
        <v>120462241</v>
      </c>
      <c r="AJ193" s="120">
        <v>35227867</v>
      </c>
      <c r="AK193" s="183" t="s">
        <v>6278</v>
      </c>
      <c r="AL193" s="205">
        <v>5255</v>
      </c>
      <c r="AM193" s="205">
        <v>0</v>
      </c>
      <c r="AN193" s="205">
        <v>0</v>
      </c>
      <c r="AO193" s="205">
        <v>0</v>
      </c>
      <c r="AP193" s="182"/>
      <c r="AQ193" s="39" t="s">
        <v>5560</v>
      </c>
      <c r="AR193" s="183"/>
      <c r="AS193" s="183"/>
      <c r="AT193" s="92"/>
      <c r="AU193" s="39" t="s">
        <v>6451</v>
      </c>
      <c r="AV193" s="182">
        <v>0</v>
      </c>
      <c r="AW193" s="182">
        <v>0</v>
      </c>
      <c r="AX193" s="182">
        <v>5255</v>
      </c>
      <c r="AY193" s="23">
        <f t="shared" si="43"/>
        <v>5255</v>
      </c>
      <c r="AZ193" s="40">
        <f t="shared" si="44"/>
        <v>0.99526515151515149</v>
      </c>
      <c r="BA193" s="41">
        <v>1116839</v>
      </c>
      <c r="BB193" s="187">
        <v>0</v>
      </c>
      <c r="BC193" s="44">
        <v>0</v>
      </c>
      <c r="BD193" s="191">
        <f t="shared" si="49"/>
        <v>0</v>
      </c>
      <c r="BE193" s="182"/>
      <c r="BF193" s="182"/>
      <c r="BG193" s="182"/>
      <c r="BH193" s="182"/>
      <c r="BI193" s="182"/>
      <c r="BJ193" s="182"/>
      <c r="BK193" s="182"/>
      <c r="BL193" s="182"/>
      <c r="BM193" s="182"/>
      <c r="BN193" s="182"/>
      <c r="BO193" s="182"/>
      <c r="BP193" s="182"/>
      <c r="BQ193" s="182"/>
      <c r="BR193" s="182"/>
      <c r="BS193" s="182"/>
      <c r="BT193" s="182"/>
    </row>
    <row r="194" spans="1:72" s="19" customFormat="1" x14ac:dyDescent="0.25">
      <c r="A194" s="218">
        <v>35227868</v>
      </c>
      <c r="B194" s="116" t="s">
        <v>5497</v>
      </c>
      <c r="C194" s="183">
        <v>13</v>
      </c>
      <c r="D194" s="23" t="str" cm="1">
        <f t="array" ref="D194">IFERROR(_xlfn.IFS(U194&lt;727,"MEET", AB194="FRRB","MEET", AB194="PSPS","MEET"),"No")</f>
        <v>MEET</v>
      </c>
      <c r="E194" s="23" t="str" cm="1">
        <f t="array" ref="E194">IFERROR(_xlfn.IFS(AM194&gt;0,"MEET", AN194&gt;0,"MEET"),"No")</f>
        <v>No</v>
      </c>
      <c r="F194" s="100">
        <v>2021135</v>
      </c>
      <c r="G194" s="37"/>
      <c r="H194" s="37">
        <f t="shared" si="45"/>
        <v>0.5168560606060606</v>
      </c>
      <c r="I194" s="37">
        <f t="shared" si="42"/>
        <v>0.5168560606060606</v>
      </c>
      <c r="J194" s="183">
        <v>2021</v>
      </c>
      <c r="K194" s="182"/>
      <c r="L194" s="182"/>
      <c r="M194" s="37">
        <f t="shared" si="46"/>
        <v>0</v>
      </c>
      <c r="N194" s="21">
        <v>0</v>
      </c>
      <c r="O194" s="183" t="s">
        <v>4878</v>
      </c>
      <c r="P194" s="182">
        <v>43141103</v>
      </c>
      <c r="Q194" s="182" t="s">
        <v>2433</v>
      </c>
      <c r="R194" s="183" t="s">
        <v>2432</v>
      </c>
      <c r="S194" s="38">
        <f>IFERROR(VLOOKUP(R194,[47]conductor_pz_summary_hftd_23_re!$B$2:$Q$3636,8,FALSE),0)</f>
        <v>212</v>
      </c>
      <c r="T194" s="201">
        <f>IFERROR(VLOOKUP(R194,[48]conductor_pz_summary_hftd_23_re!$B$2:$H$3636,7,0),0)/1609</f>
        <v>27.732817672521005</v>
      </c>
      <c r="U194" s="23">
        <f>IFERROR(VLOOKUP(R194,[47]conductor_pz_summary_hftd_23_re!$B$2:$Q$3636,14,FALSE),0)</f>
        <v>14</v>
      </c>
      <c r="V194" s="37">
        <f t="shared" si="47"/>
        <v>151.82914987294214</v>
      </c>
      <c r="W194" s="202">
        <f>IFERROR(VLOOKUP(R194,[47]conductor_pz_summary_hftd_23_re!$B$2:$Q$3636,13,FALSE),0)</f>
        <v>0.71617523524972704</v>
      </c>
      <c r="X194" s="73">
        <f>IFERROR(VLOOKUP(R194,conductor_pz_summary_hftd_23_re!$B$2:$N$3636,13,FALSE),0)</f>
        <v>102</v>
      </c>
      <c r="Y194" s="203">
        <f t="shared" si="48"/>
        <v>1.7543751476459606</v>
      </c>
      <c r="Z194" s="182"/>
      <c r="AA194" s="182"/>
      <c r="AB194" s="183" t="s">
        <v>5298</v>
      </c>
      <c r="AC194" s="94" t="s">
        <v>4872</v>
      </c>
      <c r="AD194" s="182" t="s">
        <v>4873</v>
      </c>
      <c r="AE194" s="182" t="s">
        <v>4874</v>
      </c>
      <c r="AF194" s="182" t="s">
        <v>4875</v>
      </c>
      <c r="AG194" s="183">
        <v>5794205</v>
      </c>
      <c r="AH194" s="183" t="s">
        <v>6287</v>
      </c>
      <c r="AI194" s="183">
        <v>120462242</v>
      </c>
      <c r="AJ194" s="120">
        <v>35227868</v>
      </c>
      <c r="AK194" s="183" t="s">
        <v>6279</v>
      </c>
      <c r="AL194" s="205">
        <v>2729</v>
      </c>
      <c r="AM194" s="205">
        <v>0</v>
      </c>
      <c r="AN194" s="205">
        <v>0</v>
      </c>
      <c r="AO194" s="205">
        <v>0</v>
      </c>
      <c r="AP194" s="182"/>
      <c r="AQ194" s="39" t="s">
        <v>5560</v>
      </c>
      <c r="AR194" s="183"/>
      <c r="AS194" s="183"/>
      <c r="AT194" s="92"/>
      <c r="AU194" s="39" t="s">
        <v>6451</v>
      </c>
      <c r="AV194" s="182">
        <v>0</v>
      </c>
      <c r="AW194" s="182">
        <v>0</v>
      </c>
      <c r="AX194" s="182">
        <v>2729</v>
      </c>
      <c r="AY194" s="23">
        <f t="shared" si="43"/>
        <v>2729</v>
      </c>
      <c r="AZ194" s="40">
        <f t="shared" si="44"/>
        <v>0.5168560606060606</v>
      </c>
      <c r="BA194" s="41">
        <v>584412</v>
      </c>
      <c r="BB194" s="187">
        <v>0</v>
      </c>
      <c r="BC194" s="44">
        <v>0</v>
      </c>
      <c r="BD194" s="191">
        <f t="shared" si="49"/>
        <v>0</v>
      </c>
      <c r="BE194" s="182"/>
      <c r="BF194" s="182"/>
      <c r="BG194" s="182"/>
      <c r="BH194" s="182"/>
      <c r="BI194" s="182"/>
      <c r="BJ194" s="182"/>
      <c r="BK194" s="182"/>
      <c r="BL194" s="182"/>
      <c r="BM194" s="182"/>
      <c r="BN194" s="182"/>
      <c r="BO194" s="182"/>
      <c r="BP194" s="182"/>
      <c r="BQ194" s="182"/>
      <c r="BR194" s="182"/>
      <c r="BS194" s="182"/>
      <c r="BT194" s="182"/>
    </row>
    <row r="195" spans="1:72" s="19" customFormat="1" x14ac:dyDescent="0.25">
      <c r="A195" s="218">
        <v>35220895</v>
      </c>
      <c r="B195" s="116" t="s">
        <v>5497</v>
      </c>
      <c r="C195" s="183">
        <v>13</v>
      </c>
      <c r="D195" s="23" t="str" cm="1">
        <f t="array" ref="D195">IFERROR(_xlfn.IFS(U195&lt;727,"MEET", AB195="FRRB","MEET", AB195="PSPS","MEET"),"No")</f>
        <v>MEET</v>
      </c>
      <c r="E195" s="23" t="str" cm="1">
        <f t="array" ref="E195">IFERROR(_xlfn.IFS(AM195&gt;0,"MEET", AN195&gt;0,"MEET"),"No")</f>
        <v>MEET</v>
      </c>
      <c r="F195" s="100">
        <v>2021136</v>
      </c>
      <c r="G195" s="37"/>
      <c r="H195" s="37">
        <f t="shared" si="45"/>
        <v>2.1488636363636364</v>
      </c>
      <c r="I195" s="37">
        <f t="shared" si="42"/>
        <v>2.1488636363636364</v>
      </c>
      <c r="J195" s="183">
        <v>2021</v>
      </c>
      <c r="K195" s="182"/>
      <c r="L195" s="182"/>
      <c r="M195" s="37">
        <f t="shared" si="46"/>
        <v>0</v>
      </c>
      <c r="N195" s="182">
        <v>13660.71</v>
      </c>
      <c r="O195" s="183" t="s">
        <v>4878</v>
      </c>
      <c r="P195" s="182">
        <v>43141103</v>
      </c>
      <c r="Q195" s="182" t="s">
        <v>2433</v>
      </c>
      <c r="R195" s="183" t="s">
        <v>2432</v>
      </c>
      <c r="S195" s="38">
        <f>IFERROR(VLOOKUP(R195,[47]conductor_pz_summary_hftd_23_re!$B$2:$Q$3636,8,FALSE),0)</f>
        <v>212</v>
      </c>
      <c r="T195" s="201">
        <f>IFERROR(VLOOKUP(R195,[48]conductor_pz_summary_hftd_23_re!$B$2:$H$3636,7,0),0)/1609</f>
        <v>27.732817672521005</v>
      </c>
      <c r="U195" s="23">
        <v>14</v>
      </c>
      <c r="V195" s="37">
        <f t="shared" si="47"/>
        <v>151.82914987294214</v>
      </c>
      <c r="W195" s="202">
        <f>IFERROR(VLOOKUP(R195,[47]conductor_pz_summary_hftd_23_re!$B$2:$Q$3636,13,FALSE),0)</f>
        <v>0.71617523524972704</v>
      </c>
      <c r="X195" s="160">
        <f>IFERROR(VLOOKUP(R195,conductor_pz_summary_hftd_23_re!$B$2:$N$3636,13,FALSE),0)</f>
        <v>102</v>
      </c>
      <c r="Y195" s="203">
        <f t="shared" si="48"/>
        <v>11.210558600028358</v>
      </c>
      <c r="Z195" s="182"/>
      <c r="AA195" s="182"/>
      <c r="AB195" s="183" t="s">
        <v>5298</v>
      </c>
      <c r="AC195" s="94" t="s">
        <v>4872</v>
      </c>
      <c r="AD195" s="182" t="s">
        <v>4873</v>
      </c>
      <c r="AE195" s="182" t="s">
        <v>4874</v>
      </c>
      <c r="AF195" s="182" t="s">
        <v>4875</v>
      </c>
      <c r="AG195" s="183">
        <v>5794205</v>
      </c>
      <c r="AH195" s="183" t="s">
        <v>5514</v>
      </c>
      <c r="AI195" s="183">
        <v>120221891</v>
      </c>
      <c r="AJ195" s="120">
        <v>35220895</v>
      </c>
      <c r="AK195" s="183" t="s">
        <v>6321</v>
      </c>
      <c r="AL195" s="205">
        <v>1137</v>
      </c>
      <c r="AM195" s="205">
        <v>10209</v>
      </c>
      <c r="AN195" s="205">
        <v>0</v>
      </c>
      <c r="AO195" s="205">
        <v>0</v>
      </c>
      <c r="AP195" s="182"/>
      <c r="AQ195" s="39" t="s">
        <v>5561</v>
      </c>
      <c r="AR195" s="183">
        <f>AS195*5280</f>
        <v>48681.600000000006</v>
      </c>
      <c r="AS195" s="183">
        <v>9.2200000000000006</v>
      </c>
      <c r="AT195" s="92">
        <v>7050000</v>
      </c>
      <c r="AU195" s="39" t="s">
        <v>6388</v>
      </c>
      <c r="AV195" s="182">
        <v>0</v>
      </c>
      <c r="AW195" s="182">
        <v>10209</v>
      </c>
      <c r="AX195" s="182">
        <v>1137</v>
      </c>
      <c r="AY195" s="23">
        <f t="shared" si="43"/>
        <v>11346</v>
      </c>
      <c r="AZ195" s="40">
        <f t="shared" si="44"/>
        <v>2.1488636363636364</v>
      </c>
      <c r="BA195" s="41">
        <v>3553334</v>
      </c>
      <c r="BB195" s="187">
        <v>19.39</v>
      </c>
      <c r="BC195" s="44">
        <v>18300</v>
      </c>
      <c r="BD195" s="191">
        <f t="shared" si="49"/>
        <v>943.78545642083543</v>
      </c>
      <c r="BE195" s="182"/>
      <c r="BF195" s="182"/>
      <c r="BG195" s="182"/>
      <c r="BH195" s="182"/>
      <c r="BI195" s="182"/>
      <c r="BJ195" s="182"/>
      <c r="BK195" s="182"/>
      <c r="BL195" s="182"/>
      <c r="BM195" s="182"/>
      <c r="BN195" s="182"/>
      <c r="BO195" s="182"/>
      <c r="BP195" s="182"/>
      <c r="BQ195" s="182"/>
      <c r="BR195" s="182"/>
      <c r="BS195" s="182"/>
      <c r="BT195" s="182"/>
    </row>
    <row r="196" spans="1:72" s="19" customFormat="1" x14ac:dyDescent="0.25">
      <c r="A196" s="218">
        <v>35228186</v>
      </c>
      <c r="B196" s="116" t="s">
        <v>5497</v>
      </c>
      <c r="C196" s="183">
        <v>13</v>
      </c>
      <c r="D196" s="23" t="str" cm="1">
        <f t="array" ref="D196">IFERROR(_xlfn.IFS(U196&lt;727,"MEET", AB196="FRRB","MEET", AB196="PSPS","MEET"),"No")</f>
        <v>MEET</v>
      </c>
      <c r="E196" s="23" t="str" cm="1">
        <f t="array" ref="E196">IFERROR(_xlfn.IFS(AM196&gt;0,"MEET", AN196&gt;0,"MEET"),"No")</f>
        <v>MEET</v>
      </c>
      <c r="F196" s="100">
        <v>2021137</v>
      </c>
      <c r="G196" s="37"/>
      <c r="H196" s="37">
        <f t="shared" si="45"/>
        <v>1.4846590909090909</v>
      </c>
      <c r="I196" s="37">
        <f t="shared" si="42"/>
        <v>1.4846590909090909</v>
      </c>
      <c r="J196" s="183">
        <v>2021</v>
      </c>
      <c r="K196" s="182"/>
      <c r="L196" s="182"/>
      <c r="M196" s="37">
        <f t="shared" si="46"/>
        <v>0</v>
      </c>
      <c r="N196" s="21">
        <v>0</v>
      </c>
      <c r="O196" s="183" t="s">
        <v>4878</v>
      </c>
      <c r="P196" s="182">
        <v>43141103</v>
      </c>
      <c r="Q196" s="182" t="s">
        <v>2433</v>
      </c>
      <c r="R196" s="183" t="s">
        <v>2432</v>
      </c>
      <c r="S196" s="38">
        <f>IFERROR(VLOOKUP(R196,[47]conductor_pz_summary_hftd_23_re!$B$2:$Q$3636,8,FALSE),0)</f>
        <v>212</v>
      </c>
      <c r="T196" s="201">
        <f>IFERROR(VLOOKUP(R196,[48]conductor_pz_summary_hftd_23_re!$B$2:$H$3636,7,0),0)/1609</f>
        <v>27.732817672521005</v>
      </c>
      <c r="U196" s="23">
        <v>14</v>
      </c>
      <c r="V196" s="37">
        <f t="shared" si="47"/>
        <v>151.82914987294214</v>
      </c>
      <c r="W196" s="202">
        <f>IFERROR(VLOOKUP(R196,[47]conductor_pz_summary_hftd_23_re!$B$2:$Q$3636,13,FALSE),0)</f>
        <v>0.71617523524972704</v>
      </c>
      <c r="X196" s="160">
        <f>IFERROR(VLOOKUP(R196,conductor_pz_summary_hftd_23_re!$B$2:$N$3636,13,FALSE),0)</f>
        <v>102</v>
      </c>
      <c r="Y196" s="203">
        <f t="shared" si="48"/>
        <v>8.0467980204096499</v>
      </c>
      <c r="Z196" s="182"/>
      <c r="AA196" s="182"/>
      <c r="AB196" s="183" t="s">
        <v>5298</v>
      </c>
      <c r="AC196" s="94" t="s">
        <v>4872</v>
      </c>
      <c r="AD196" s="182" t="s">
        <v>4873</v>
      </c>
      <c r="AE196" s="182" t="s">
        <v>4874</v>
      </c>
      <c r="AF196" s="182" t="s">
        <v>4875</v>
      </c>
      <c r="AG196" s="183">
        <v>5794205</v>
      </c>
      <c r="AH196" s="183" t="s">
        <v>6308</v>
      </c>
      <c r="AI196" s="183">
        <v>120475322</v>
      </c>
      <c r="AJ196" s="120">
        <v>35228186</v>
      </c>
      <c r="AK196" s="183" t="s">
        <v>6311</v>
      </c>
      <c r="AL196" s="205">
        <v>0</v>
      </c>
      <c r="AM196" s="205">
        <v>7839</v>
      </c>
      <c r="AN196" s="205">
        <v>0</v>
      </c>
      <c r="AO196" s="205"/>
      <c r="AP196" s="182"/>
      <c r="AQ196" s="39" t="s">
        <v>5561</v>
      </c>
      <c r="AR196" s="183"/>
      <c r="AS196" s="183"/>
      <c r="AT196" s="92"/>
      <c r="AU196" s="39" t="s">
        <v>6388</v>
      </c>
      <c r="AV196" s="182">
        <v>0</v>
      </c>
      <c r="AW196" s="182">
        <v>7839</v>
      </c>
      <c r="AX196" s="182">
        <v>0</v>
      </c>
      <c r="AY196" s="23">
        <f t="shared" si="43"/>
        <v>7839</v>
      </c>
      <c r="AZ196" s="40">
        <f t="shared" si="44"/>
        <v>1.4846590909090909</v>
      </c>
      <c r="BA196" s="41">
        <v>2916780</v>
      </c>
      <c r="BB196" s="187">
        <v>0</v>
      </c>
      <c r="BC196" s="44">
        <v>0</v>
      </c>
      <c r="BD196" s="191">
        <f t="shared" si="49"/>
        <v>0</v>
      </c>
      <c r="BE196" s="182"/>
      <c r="BF196" s="182"/>
      <c r="BG196" s="182"/>
      <c r="BH196" s="182"/>
      <c r="BI196" s="182"/>
      <c r="BJ196" s="182"/>
      <c r="BK196" s="182"/>
      <c r="BL196" s="182"/>
      <c r="BM196" s="182"/>
      <c r="BN196" s="182"/>
      <c r="BO196" s="182"/>
      <c r="BP196" s="182"/>
      <c r="BQ196" s="182"/>
      <c r="BR196" s="182"/>
      <c r="BS196" s="182"/>
      <c r="BT196" s="182"/>
    </row>
    <row r="197" spans="1:72" s="19" customFormat="1" x14ac:dyDescent="0.25">
      <c r="A197" s="218">
        <v>35228187</v>
      </c>
      <c r="B197" s="116" t="s">
        <v>5497</v>
      </c>
      <c r="C197" s="183">
        <v>13</v>
      </c>
      <c r="D197" s="23" t="str" cm="1">
        <f t="array" ref="D197">IFERROR(_xlfn.IFS(U197&lt;727,"MEET", AB197="FRRB","MEET", AB197="PSPS","MEET"),"No")</f>
        <v>MEET</v>
      </c>
      <c r="E197" s="23" t="str" cm="1">
        <f t="array" ref="E197">IFERROR(_xlfn.IFS(AM197&gt;0,"MEET", AN197&gt;0,"MEET"),"No")</f>
        <v>No</v>
      </c>
      <c r="F197" s="100">
        <v>2021138</v>
      </c>
      <c r="G197" s="37"/>
      <c r="H197" s="37">
        <f t="shared" si="45"/>
        <v>0.62878787878787878</v>
      </c>
      <c r="I197" s="37">
        <f t="shared" si="42"/>
        <v>0.62878787878787878</v>
      </c>
      <c r="J197" s="183">
        <v>2021</v>
      </c>
      <c r="K197" s="182"/>
      <c r="L197" s="182"/>
      <c r="M197" s="37">
        <f t="shared" si="46"/>
        <v>0</v>
      </c>
      <c r="N197" s="21">
        <v>0</v>
      </c>
      <c r="O197" s="183" t="s">
        <v>4878</v>
      </c>
      <c r="P197" s="182">
        <v>43141103</v>
      </c>
      <c r="Q197" s="182" t="s">
        <v>2433</v>
      </c>
      <c r="R197" s="183" t="s">
        <v>2432</v>
      </c>
      <c r="S197" s="38">
        <f>IFERROR(VLOOKUP(R197,[47]conductor_pz_summary_hftd_23_re!$B$2:$Q$3636,8,FALSE),0)</f>
        <v>212</v>
      </c>
      <c r="T197" s="201">
        <f>IFERROR(VLOOKUP(R197,[48]conductor_pz_summary_hftd_23_re!$B$2:$H$3636,7,0),0)/1609</f>
        <v>27.732817672521005</v>
      </c>
      <c r="U197" s="23">
        <v>14</v>
      </c>
      <c r="V197" s="37">
        <f t="shared" si="47"/>
        <v>151.82914987294214</v>
      </c>
      <c r="W197" s="202">
        <f>IFERROR(VLOOKUP(R197,[47]conductor_pz_summary_hftd_23_re!$B$2:$Q$3636,13,FALSE),0)</f>
        <v>0.71617523524972704</v>
      </c>
      <c r="X197" s="160">
        <f>IFERROR(VLOOKUP(R197,conductor_pz_summary_hftd_23_re!$B$2:$N$3636,13,FALSE),0)</f>
        <v>102</v>
      </c>
      <c r="Y197" s="203">
        <f t="shared" si="48"/>
        <v>2.1343076182427958</v>
      </c>
      <c r="Z197" s="182"/>
      <c r="AA197" s="182"/>
      <c r="AB197" s="183" t="s">
        <v>5298</v>
      </c>
      <c r="AC197" s="94" t="s">
        <v>4872</v>
      </c>
      <c r="AD197" s="182" t="s">
        <v>4873</v>
      </c>
      <c r="AE197" s="182" t="s">
        <v>4874</v>
      </c>
      <c r="AF197" s="182" t="s">
        <v>4875</v>
      </c>
      <c r="AG197" s="183">
        <v>5794205</v>
      </c>
      <c r="AH197" s="183" t="s">
        <v>6309</v>
      </c>
      <c r="AI197" s="183">
        <v>120475324</v>
      </c>
      <c r="AJ197" s="120">
        <v>35228187</v>
      </c>
      <c r="AK197" s="183" t="s">
        <v>6312</v>
      </c>
      <c r="AL197" s="205">
        <v>3320</v>
      </c>
      <c r="AM197" s="205">
        <v>0</v>
      </c>
      <c r="AN197" s="205"/>
      <c r="AO197" s="205"/>
      <c r="AP197" s="182"/>
      <c r="AQ197" s="39" t="s">
        <v>5561</v>
      </c>
      <c r="AR197" s="183"/>
      <c r="AS197" s="183"/>
      <c r="AT197" s="92"/>
      <c r="AU197" s="39" t="s">
        <v>6388</v>
      </c>
      <c r="AV197" s="182">
        <v>0</v>
      </c>
      <c r="AW197" s="182">
        <v>0</v>
      </c>
      <c r="AX197" s="182">
        <v>3320</v>
      </c>
      <c r="AY197" s="23">
        <f t="shared" si="43"/>
        <v>3320</v>
      </c>
      <c r="AZ197" s="40">
        <f t="shared" si="44"/>
        <v>0.62878787878787878</v>
      </c>
      <c r="BA197" s="41">
        <v>733000</v>
      </c>
      <c r="BB197" s="187">
        <v>0</v>
      </c>
      <c r="BC197" s="44">
        <v>0</v>
      </c>
      <c r="BD197" s="191">
        <f t="shared" si="49"/>
        <v>0</v>
      </c>
      <c r="BE197" s="182"/>
      <c r="BF197" s="182"/>
      <c r="BG197" s="182"/>
      <c r="BH197" s="182"/>
      <c r="BI197" s="182"/>
      <c r="BJ197" s="182"/>
      <c r="BK197" s="182"/>
      <c r="BL197" s="182"/>
      <c r="BM197" s="182"/>
      <c r="BN197" s="182"/>
      <c r="BO197" s="182"/>
      <c r="BP197" s="182"/>
      <c r="BQ197" s="182"/>
      <c r="BR197" s="182"/>
      <c r="BS197" s="182"/>
      <c r="BT197" s="182"/>
    </row>
    <row r="198" spans="1:72" s="19" customFormat="1" x14ac:dyDescent="0.25">
      <c r="A198" s="218">
        <v>35228188</v>
      </c>
      <c r="B198" s="116" t="s">
        <v>5497</v>
      </c>
      <c r="C198" s="183">
        <v>13</v>
      </c>
      <c r="D198" s="23" t="str" cm="1">
        <f t="array" ref="D198">IFERROR(_xlfn.IFS(U198&lt;727,"MEET", AB198="FRRB","MEET", AB198="PSPS","MEET"),"No")</f>
        <v>MEET</v>
      </c>
      <c r="E198" s="23" t="str" cm="1">
        <f t="array" ref="E198">IFERROR(_xlfn.IFS(AM198&gt;0,"MEET", AN198&gt;0,"MEET"),"No")</f>
        <v>MEET</v>
      </c>
      <c r="F198" s="100">
        <v>2021139</v>
      </c>
      <c r="G198" s="37"/>
      <c r="H198" s="37">
        <f t="shared" si="45"/>
        <v>3.7300000000000004</v>
      </c>
      <c r="I198" s="37">
        <f t="shared" si="42"/>
        <v>3.7300000000000004</v>
      </c>
      <c r="J198" s="183">
        <v>2021</v>
      </c>
      <c r="K198" s="182"/>
      <c r="L198" s="182"/>
      <c r="M198" s="37">
        <f t="shared" si="46"/>
        <v>0</v>
      </c>
      <c r="N198" s="21">
        <v>0</v>
      </c>
      <c r="O198" s="183" t="s">
        <v>4878</v>
      </c>
      <c r="P198" s="182">
        <v>43141103</v>
      </c>
      <c r="Q198" s="182" t="s">
        <v>2433</v>
      </c>
      <c r="R198" s="183" t="s">
        <v>2432</v>
      </c>
      <c r="S198" s="38">
        <f>IFERROR(VLOOKUP(R198,[47]conductor_pz_summary_hftd_23_re!$B$2:$Q$3636,8,FALSE),0)</f>
        <v>212</v>
      </c>
      <c r="T198" s="201">
        <f>IFERROR(VLOOKUP(R198,[48]conductor_pz_summary_hftd_23_re!$B$2:$H$3636,7,0),0)/1609</f>
        <v>27.732817672521005</v>
      </c>
      <c r="U198" s="23">
        <v>14</v>
      </c>
      <c r="V198" s="37">
        <f t="shared" si="47"/>
        <v>151.82914987294214</v>
      </c>
      <c r="W198" s="202">
        <f>IFERROR(VLOOKUP(R198,[47]conductor_pz_summary_hftd_23_re!$B$2:$Q$3636,13,FALSE),0)</f>
        <v>0.71617523524972704</v>
      </c>
      <c r="X198" s="73">
        <f>IFERROR(VLOOKUP(R198,conductor_pz_summary_hftd_23_re!$B$2:$N$3636,13,FALSE),0)</f>
        <v>102</v>
      </c>
      <c r="Y198" s="203">
        <f t="shared" si="48"/>
        <v>20.420670402604415</v>
      </c>
      <c r="Z198" s="182"/>
      <c r="AA198" s="182"/>
      <c r="AB198" s="183" t="s">
        <v>5298</v>
      </c>
      <c r="AC198" s="94" t="s">
        <v>4872</v>
      </c>
      <c r="AD198" s="182" t="s">
        <v>4873</v>
      </c>
      <c r="AE198" s="182" t="s">
        <v>4874</v>
      </c>
      <c r="AF198" s="182" t="s">
        <v>4875</v>
      </c>
      <c r="AG198" s="183">
        <v>5794205</v>
      </c>
      <c r="AH198" s="183" t="s">
        <v>6310</v>
      </c>
      <c r="AI198" s="183">
        <v>120475326</v>
      </c>
      <c r="AJ198" s="120">
        <v>35228188</v>
      </c>
      <c r="AK198" s="183" t="s">
        <v>6313</v>
      </c>
      <c r="AL198" s="205">
        <v>0</v>
      </c>
      <c r="AM198" s="205">
        <v>0</v>
      </c>
      <c r="AN198" s="205">
        <f>3.73*5280</f>
        <v>19694.400000000001</v>
      </c>
      <c r="AO198" s="205"/>
      <c r="AP198" s="182"/>
      <c r="AQ198" s="39" t="s">
        <v>5561</v>
      </c>
      <c r="AR198" s="183"/>
      <c r="AS198" s="183"/>
      <c r="AT198" s="92"/>
      <c r="AU198" s="39" t="s">
        <v>6388</v>
      </c>
      <c r="AV198" s="182">
        <v>19694</v>
      </c>
      <c r="AW198" s="182">
        <v>0</v>
      </c>
      <c r="AX198" s="182">
        <v>0</v>
      </c>
      <c r="AY198" s="23">
        <f t="shared" si="43"/>
        <v>19694</v>
      </c>
      <c r="AZ198" s="40">
        <f t="shared" si="44"/>
        <v>3.7299242424242425</v>
      </c>
      <c r="BA198" s="41">
        <v>667600</v>
      </c>
      <c r="BB198" s="187">
        <v>0</v>
      </c>
      <c r="BC198" s="44">
        <v>0</v>
      </c>
      <c r="BD198" s="191">
        <f t="shared" si="49"/>
        <v>0</v>
      </c>
      <c r="BE198" s="59"/>
      <c r="BF198" s="59"/>
      <c r="BG198" s="182"/>
      <c r="BH198" s="182"/>
      <c r="BI198" s="182"/>
      <c r="BJ198" s="182"/>
      <c r="BK198" s="182"/>
      <c r="BL198" s="182"/>
      <c r="BM198" s="182"/>
      <c r="BN198" s="182"/>
      <c r="BO198" s="182"/>
      <c r="BP198" s="182"/>
      <c r="BQ198" s="182"/>
      <c r="BR198" s="182"/>
      <c r="BS198" s="182"/>
      <c r="BT198" s="182"/>
    </row>
    <row r="199" spans="1:72" s="19" customFormat="1" x14ac:dyDescent="0.25">
      <c r="A199" s="218">
        <v>35220896</v>
      </c>
      <c r="B199" s="116" t="s">
        <v>5497</v>
      </c>
      <c r="C199" s="183">
        <v>13</v>
      </c>
      <c r="D199" s="23" t="str" cm="1">
        <f t="array" ref="D199">IFERROR(_xlfn.IFS(U199&lt;727,"MEET", AB199="FRRB","MEET", AB199="PSPS","MEET"),"No")</f>
        <v>MEET</v>
      </c>
      <c r="E199" s="23" t="str" cm="1">
        <f t="array" ref="E199">IFERROR(_xlfn.IFS(AM199&gt;0,"MEET", AN199&gt;0,"MEET"),"No")</f>
        <v>MEET</v>
      </c>
      <c r="F199" s="100">
        <v>2021140</v>
      </c>
      <c r="G199" s="37"/>
      <c r="H199" s="37">
        <f t="shared" si="45"/>
        <v>0.28030303030303028</v>
      </c>
      <c r="I199" s="37">
        <f t="shared" si="42"/>
        <v>0.28030303030303028</v>
      </c>
      <c r="J199" s="183">
        <v>2021</v>
      </c>
      <c r="K199" s="182"/>
      <c r="L199" s="182"/>
      <c r="M199" s="37">
        <f t="shared" si="46"/>
        <v>0</v>
      </c>
      <c r="N199" s="182">
        <v>6986.57</v>
      </c>
      <c r="O199" s="183" t="s">
        <v>4878</v>
      </c>
      <c r="P199" s="182">
        <v>43141103</v>
      </c>
      <c r="Q199" s="182" t="s">
        <v>2433</v>
      </c>
      <c r="R199" s="183" t="s">
        <v>2432</v>
      </c>
      <c r="S199" s="38">
        <f>IFERROR(VLOOKUP(R199,[47]conductor_pz_summary_hftd_23_re!$B$2:$Q$3636,8,FALSE),0)</f>
        <v>212</v>
      </c>
      <c r="T199" s="201">
        <f>IFERROR(VLOOKUP(R199,[48]conductor_pz_summary_hftd_23_re!$B$2:$H$3636,7,0),0)/1609</f>
        <v>27.732817672521005</v>
      </c>
      <c r="U199" s="23">
        <v>14</v>
      </c>
      <c r="V199" s="37">
        <f t="shared" si="47"/>
        <v>151.82914987294214</v>
      </c>
      <c r="W199" s="202">
        <f>IFERROR(VLOOKUP(R199,[47]conductor_pz_summary_hftd_23_re!$B$2:$Q$3636,13,FALSE),0)</f>
        <v>0.71617523524972704</v>
      </c>
      <c r="X199" s="73">
        <f>IFERROR(VLOOKUP(R199,conductor_pz_summary_hftd_23_re!$B$2:$N$3636,13,FALSE),0)</f>
        <v>102</v>
      </c>
      <c r="Y199" s="203">
        <f t="shared" si="48"/>
        <v>1.5192321814270036</v>
      </c>
      <c r="Z199" s="182"/>
      <c r="AA199" s="182"/>
      <c r="AB199" s="183" t="s">
        <v>5298</v>
      </c>
      <c r="AC199" s="94" t="s">
        <v>4872</v>
      </c>
      <c r="AD199" s="182" t="s">
        <v>4873</v>
      </c>
      <c r="AE199" s="182" t="s">
        <v>4874</v>
      </c>
      <c r="AF199" s="182" t="s">
        <v>4875</v>
      </c>
      <c r="AG199" s="183">
        <v>5794205</v>
      </c>
      <c r="AH199" s="183" t="s">
        <v>5515</v>
      </c>
      <c r="AI199" s="183">
        <v>120222356</v>
      </c>
      <c r="AJ199" s="120">
        <v>35220896</v>
      </c>
      <c r="AK199" s="183" t="s">
        <v>6222</v>
      </c>
      <c r="AL199" s="205">
        <v>0</v>
      </c>
      <c r="AM199" s="205">
        <v>1480</v>
      </c>
      <c r="AN199" s="205">
        <v>0</v>
      </c>
      <c r="AO199" s="205">
        <v>0</v>
      </c>
      <c r="AP199" s="182"/>
      <c r="AQ199" s="39" t="s">
        <v>5562</v>
      </c>
      <c r="AR199" s="183">
        <f>AS199*5280</f>
        <v>19219.2</v>
      </c>
      <c r="AS199" s="183">
        <v>3.64</v>
      </c>
      <c r="AT199" s="92">
        <v>3976000</v>
      </c>
      <c r="AU199" s="39" t="s">
        <v>6348</v>
      </c>
      <c r="AV199" s="182">
        <v>0</v>
      </c>
      <c r="AW199" s="182">
        <v>1480</v>
      </c>
      <c r="AX199" s="182">
        <v>0</v>
      </c>
      <c r="AY199" s="23">
        <f t="shared" si="43"/>
        <v>1480</v>
      </c>
      <c r="AZ199" s="40">
        <f t="shared" si="44"/>
        <v>0.28030303030303028</v>
      </c>
      <c r="BA199" s="41">
        <v>653600</v>
      </c>
      <c r="BB199" s="187">
        <v>21.1</v>
      </c>
      <c r="BC199" s="44">
        <v>23300</v>
      </c>
      <c r="BD199" s="191">
        <f t="shared" si="49"/>
        <v>1104.2654028436018</v>
      </c>
      <c r="BE199" s="182"/>
      <c r="BF199" s="182"/>
      <c r="BG199" s="182"/>
      <c r="BH199" s="182"/>
      <c r="BI199" s="182"/>
      <c r="BJ199" s="182"/>
      <c r="BK199" s="182"/>
      <c r="BL199" s="182"/>
      <c r="BM199" s="182"/>
      <c r="BN199" s="182"/>
      <c r="BO199" s="182"/>
      <c r="BP199" s="182"/>
      <c r="BQ199" s="182"/>
      <c r="BR199" s="182"/>
      <c r="BS199" s="182"/>
      <c r="BT199" s="182"/>
    </row>
    <row r="200" spans="1:72" s="19" customFormat="1" x14ac:dyDescent="0.25">
      <c r="A200" s="218">
        <v>35227165</v>
      </c>
      <c r="B200" s="116" t="s">
        <v>5497</v>
      </c>
      <c r="C200" s="183">
        <v>13</v>
      </c>
      <c r="D200" s="23" t="str" cm="1">
        <f t="array" ref="D200">IFERROR(_xlfn.IFS(U200&lt;727,"MEET", AB200="FRRB","MEET", AB200="PSPS","MEET"),"No")</f>
        <v>MEET</v>
      </c>
      <c r="E200" s="23" t="str" cm="1">
        <f t="array" ref="E200">IFERROR(_xlfn.IFS(AM200&gt;0,"MEET", AN200&gt;0,"MEET"),"No")</f>
        <v>MEET</v>
      </c>
      <c r="F200" s="100">
        <v>2021141</v>
      </c>
      <c r="G200" s="37"/>
      <c r="H200" s="37">
        <f t="shared" si="45"/>
        <v>1.0111742424242425</v>
      </c>
      <c r="I200" s="37">
        <f t="shared" si="42"/>
        <v>1.0111742424242425</v>
      </c>
      <c r="J200" s="183">
        <v>2021</v>
      </c>
      <c r="K200" s="182"/>
      <c r="L200" s="182"/>
      <c r="M200" s="37">
        <f t="shared" si="46"/>
        <v>0</v>
      </c>
      <c r="N200" s="21">
        <v>0</v>
      </c>
      <c r="O200" s="183" t="s">
        <v>4878</v>
      </c>
      <c r="P200" s="182">
        <v>43141103</v>
      </c>
      <c r="Q200" s="182" t="s">
        <v>2433</v>
      </c>
      <c r="R200" s="183" t="s">
        <v>2432</v>
      </c>
      <c r="S200" s="38">
        <f>IFERROR(VLOOKUP(R200,[47]conductor_pz_summary_hftd_23_re!$B$2:$Q$3636,8,FALSE),0)</f>
        <v>212</v>
      </c>
      <c r="T200" s="201">
        <f>IFERROR(VLOOKUP(R200,[48]conductor_pz_summary_hftd_23_re!$B$2:$H$3636,7,0),0)/1609</f>
        <v>27.732817672521005</v>
      </c>
      <c r="U200" s="23">
        <v>14</v>
      </c>
      <c r="V200" s="37">
        <f t="shared" si="47"/>
        <v>151.82914987294214</v>
      </c>
      <c r="W200" s="202">
        <f>IFERROR(VLOOKUP(R200,[47]conductor_pz_summary_hftd_23_re!$B$2:$Q$3636,13,FALSE),0)</f>
        <v>0.71617523524972704</v>
      </c>
      <c r="X200" s="73">
        <f>IFERROR(VLOOKUP(R200,conductor_pz_summary_hftd_23_re!$B$2:$N$3636,13,FALSE),0)</f>
        <v>102</v>
      </c>
      <c r="Y200" s="203">
        <f t="shared" si="48"/>
        <v>5.4805274436748475</v>
      </c>
      <c r="Z200" s="182"/>
      <c r="AA200" s="182"/>
      <c r="AB200" s="183" t="s">
        <v>5298</v>
      </c>
      <c r="AC200" s="94" t="s">
        <v>4872</v>
      </c>
      <c r="AD200" s="182" t="s">
        <v>4873</v>
      </c>
      <c r="AE200" s="182" t="s">
        <v>4874</v>
      </c>
      <c r="AF200" s="182" t="s">
        <v>4875</v>
      </c>
      <c r="AG200" s="183">
        <v>5794205</v>
      </c>
      <c r="AH200" s="183" t="s">
        <v>6226</v>
      </c>
      <c r="AI200" s="183">
        <v>120456740</v>
      </c>
      <c r="AJ200" s="120">
        <v>35227165</v>
      </c>
      <c r="AK200" s="183" t="s">
        <v>6223</v>
      </c>
      <c r="AL200" s="205">
        <v>0</v>
      </c>
      <c r="AM200" s="205">
        <v>5339</v>
      </c>
      <c r="AN200" s="205">
        <v>0</v>
      </c>
      <c r="AO200" s="205">
        <v>0</v>
      </c>
      <c r="AP200" s="182"/>
      <c r="AQ200" s="39" t="s">
        <v>5562</v>
      </c>
      <c r="AR200" s="183"/>
      <c r="AS200" s="183"/>
      <c r="AT200" s="92"/>
      <c r="AU200" s="39" t="s">
        <v>6348</v>
      </c>
      <c r="AV200" s="182">
        <v>0</v>
      </c>
      <c r="AW200" s="182">
        <v>5339</v>
      </c>
      <c r="AX200" s="182">
        <v>0</v>
      </c>
      <c r="AY200" s="23">
        <f t="shared" si="43"/>
        <v>5339</v>
      </c>
      <c r="AZ200" s="40">
        <f t="shared" si="44"/>
        <v>1.0111742424242425</v>
      </c>
      <c r="BA200" s="41">
        <v>1743480</v>
      </c>
      <c r="BB200" s="187">
        <v>0</v>
      </c>
      <c r="BC200" s="44">
        <v>0</v>
      </c>
      <c r="BD200" s="191">
        <f t="shared" si="49"/>
        <v>0</v>
      </c>
      <c r="BE200" s="182"/>
      <c r="BF200" s="182"/>
      <c r="BG200" s="182"/>
      <c r="BH200" s="182"/>
      <c r="BI200" s="182"/>
      <c r="BJ200" s="182"/>
      <c r="BK200" s="182"/>
      <c r="BL200" s="182"/>
      <c r="BM200" s="182"/>
      <c r="BN200" s="182"/>
      <c r="BO200" s="182"/>
      <c r="BP200" s="182"/>
      <c r="BQ200" s="182"/>
      <c r="BR200" s="182"/>
      <c r="BS200" s="182"/>
      <c r="BT200" s="182"/>
    </row>
    <row r="201" spans="1:72" s="19" customFormat="1" x14ac:dyDescent="0.25">
      <c r="A201" s="218">
        <v>35227167</v>
      </c>
      <c r="B201" s="116" t="s">
        <v>5497</v>
      </c>
      <c r="C201" s="183">
        <v>13</v>
      </c>
      <c r="D201" s="23" t="str" cm="1">
        <f t="array" ref="D201">IFERROR(_xlfn.IFS(U201&lt;727,"MEET", AB201="FRRB","MEET", AB201="PSPS","MEET"),"No")</f>
        <v>MEET</v>
      </c>
      <c r="E201" s="23" t="str" cm="1">
        <f t="array" ref="E201">IFERROR(_xlfn.IFS(AM201&gt;0,"MEET", AN201&gt;0,"MEET"),"No")</f>
        <v>MEET</v>
      </c>
      <c r="F201" s="100">
        <v>2021142</v>
      </c>
      <c r="G201" s="37"/>
      <c r="H201" s="37">
        <f t="shared" si="45"/>
        <v>1.7975378787878789</v>
      </c>
      <c r="I201" s="37">
        <f t="shared" si="42"/>
        <v>1.7975378787878789</v>
      </c>
      <c r="J201" s="183">
        <v>2021</v>
      </c>
      <c r="K201" s="182"/>
      <c r="L201" s="182"/>
      <c r="M201" s="37">
        <f t="shared" si="46"/>
        <v>0</v>
      </c>
      <c r="N201" s="21">
        <v>0</v>
      </c>
      <c r="O201" s="183" t="s">
        <v>4878</v>
      </c>
      <c r="P201" s="182">
        <v>43141103</v>
      </c>
      <c r="Q201" s="182" t="s">
        <v>2433</v>
      </c>
      <c r="R201" s="183" t="s">
        <v>2432</v>
      </c>
      <c r="S201" s="38">
        <f>IFERROR(VLOOKUP(R201,[47]conductor_pz_summary_hftd_23_re!$B$2:$Q$3636,8,FALSE),0)</f>
        <v>212</v>
      </c>
      <c r="T201" s="201">
        <f>IFERROR(VLOOKUP(R201,[48]conductor_pz_summary_hftd_23_re!$B$2:$H$3636,7,0),0)/1609</f>
        <v>27.732817672521005</v>
      </c>
      <c r="U201" s="23">
        <v>14</v>
      </c>
      <c r="V201" s="37">
        <f t="shared" si="47"/>
        <v>151.82914987294214</v>
      </c>
      <c r="W201" s="202">
        <f>IFERROR(VLOOKUP(R201,[47]conductor_pz_summary_hftd_23_re!$B$2:$Q$3636,13,FALSE),0)</f>
        <v>0.71617523524972704</v>
      </c>
      <c r="X201" s="73">
        <f>IFERROR(VLOOKUP(R201,conductor_pz_summary_hftd_23_re!$B$2:$N$3636,13,FALSE),0)</f>
        <v>102</v>
      </c>
      <c r="Y201" s="203">
        <f t="shared" si="48"/>
        <v>9.7425896175160087</v>
      </c>
      <c r="Z201" s="182"/>
      <c r="AA201" s="182"/>
      <c r="AB201" s="183" t="s">
        <v>5298</v>
      </c>
      <c r="AC201" s="94" t="s">
        <v>4872</v>
      </c>
      <c r="AD201" s="182" t="s">
        <v>4873</v>
      </c>
      <c r="AE201" s="182" t="s">
        <v>4874</v>
      </c>
      <c r="AF201" s="182" t="s">
        <v>4875</v>
      </c>
      <c r="AG201" s="183">
        <v>5794205</v>
      </c>
      <c r="AH201" s="183" t="s">
        <v>6227</v>
      </c>
      <c r="AI201" s="183">
        <v>120456741</v>
      </c>
      <c r="AJ201" s="120">
        <v>35227167</v>
      </c>
      <c r="AK201" s="183" t="s">
        <v>6224</v>
      </c>
      <c r="AL201" s="205">
        <v>0</v>
      </c>
      <c r="AM201" s="205">
        <v>9491</v>
      </c>
      <c r="AN201" s="205">
        <v>0</v>
      </c>
      <c r="AO201" s="205">
        <v>0</v>
      </c>
      <c r="AP201" s="182"/>
      <c r="AQ201" s="39" t="s">
        <v>5562</v>
      </c>
      <c r="AR201" s="183"/>
      <c r="AS201" s="183"/>
      <c r="AT201" s="92"/>
      <c r="AU201" s="39" t="s">
        <v>6348</v>
      </c>
      <c r="AV201" s="182">
        <v>0</v>
      </c>
      <c r="AW201" s="182">
        <v>9491</v>
      </c>
      <c r="AX201" s="182">
        <v>0</v>
      </c>
      <c r="AY201" s="23">
        <f t="shared" si="43"/>
        <v>9491</v>
      </c>
      <c r="AZ201" s="40">
        <f t="shared" si="44"/>
        <v>1.7975378787878789</v>
      </c>
      <c r="BA201" s="41">
        <v>3107120</v>
      </c>
      <c r="BB201" s="187">
        <v>0</v>
      </c>
      <c r="BC201" s="44">
        <v>0</v>
      </c>
      <c r="BD201" s="191">
        <f t="shared" si="49"/>
        <v>0</v>
      </c>
      <c r="BE201" s="182"/>
      <c r="BF201" s="182"/>
      <c r="BG201" s="182"/>
      <c r="BH201" s="182"/>
      <c r="BI201" s="182"/>
      <c r="BJ201" s="182"/>
      <c r="BK201" s="182"/>
      <c r="BL201" s="182"/>
      <c r="BM201" s="182"/>
      <c r="BN201" s="182"/>
      <c r="BO201" s="182"/>
      <c r="BP201" s="182"/>
      <c r="BQ201" s="182"/>
      <c r="BR201" s="182"/>
      <c r="BS201" s="182"/>
      <c r="BT201" s="182"/>
    </row>
    <row r="202" spans="1:72" s="19" customFormat="1" ht="16.899999999999999" customHeight="1" x14ac:dyDescent="0.25">
      <c r="A202" s="218">
        <v>35227168</v>
      </c>
      <c r="B202" s="116" t="s">
        <v>5497</v>
      </c>
      <c r="C202" s="183">
        <v>13</v>
      </c>
      <c r="D202" s="23" t="str" cm="1">
        <f t="array" ref="D202">IFERROR(_xlfn.IFS(U202&lt;727,"MEET", AB202="FRRB","MEET", AB202="PSPS","MEET"),"No")</f>
        <v>MEET</v>
      </c>
      <c r="E202" s="23" t="str" cm="1">
        <f t="array" ref="E202">IFERROR(_xlfn.IFS(AM202&gt;0,"MEET", AN202&gt;0,"MEET"),"No")</f>
        <v>MEET</v>
      </c>
      <c r="F202" s="100">
        <v>2021143</v>
      </c>
      <c r="G202" s="37"/>
      <c r="H202" s="37">
        <f t="shared" si="45"/>
        <v>1.5740530303030302</v>
      </c>
      <c r="I202" s="37">
        <f t="shared" si="42"/>
        <v>1.5740530303030302</v>
      </c>
      <c r="J202" s="183">
        <v>2021</v>
      </c>
      <c r="K202" s="182"/>
      <c r="L202" s="182"/>
      <c r="M202" s="37">
        <f t="shared" si="46"/>
        <v>0</v>
      </c>
      <c r="N202" s="21">
        <v>0</v>
      </c>
      <c r="O202" s="183" t="s">
        <v>4878</v>
      </c>
      <c r="P202" s="182">
        <v>43141103</v>
      </c>
      <c r="Q202" s="182" t="s">
        <v>2433</v>
      </c>
      <c r="R202" s="183" t="s">
        <v>2432</v>
      </c>
      <c r="S202" s="38">
        <f>IFERROR(VLOOKUP(R202,[47]conductor_pz_summary_hftd_23_re!$B$2:$Q$3636,8,FALSE),0)</f>
        <v>212</v>
      </c>
      <c r="T202" s="201">
        <f>IFERROR(VLOOKUP(R202,[48]conductor_pz_summary_hftd_23_re!$B$2:$H$3636,7,0),0)/1609</f>
        <v>27.732817672521005</v>
      </c>
      <c r="U202" s="23">
        <v>14</v>
      </c>
      <c r="V202" s="37">
        <f t="shared" si="47"/>
        <v>151.82914987294214</v>
      </c>
      <c r="W202" s="202">
        <f>IFERROR(VLOOKUP(R202,[47]conductor_pz_summary_hftd_23_re!$B$2:$Q$3636,13,FALSE),0)</f>
        <v>0.71617523524972704</v>
      </c>
      <c r="X202" s="73">
        <f>IFERROR(VLOOKUP(R202,conductor_pz_summary_hftd_23_re!$B$2:$N$3636,13,FALSE),0)</f>
        <v>102</v>
      </c>
      <c r="Y202" s="203">
        <f t="shared" si="48"/>
        <v>8.5313099052971797</v>
      </c>
      <c r="Z202" s="182"/>
      <c r="AA202" s="182"/>
      <c r="AB202" s="183" t="s">
        <v>5298</v>
      </c>
      <c r="AC202" s="94" t="s">
        <v>4872</v>
      </c>
      <c r="AD202" s="182" t="s">
        <v>4873</v>
      </c>
      <c r="AE202" s="182" t="s">
        <v>4874</v>
      </c>
      <c r="AF202" s="182" t="s">
        <v>4875</v>
      </c>
      <c r="AG202" s="183">
        <v>5794205</v>
      </c>
      <c r="AH202" s="183" t="s">
        <v>6228</v>
      </c>
      <c r="AI202" s="183">
        <v>120456742</v>
      </c>
      <c r="AJ202" s="120">
        <v>35227168</v>
      </c>
      <c r="AK202" s="183" t="s">
        <v>6225</v>
      </c>
      <c r="AL202" s="205">
        <v>0</v>
      </c>
      <c r="AM202" s="205">
        <v>8311</v>
      </c>
      <c r="AN202" s="205">
        <v>0</v>
      </c>
      <c r="AO202" s="205">
        <v>0</v>
      </c>
      <c r="AP202" s="182"/>
      <c r="AQ202" s="39" t="s">
        <v>5562</v>
      </c>
      <c r="AR202" s="183"/>
      <c r="AS202" s="183"/>
      <c r="AT202" s="92"/>
      <c r="AU202" s="39" t="s">
        <v>6348</v>
      </c>
      <c r="AV202" s="182">
        <v>0</v>
      </c>
      <c r="AW202" s="182">
        <v>8311</v>
      </c>
      <c r="AX202" s="182">
        <v>0</v>
      </c>
      <c r="AY202" s="23">
        <f t="shared" si="43"/>
        <v>8311</v>
      </c>
      <c r="AZ202" s="40">
        <f t="shared" si="44"/>
        <v>1.5740530303030302</v>
      </c>
      <c r="BA202" s="41">
        <v>2764520</v>
      </c>
      <c r="BB202" s="187">
        <v>0</v>
      </c>
      <c r="BC202" s="44">
        <v>0</v>
      </c>
      <c r="BD202" s="191">
        <f t="shared" si="49"/>
        <v>0</v>
      </c>
      <c r="BE202" s="182"/>
      <c r="BF202" s="182"/>
      <c r="BG202" s="182"/>
      <c r="BH202" s="182"/>
      <c r="BI202" s="182"/>
      <c r="BJ202" s="182"/>
      <c r="BK202" s="182"/>
      <c r="BL202" s="182"/>
      <c r="BM202" s="182"/>
      <c r="BN202" s="182"/>
      <c r="BO202" s="182"/>
      <c r="BP202" s="182"/>
      <c r="BQ202" s="182"/>
      <c r="BR202" s="182"/>
      <c r="BS202" s="182"/>
      <c r="BT202" s="182"/>
    </row>
    <row r="203" spans="1:72" s="19" customFormat="1" ht="14.45" customHeight="1" x14ac:dyDescent="0.3">
      <c r="A203" s="218">
        <v>35222045</v>
      </c>
      <c r="B203" s="116" t="s">
        <v>5497</v>
      </c>
      <c r="C203" s="183">
        <v>13</v>
      </c>
      <c r="D203" s="23" t="str" cm="1">
        <f t="array" ref="D203">IFERROR(_xlfn.IFS(U203&lt;727,"MEET", AB203="FRRB","MEET", AB203="PSPS","MEET"),"No")</f>
        <v>MEET</v>
      </c>
      <c r="E203" s="23" t="str" cm="1">
        <f t="array" ref="E203">IFERROR(_xlfn.IFS(AM203&gt;0,"MEET", AN203&gt;0,"MEET"),"No")</f>
        <v>No</v>
      </c>
      <c r="F203" s="100">
        <v>2021144</v>
      </c>
      <c r="G203" s="37"/>
      <c r="H203" s="37">
        <f t="shared" si="45"/>
        <v>0.88863636363636367</v>
      </c>
      <c r="I203" s="37">
        <f t="shared" si="42"/>
        <v>0.88863636363636367</v>
      </c>
      <c r="J203" s="183">
        <v>2021</v>
      </c>
      <c r="K203" s="182"/>
      <c r="L203" s="182"/>
      <c r="M203" s="37">
        <f t="shared" si="46"/>
        <v>0</v>
      </c>
      <c r="N203" s="182">
        <v>5980.16</v>
      </c>
      <c r="O203" s="183" t="s">
        <v>4878</v>
      </c>
      <c r="P203" s="182">
        <v>43141103</v>
      </c>
      <c r="Q203" s="182" t="s">
        <v>2433</v>
      </c>
      <c r="R203" s="183" t="s">
        <v>2432</v>
      </c>
      <c r="S203" s="38">
        <f>IFERROR(VLOOKUP(R203,[47]conductor_pz_summary_hftd_23_re!$B$2:$Q$3636,8,FALSE),0)</f>
        <v>212</v>
      </c>
      <c r="T203" s="201">
        <f>IFERROR(VLOOKUP(R203,[48]conductor_pz_summary_hftd_23_re!$B$2:$H$3636,7,0),0)/1609</f>
        <v>27.732817672521005</v>
      </c>
      <c r="U203" s="23">
        <v>14</v>
      </c>
      <c r="V203" s="37">
        <f t="shared" si="47"/>
        <v>151.82914987294214</v>
      </c>
      <c r="W203" s="202">
        <f>IFERROR(VLOOKUP(R203,[47]conductor_pz_summary_hftd_23_re!$B$2:$Q$3636,13,FALSE),0)</f>
        <v>0.71617523524972704</v>
      </c>
      <c r="X203" s="73">
        <f>IFERROR(VLOOKUP(R203,conductor_pz_summary_hftd_23_re!$B$2:$N$3636,13,FALSE),0)</f>
        <v>102</v>
      </c>
      <c r="Y203" s="203">
        <f t="shared" si="48"/>
        <v>3.0163166701190356</v>
      </c>
      <c r="Z203" s="182"/>
      <c r="AA203" s="182"/>
      <c r="AB203" s="183" t="s">
        <v>5298</v>
      </c>
      <c r="AC203" s="94" t="s">
        <v>4872</v>
      </c>
      <c r="AD203" s="182" t="s">
        <v>4895</v>
      </c>
      <c r="AE203" s="182" t="s">
        <v>4874</v>
      </c>
      <c r="AF203" s="182" t="s">
        <v>4875</v>
      </c>
      <c r="AG203" s="119">
        <v>5794898</v>
      </c>
      <c r="AH203" s="183" t="s">
        <v>5543</v>
      </c>
      <c r="AI203" s="23">
        <v>120233319</v>
      </c>
      <c r="AJ203" s="120">
        <v>35222045</v>
      </c>
      <c r="AK203" s="183" t="s">
        <v>5542</v>
      </c>
      <c r="AL203" s="205">
        <v>4692</v>
      </c>
      <c r="AM203" s="205">
        <v>0</v>
      </c>
      <c r="AN203" s="205">
        <v>0</v>
      </c>
      <c r="AO203" s="205">
        <v>0</v>
      </c>
      <c r="AP203" s="183" t="s">
        <v>4988</v>
      </c>
      <c r="AQ203" s="39" t="s">
        <v>5563</v>
      </c>
      <c r="AR203" s="183">
        <f>AS203*5280</f>
        <v>3907.2</v>
      </c>
      <c r="AS203" s="183">
        <v>0.74</v>
      </c>
      <c r="AT203" s="92">
        <v>808000</v>
      </c>
      <c r="AU203" s="39" t="s">
        <v>6325</v>
      </c>
      <c r="AV203" s="182">
        <v>0</v>
      </c>
      <c r="AW203" s="182">
        <v>0</v>
      </c>
      <c r="AX203" s="182">
        <v>4692</v>
      </c>
      <c r="AY203" s="23">
        <f t="shared" si="43"/>
        <v>4692</v>
      </c>
      <c r="AZ203" s="40">
        <f t="shared" si="44"/>
        <v>0.88863636363636367</v>
      </c>
      <c r="BA203" s="41">
        <v>970399</v>
      </c>
      <c r="BB203" s="187">
        <v>3.02</v>
      </c>
      <c r="BC203" s="44">
        <v>2500</v>
      </c>
      <c r="BD203" s="191">
        <f t="shared" si="49"/>
        <v>827.81456953642385</v>
      </c>
      <c r="BE203" s="182"/>
      <c r="BF203" s="182"/>
      <c r="BG203" s="182"/>
      <c r="BH203" s="182"/>
      <c r="BI203" s="182"/>
      <c r="BJ203" s="182"/>
      <c r="BK203" s="182"/>
      <c r="BL203" s="182"/>
      <c r="BM203" s="182"/>
      <c r="BN203" s="182"/>
      <c r="BO203" s="182"/>
      <c r="BP203" s="182"/>
      <c r="BQ203" s="182"/>
      <c r="BR203" s="182"/>
      <c r="BS203" s="182"/>
      <c r="BT203" s="182"/>
    </row>
    <row r="204" spans="1:72" s="19" customFormat="1" x14ac:dyDescent="0.25">
      <c r="A204" s="218">
        <v>35062374</v>
      </c>
      <c r="B204" s="222" t="s">
        <v>5496</v>
      </c>
      <c r="C204" s="23">
        <v>13</v>
      </c>
      <c r="D204" s="23" t="str" cm="1">
        <f t="array" ref="D204">IFERROR(_xlfn.IFS(U204&lt;727,"MEET", AB204="FRRB","MEET", AB204="PSPS","MEET"),"No")</f>
        <v>MEET</v>
      </c>
      <c r="E204" s="23" t="str" cm="1">
        <f t="array" ref="E204">IFERROR(_xlfn.IFS(AM204&gt;0,"MEET", AN204&gt;0,"MEET"),"No")</f>
        <v>MEET</v>
      </c>
      <c r="F204" s="100">
        <v>2021145</v>
      </c>
      <c r="G204" s="37">
        <v>1.5600378787878788</v>
      </c>
      <c r="H204" s="37">
        <f t="shared" si="45"/>
        <v>1.5352272727272727</v>
      </c>
      <c r="I204" s="37">
        <f t="shared" si="42"/>
        <v>1.5352272727272727</v>
      </c>
      <c r="J204" s="20">
        <v>2021</v>
      </c>
      <c r="K204" s="37"/>
      <c r="L204" s="37"/>
      <c r="M204" s="37">
        <f t="shared" si="46"/>
        <v>0</v>
      </c>
      <c r="N204" s="21">
        <v>47327.61</v>
      </c>
      <c r="O204" s="23" t="s">
        <v>4878</v>
      </c>
      <c r="P204" s="22">
        <v>153652109</v>
      </c>
      <c r="Q204" s="19" t="s">
        <v>4025</v>
      </c>
      <c r="R204" s="23" t="s">
        <v>4034</v>
      </c>
      <c r="S204" s="38">
        <f>IFERROR(VLOOKUP(R204,[47]conductor_pz_summary_hftd_23_re!$B$2:$Q$3636,8,FALSE),0)</f>
        <v>190</v>
      </c>
      <c r="T204" s="201">
        <f>IFERROR(VLOOKUP(R204,[48]conductor_pz_summary_hftd_23_re!$B$2:$H$3636,7,0),0)/1609</f>
        <v>17.868682290698821</v>
      </c>
      <c r="U204" s="23">
        <f>IFERROR(VLOOKUP(R204,[47]conductor_pz_summary_hftd_23_re!$B$2:$Q$3636,14,FALSE),0)</f>
        <v>227</v>
      </c>
      <c r="V204" s="37">
        <f t="shared" si="47"/>
        <v>46.134248492928144</v>
      </c>
      <c r="W204" s="202">
        <f>IFERROR(VLOOKUP(R204,[47]conductor_pz_summary_hftd_23_re!$B$2:$Q$3636,13,FALSE),0)</f>
        <v>0.24281183417330601</v>
      </c>
      <c r="X204" s="73">
        <f>IFERROR(VLOOKUP(R204,conductor_pz_summary_hftd_23_re!$B$2:$N$3636,13,FALSE),0)</f>
        <v>487</v>
      </c>
      <c r="Y204" s="203">
        <f t="shared" si="48"/>
        <v>3.9240885134931189</v>
      </c>
      <c r="Z204" s="23">
        <v>554</v>
      </c>
      <c r="AA204" s="23" t="s">
        <v>4871</v>
      </c>
      <c r="AB204" s="23" t="s">
        <v>4884</v>
      </c>
      <c r="AC204" s="19" t="s">
        <v>4885</v>
      </c>
      <c r="AD204" s="19" t="s">
        <v>4886</v>
      </c>
      <c r="AE204" s="19" t="s">
        <v>4887</v>
      </c>
      <c r="AF204" s="19" t="s">
        <v>4875</v>
      </c>
      <c r="AG204" s="23">
        <v>5783067</v>
      </c>
      <c r="AH204" s="23" t="s">
        <v>4892</v>
      </c>
      <c r="AI204" s="23">
        <v>115323920</v>
      </c>
      <c r="AJ204" s="120">
        <v>35062374</v>
      </c>
      <c r="AK204" s="23" t="s">
        <v>6186</v>
      </c>
      <c r="AL204" s="20">
        <v>0</v>
      </c>
      <c r="AM204" s="20">
        <v>8106</v>
      </c>
      <c r="AN204" s="20">
        <v>0</v>
      </c>
      <c r="AO204" s="20">
        <v>0</v>
      </c>
      <c r="AQ204" s="39" t="s">
        <v>4893</v>
      </c>
      <c r="AR204" s="23">
        <v>45038.400000000001</v>
      </c>
      <c r="AS204" s="40">
        <v>8.5299999999999994</v>
      </c>
      <c r="AT204" s="41">
        <v>9171850</v>
      </c>
      <c r="AU204" s="39" t="s">
        <v>6328</v>
      </c>
      <c r="AV204" s="19">
        <v>0</v>
      </c>
      <c r="AW204" s="19">
        <v>8237</v>
      </c>
      <c r="AX204" s="19">
        <v>0</v>
      </c>
      <c r="AY204" s="23">
        <f t="shared" si="43"/>
        <v>8237</v>
      </c>
      <c r="AZ204" s="40">
        <f t="shared" si="44"/>
        <v>1.5600378787878788</v>
      </c>
      <c r="BA204" s="198">
        <v>2427043.6218239986</v>
      </c>
      <c r="BB204" s="187"/>
      <c r="BC204" s="44"/>
      <c r="BD204" s="191">
        <f t="shared" si="49"/>
        <v>0</v>
      </c>
      <c r="BE204" s="23"/>
      <c r="BF204" s="23"/>
      <c r="BG204" s="23"/>
      <c r="BH204" s="23"/>
      <c r="BI204" s="23"/>
      <c r="BJ204" s="23"/>
      <c r="BK204" s="40"/>
      <c r="BL204" s="44"/>
      <c r="BM204" s="41"/>
      <c r="BN204" s="45"/>
    </row>
    <row r="205" spans="1:72" s="19" customFormat="1" x14ac:dyDescent="0.25">
      <c r="A205" s="218">
        <v>35226846</v>
      </c>
      <c r="B205" s="222" t="s">
        <v>5496</v>
      </c>
      <c r="C205" s="23">
        <v>14</v>
      </c>
      <c r="D205" s="23" t="str" cm="1">
        <f t="array" ref="D205">IFERROR(_xlfn.IFS(U205&lt;727,"MEET", AB205="FRRB","MEET", AB205="PSPS","MEET"),"No")</f>
        <v>MEET</v>
      </c>
      <c r="E205" s="23" t="str" cm="1">
        <f t="array" ref="E205">IFERROR(_xlfn.IFS(AM205&gt;0,"MEET", AN205&gt;0,"MEET"),"No")</f>
        <v>No</v>
      </c>
      <c r="F205" s="100">
        <v>2021146</v>
      </c>
      <c r="G205" s="37">
        <v>1.5399621212121213</v>
      </c>
      <c r="H205" s="37">
        <f t="shared" si="45"/>
        <v>1.7335227272727274</v>
      </c>
      <c r="I205" s="37">
        <f t="shared" si="42"/>
        <v>1.7335227272727274</v>
      </c>
      <c r="J205" s="20">
        <v>2021</v>
      </c>
      <c r="K205" s="37"/>
      <c r="L205" s="37"/>
      <c r="M205" s="37">
        <f t="shared" si="46"/>
        <v>0</v>
      </c>
      <c r="N205" s="21">
        <v>928.03</v>
      </c>
      <c r="O205" s="183" t="s">
        <v>4870</v>
      </c>
      <c r="P205" s="22">
        <v>153652109</v>
      </c>
      <c r="Q205" s="19" t="s">
        <v>4025</v>
      </c>
      <c r="R205" s="23" t="s">
        <v>4034</v>
      </c>
      <c r="S205" s="38">
        <f>IFERROR(VLOOKUP(R205,[47]conductor_pz_summary_hftd_23_re!$B$2:$Q$3636,8,FALSE),0)</f>
        <v>190</v>
      </c>
      <c r="T205" s="201">
        <f>IFERROR(VLOOKUP(R205,[48]conductor_pz_summary_hftd_23_re!$B$2:$H$3636,7,0),0)/1609</f>
        <v>17.868682290698821</v>
      </c>
      <c r="U205" s="23">
        <f>IFERROR(VLOOKUP(R205,[47]conductor_pz_summary_hftd_23_re!$B$2:$Q$3636,14,FALSE),0)</f>
        <v>227</v>
      </c>
      <c r="V205" s="37">
        <f t="shared" si="47"/>
        <v>46.134248492928144</v>
      </c>
      <c r="W205" s="202">
        <f>IFERROR(VLOOKUP(R205,[47]conductor_pz_summary_hftd_23_re!$B$2:$Q$3636,13,FALSE),0)</f>
        <v>0.24281183417330601</v>
      </c>
      <c r="X205" s="73">
        <f>IFERROR(VLOOKUP(R205,conductor_pz_summary_hftd_23_re!$B$2:$N$3636,13,FALSE),0)</f>
        <v>487</v>
      </c>
      <c r="Y205" s="203">
        <f t="shared" si="48"/>
        <v>2.7749307710315048</v>
      </c>
      <c r="Z205" s="23">
        <v>554</v>
      </c>
      <c r="AA205" s="23" t="s">
        <v>4871</v>
      </c>
      <c r="AB205" s="23" t="s">
        <v>4884</v>
      </c>
      <c r="AC205" s="19" t="s">
        <v>4885</v>
      </c>
      <c r="AD205" s="19" t="s">
        <v>4886</v>
      </c>
      <c r="AE205" s="19" t="s">
        <v>4887</v>
      </c>
      <c r="AF205" s="19" t="s">
        <v>4875</v>
      </c>
      <c r="AG205" s="23">
        <v>5795299</v>
      </c>
      <c r="AH205" s="23" t="s">
        <v>6189</v>
      </c>
      <c r="AI205" s="23">
        <v>120448989</v>
      </c>
      <c r="AJ205" s="120">
        <v>35226846</v>
      </c>
      <c r="AK205" s="23" t="s">
        <v>6187</v>
      </c>
      <c r="AL205" s="20">
        <v>9153</v>
      </c>
      <c r="AM205" s="20">
        <v>0</v>
      </c>
      <c r="AN205" s="20">
        <v>0</v>
      </c>
      <c r="AO205" s="20">
        <v>0</v>
      </c>
      <c r="AQ205" s="39" t="s">
        <v>4893</v>
      </c>
      <c r="AR205" s="23"/>
      <c r="AS205" s="40"/>
      <c r="AT205" s="41"/>
      <c r="AU205" s="39" t="s">
        <v>6328</v>
      </c>
      <c r="AV205" s="19">
        <v>0</v>
      </c>
      <c r="AW205" s="19">
        <v>0</v>
      </c>
      <c r="AX205" s="19">
        <v>8131</v>
      </c>
      <c r="AY205" s="23">
        <f t="shared" si="43"/>
        <v>8131</v>
      </c>
      <c r="AZ205" s="40">
        <f t="shared" si="44"/>
        <v>1.5399621212121213</v>
      </c>
      <c r="BA205" s="198">
        <v>2395810.5729089393</v>
      </c>
      <c r="BB205" s="187"/>
      <c r="BC205" s="44"/>
      <c r="BD205" s="191">
        <f t="shared" si="49"/>
        <v>0</v>
      </c>
      <c r="BE205" s="23"/>
      <c r="BF205" s="23"/>
      <c r="BG205" s="23"/>
      <c r="BH205" s="23"/>
      <c r="BI205" s="23"/>
      <c r="BJ205" s="23"/>
      <c r="BK205" s="40"/>
      <c r="BL205" s="44"/>
      <c r="BM205" s="41"/>
      <c r="BN205" s="45"/>
    </row>
    <row r="206" spans="1:72" s="19" customFormat="1" x14ac:dyDescent="0.25">
      <c r="A206" s="218">
        <v>35226847</v>
      </c>
      <c r="B206" s="222" t="s">
        <v>5496</v>
      </c>
      <c r="C206" s="23">
        <v>14</v>
      </c>
      <c r="D206" s="23" t="str" cm="1">
        <f t="array" ref="D206">IFERROR(_xlfn.IFS(U206&lt;727,"MEET", AB206="FRRB","MEET", AB206="PSPS","MEET"),"No")</f>
        <v>MEET</v>
      </c>
      <c r="E206" s="23" t="str" cm="1">
        <f t="array" ref="E206">IFERROR(_xlfn.IFS(AM206&gt;0,"MEET", AN206&gt;0,"MEET"),"No")</f>
        <v>No</v>
      </c>
      <c r="F206" s="100">
        <v>2021147</v>
      </c>
      <c r="G206" s="37">
        <v>1.9299242424242424</v>
      </c>
      <c r="H206" s="37">
        <f t="shared" si="45"/>
        <v>1.9839015151515151</v>
      </c>
      <c r="I206" s="37">
        <f t="shared" si="42"/>
        <v>1.9839015151515151</v>
      </c>
      <c r="J206" s="20">
        <v>2021</v>
      </c>
      <c r="K206" s="37"/>
      <c r="L206" s="37"/>
      <c r="M206" s="37">
        <f t="shared" si="46"/>
        <v>0</v>
      </c>
      <c r="N206" s="21">
        <v>928.03</v>
      </c>
      <c r="O206" s="183" t="s">
        <v>4870</v>
      </c>
      <c r="P206" s="22">
        <v>153652109</v>
      </c>
      <c r="Q206" s="19" t="s">
        <v>4025</v>
      </c>
      <c r="R206" s="23" t="s">
        <v>4034</v>
      </c>
      <c r="S206" s="38">
        <f>IFERROR(VLOOKUP(R206,[47]conductor_pz_summary_hftd_23_re!$B$2:$Q$3636,8,FALSE),0)</f>
        <v>190</v>
      </c>
      <c r="T206" s="201">
        <f>IFERROR(VLOOKUP(R206,[48]conductor_pz_summary_hftd_23_re!$B$2:$H$3636,7,0),0)/1609</f>
        <v>17.868682290698821</v>
      </c>
      <c r="U206" s="23">
        <f>IFERROR(VLOOKUP(R206,[47]conductor_pz_summary_hftd_23_re!$B$2:$Q$3636,14,FALSE),0)</f>
        <v>227</v>
      </c>
      <c r="V206" s="37">
        <f t="shared" si="47"/>
        <v>46.134248492928144</v>
      </c>
      <c r="W206" s="202">
        <f>IFERROR(VLOOKUP(R206,[47]conductor_pz_summary_hftd_23_re!$B$2:$Q$3636,13,FALSE),0)</f>
        <v>0.24281183417330601</v>
      </c>
      <c r="X206" s="179">
        <f>IFERROR(VLOOKUP(R206,conductor_pz_summary_hftd_23_re!$B$2:$N$3636,13,FALSE),0)</f>
        <v>487</v>
      </c>
      <c r="Y206" s="203">
        <f t="shared" si="48"/>
        <v>3.1757237874527493</v>
      </c>
      <c r="Z206" s="23">
        <v>554</v>
      </c>
      <c r="AA206" s="23" t="s">
        <v>4871</v>
      </c>
      <c r="AB206" s="23" t="s">
        <v>4884</v>
      </c>
      <c r="AC206" s="19" t="s">
        <v>4885</v>
      </c>
      <c r="AD206" s="19" t="s">
        <v>4886</v>
      </c>
      <c r="AE206" s="19" t="s">
        <v>4887</v>
      </c>
      <c r="AF206" s="19" t="s">
        <v>4875</v>
      </c>
      <c r="AG206" s="23">
        <v>5795299</v>
      </c>
      <c r="AH206" s="23" t="s">
        <v>6190</v>
      </c>
      <c r="AI206" s="23">
        <v>120449140</v>
      </c>
      <c r="AJ206" s="120">
        <v>35226847</v>
      </c>
      <c r="AK206" s="23" t="s">
        <v>6188</v>
      </c>
      <c r="AL206" s="20">
        <v>10475</v>
      </c>
      <c r="AM206" s="20">
        <v>0</v>
      </c>
      <c r="AN206" s="20">
        <v>0</v>
      </c>
      <c r="AO206" s="20">
        <v>0</v>
      </c>
      <c r="AQ206" s="39" t="s">
        <v>4893</v>
      </c>
      <c r="AR206" s="23"/>
      <c r="AS206" s="40"/>
      <c r="AT206" s="41"/>
      <c r="AU206" s="39" t="s">
        <v>6328</v>
      </c>
      <c r="AV206" s="19">
        <v>0</v>
      </c>
      <c r="AW206" s="19">
        <v>0</v>
      </c>
      <c r="AX206" s="19">
        <v>10190</v>
      </c>
      <c r="AY206" s="23">
        <f t="shared" si="43"/>
        <v>10190</v>
      </c>
      <c r="AZ206" s="40">
        <f t="shared" si="44"/>
        <v>1.9299242424242424</v>
      </c>
      <c r="BA206" s="198">
        <v>3002497.815513724</v>
      </c>
      <c r="BB206" s="187"/>
      <c r="BC206" s="44"/>
      <c r="BD206" s="191">
        <f t="shared" si="49"/>
        <v>0</v>
      </c>
      <c r="BE206" s="23"/>
      <c r="BF206" s="23"/>
      <c r="BG206" s="23"/>
      <c r="BH206" s="23"/>
      <c r="BI206" s="23"/>
      <c r="BJ206" s="23"/>
      <c r="BK206" s="40"/>
      <c r="BL206" s="44"/>
      <c r="BM206" s="41"/>
      <c r="BN206" s="45"/>
    </row>
    <row r="207" spans="1:72" s="19" customFormat="1" x14ac:dyDescent="0.25">
      <c r="A207" s="218">
        <v>35231607</v>
      </c>
      <c r="B207" s="222" t="s">
        <v>5496</v>
      </c>
      <c r="C207" s="23">
        <v>14</v>
      </c>
      <c r="D207" s="23" t="str" cm="1">
        <f t="array" ref="D207">IFERROR(_xlfn.IFS(U207&lt;727,"MEET", AB207="FRRB","MEET", AB207="PSPS","MEET"),"No")</f>
        <v>MEET</v>
      </c>
      <c r="E207" s="23" t="str" cm="1">
        <f t="array" ref="E207">IFERROR(_xlfn.IFS(AM207&gt;0,"MEET", AN207&gt;0,"MEET"),"No")</f>
        <v>No</v>
      </c>
      <c r="F207" s="100">
        <v>2021148</v>
      </c>
      <c r="G207" s="37">
        <v>1.4799242424242425</v>
      </c>
      <c r="H207" s="37">
        <f t="shared" si="45"/>
        <v>1.6460227272727272</v>
      </c>
      <c r="I207" s="37">
        <f t="shared" si="42"/>
        <v>1.6460227272727272</v>
      </c>
      <c r="J207" s="20">
        <v>2021</v>
      </c>
      <c r="K207" s="37"/>
      <c r="L207" s="37"/>
      <c r="M207" s="37">
        <f t="shared" si="46"/>
        <v>0</v>
      </c>
      <c r="N207" s="21">
        <v>928.03</v>
      </c>
      <c r="O207" s="183" t="s">
        <v>4870</v>
      </c>
      <c r="P207" s="22">
        <v>153652109</v>
      </c>
      <c r="Q207" s="19" t="s">
        <v>4025</v>
      </c>
      <c r="R207" s="23" t="s">
        <v>4034</v>
      </c>
      <c r="S207" s="38">
        <f>IFERROR(VLOOKUP(R207,[47]conductor_pz_summary_hftd_23_re!$B$2:$Q$3636,8,FALSE),0)</f>
        <v>190</v>
      </c>
      <c r="T207" s="201">
        <f>IFERROR(VLOOKUP(R207,[48]conductor_pz_summary_hftd_23_re!$B$2:$H$3636,7,0),0)/1609</f>
        <v>17.868682290698821</v>
      </c>
      <c r="U207" s="23">
        <f>IFERROR(VLOOKUP(R207,[47]conductor_pz_summary_hftd_23_re!$B$2:$Q$3636,14,FALSE),0)</f>
        <v>227</v>
      </c>
      <c r="V207" s="37">
        <f t="shared" si="47"/>
        <v>46.134248492928144</v>
      </c>
      <c r="W207" s="202">
        <f>IFERROR(VLOOKUP(R207,[47]conductor_pz_summary_hftd_23_re!$B$2:$Q$3636,13,FALSE),0)</f>
        <v>0.24281183417330601</v>
      </c>
      <c r="X207" s="179">
        <f>IFERROR(VLOOKUP(R207,conductor_pz_summary_hftd_23_re!$B$2:$N$3636,13,FALSE),0)</f>
        <v>487</v>
      </c>
      <c r="Y207" s="203">
        <f t="shared" si="48"/>
        <v>2.6348654354894361</v>
      </c>
      <c r="Z207" s="23">
        <v>554</v>
      </c>
      <c r="AA207" s="23" t="s">
        <v>4871</v>
      </c>
      <c r="AB207" s="23" t="s">
        <v>4884</v>
      </c>
      <c r="AC207" s="19" t="s">
        <v>4885</v>
      </c>
      <c r="AD207" s="19" t="s">
        <v>4886</v>
      </c>
      <c r="AE207" s="19" t="s">
        <v>4887</v>
      </c>
      <c r="AF207" s="19" t="s">
        <v>4875</v>
      </c>
      <c r="AG207" s="23">
        <v>5795299</v>
      </c>
      <c r="AH207" s="23" t="s">
        <v>6399</v>
      </c>
      <c r="AI207" s="23">
        <v>120504093</v>
      </c>
      <c r="AJ207" s="120">
        <v>35231607</v>
      </c>
      <c r="AK207" s="23" t="s">
        <v>6402</v>
      </c>
      <c r="AL207" s="20">
        <v>8691</v>
      </c>
      <c r="AM207" s="20">
        <v>0</v>
      </c>
      <c r="AN207" s="20">
        <v>0</v>
      </c>
      <c r="AO207" s="20">
        <v>0</v>
      </c>
      <c r="AQ207" s="39"/>
      <c r="AR207" s="23"/>
      <c r="AS207" s="40"/>
      <c r="AT207" s="41"/>
      <c r="AU207" s="39" t="s">
        <v>6328</v>
      </c>
      <c r="AV207" s="19">
        <v>0</v>
      </c>
      <c r="AW207" s="19">
        <v>0</v>
      </c>
      <c r="AX207" s="19">
        <v>7814</v>
      </c>
      <c r="AY207" s="23">
        <f t="shared" si="43"/>
        <v>7814</v>
      </c>
      <c r="AZ207" s="40">
        <f t="shared" si="44"/>
        <v>1.4799242424242425</v>
      </c>
      <c r="BA207" s="198">
        <v>2302406.07756862</v>
      </c>
      <c r="BB207" s="187"/>
      <c r="BC207" s="44"/>
      <c r="BD207" s="191">
        <f t="shared" si="49"/>
        <v>0</v>
      </c>
      <c r="BE207" s="23"/>
      <c r="BF207" s="23"/>
      <c r="BG207" s="23"/>
      <c r="BH207" s="23"/>
      <c r="BI207" s="23"/>
      <c r="BJ207" s="23"/>
      <c r="BK207" s="40"/>
      <c r="BL207" s="44"/>
      <c r="BM207" s="41"/>
      <c r="BN207" s="45"/>
    </row>
    <row r="208" spans="1:72" s="19" customFormat="1" x14ac:dyDescent="0.25">
      <c r="A208" s="218">
        <v>35231608</v>
      </c>
      <c r="B208" s="222" t="s">
        <v>5496</v>
      </c>
      <c r="C208" s="23">
        <v>13</v>
      </c>
      <c r="D208" s="23" t="str" cm="1">
        <f t="array" ref="D208">IFERROR(_xlfn.IFS(U208&lt;727,"MEET", AB208="FRRB","MEET", AB208="PSPS","MEET"),"No")</f>
        <v>MEET</v>
      </c>
      <c r="E208" s="23" t="str" cm="1">
        <f t="array" ref="E208">IFERROR(_xlfn.IFS(AM208&gt;0,"MEET", AN208&gt;0,"MEET"),"No")</f>
        <v>MEET</v>
      </c>
      <c r="F208" s="100">
        <v>2021149</v>
      </c>
      <c r="G208" s="37">
        <v>0.3299242424242424</v>
      </c>
      <c r="H208" s="37">
        <f t="shared" si="45"/>
        <v>0.3299242424242424</v>
      </c>
      <c r="I208" s="37">
        <f t="shared" si="42"/>
        <v>0.3299242424242424</v>
      </c>
      <c r="J208" s="20">
        <v>2021</v>
      </c>
      <c r="K208" s="37"/>
      <c r="L208" s="37"/>
      <c r="M208" s="37">
        <f t="shared" si="46"/>
        <v>0</v>
      </c>
      <c r="N208" s="21">
        <v>928.03</v>
      </c>
      <c r="O208" s="23" t="s">
        <v>4878</v>
      </c>
      <c r="P208" s="22">
        <v>153652109</v>
      </c>
      <c r="Q208" s="19" t="s">
        <v>4025</v>
      </c>
      <c r="R208" s="23" t="s">
        <v>4034</v>
      </c>
      <c r="S208" s="38">
        <f>IFERROR(VLOOKUP(R208,[47]conductor_pz_summary_hftd_23_re!$B$2:$Q$3636,8,FALSE),0)</f>
        <v>190</v>
      </c>
      <c r="T208" s="201">
        <f>IFERROR(VLOOKUP(R208,[48]conductor_pz_summary_hftd_23_re!$B$2:$H$3636,7,0),0)/1609</f>
        <v>17.868682290698821</v>
      </c>
      <c r="U208" s="23">
        <f>IFERROR(VLOOKUP(R208,[47]conductor_pz_summary_hftd_23_re!$B$2:$Q$3636,14,FALSE),0)</f>
        <v>227</v>
      </c>
      <c r="V208" s="37">
        <f t="shared" si="47"/>
        <v>46.134248492928144</v>
      </c>
      <c r="W208" s="202">
        <f>IFERROR(VLOOKUP(R208,[47]conductor_pz_summary_hftd_23_re!$B$2:$Q$3636,13,FALSE),0)</f>
        <v>0.24281183417330601</v>
      </c>
      <c r="X208" s="179">
        <f>IFERROR(VLOOKUP(R208,conductor_pz_summary_hftd_23_re!$B$2:$N$3636,13,FALSE),0)</f>
        <v>487</v>
      </c>
      <c r="Y208" s="203">
        <f t="shared" si="48"/>
        <v>0.84329659394337686</v>
      </c>
      <c r="Z208" s="23">
        <v>554</v>
      </c>
      <c r="AA208" s="23" t="s">
        <v>4871</v>
      </c>
      <c r="AB208" s="23" t="s">
        <v>4884</v>
      </c>
      <c r="AC208" s="19" t="s">
        <v>4885</v>
      </c>
      <c r="AD208" s="19" t="s">
        <v>4886</v>
      </c>
      <c r="AE208" s="19" t="s">
        <v>4887</v>
      </c>
      <c r="AF208" s="19" t="s">
        <v>4875</v>
      </c>
      <c r="AG208" s="23">
        <v>5795299</v>
      </c>
      <c r="AH208" s="23" t="s">
        <v>6400</v>
      </c>
      <c r="AI208" s="23">
        <v>120504095</v>
      </c>
      <c r="AJ208" s="120">
        <v>35231608</v>
      </c>
      <c r="AK208" s="23" t="s">
        <v>6403</v>
      </c>
      <c r="AL208" s="20">
        <v>0</v>
      </c>
      <c r="AM208" s="20">
        <v>1742</v>
      </c>
      <c r="AN208" s="20">
        <v>0</v>
      </c>
      <c r="AO208" s="20">
        <v>0</v>
      </c>
      <c r="AQ208" s="39"/>
      <c r="AR208" s="23"/>
      <c r="AS208" s="40"/>
      <c r="AT208" s="41"/>
      <c r="AU208" s="39" t="s">
        <v>6328</v>
      </c>
      <c r="AV208" s="19">
        <v>0</v>
      </c>
      <c r="AW208" s="19">
        <v>1742</v>
      </c>
      <c r="AX208" s="19">
        <v>0</v>
      </c>
      <c r="AY208" s="23">
        <f t="shared" si="43"/>
        <v>1742</v>
      </c>
      <c r="AZ208" s="40">
        <f t="shared" si="44"/>
        <v>0.3299242424242424</v>
      </c>
      <c r="BA208" s="198">
        <v>513282.74726446584</v>
      </c>
      <c r="BB208" s="187"/>
      <c r="BC208" s="44"/>
      <c r="BD208" s="191">
        <f t="shared" si="49"/>
        <v>0</v>
      </c>
      <c r="BE208" s="23"/>
      <c r="BF208" s="23"/>
      <c r="BG208" s="23"/>
      <c r="BH208" s="23"/>
      <c r="BI208" s="23"/>
      <c r="BJ208" s="23"/>
      <c r="BK208" s="40"/>
      <c r="BL208" s="44"/>
      <c r="BM208" s="41"/>
      <c r="BN208" s="45"/>
    </row>
    <row r="209" spans="1:66" s="19" customFormat="1" x14ac:dyDescent="0.25">
      <c r="A209" s="218">
        <v>35231609</v>
      </c>
      <c r="B209" s="222" t="s">
        <v>5496</v>
      </c>
      <c r="C209" s="23">
        <v>13</v>
      </c>
      <c r="D209" s="23" t="str" cm="1">
        <f t="array" ref="D209">IFERROR(_xlfn.IFS(U209&lt;727,"MEET", AB209="FRRB","MEET", AB209="PSPS","MEET"),"No")</f>
        <v>MEET</v>
      </c>
      <c r="E209" s="23" t="str" cm="1">
        <f t="array" ref="E209">IFERROR(_xlfn.IFS(AM209&gt;0,"MEET", AN209&gt;0,"MEET"),"No")</f>
        <v>No</v>
      </c>
      <c r="F209" s="100">
        <v>2021150</v>
      </c>
      <c r="G209" s="37">
        <v>1.3299242424242423</v>
      </c>
      <c r="H209" s="37">
        <f t="shared" si="45"/>
        <v>1.3301136363636363</v>
      </c>
      <c r="I209" s="37">
        <f t="shared" si="42"/>
        <v>1.3301136363636363</v>
      </c>
      <c r="J209" s="20">
        <v>2021</v>
      </c>
      <c r="K209" s="37"/>
      <c r="L209" s="37"/>
      <c r="M209" s="37">
        <f t="shared" si="46"/>
        <v>0</v>
      </c>
      <c r="N209" s="21">
        <v>0</v>
      </c>
      <c r="O209" s="23" t="s">
        <v>4878</v>
      </c>
      <c r="P209" s="22">
        <v>153652109</v>
      </c>
      <c r="Q209" s="19" t="s">
        <v>4025</v>
      </c>
      <c r="R209" s="23" t="s">
        <v>4034</v>
      </c>
      <c r="S209" s="38">
        <f>IFERROR(VLOOKUP(R209,[47]conductor_pz_summary_hftd_23_re!$B$2:$Q$3636,8,FALSE),0)</f>
        <v>190</v>
      </c>
      <c r="T209" s="201">
        <f>IFERROR(VLOOKUP(R209,[48]conductor_pz_summary_hftd_23_re!$B$2:$H$3636,7,0),0)/1609</f>
        <v>17.868682290698821</v>
      </c>
      <c r="U209" s="23">
        <f>IFERROR(VLOOKUP(R209,[47]conductor_pz_summary_hftd_23_re!$B$2:$Q$3636,14,FALSE),0)</f>
        <v>227</v>
      </c>
      <c r="V209" s="37">
        <f t="shared" si="47"/>
        <v>46.134248492928144</v>
      </c>
      <c r="W209" s="202">
        <f>IFERROR(VLOOKUP(R209,[47]conductor_pz_summary_hftd_23_re!$B$2:$Q$3636,13,FALSE),0)</f>
        <v>0.24281183417330601</v>
      </c>
      <c r="X209" s="73">
        <f>IFERROR(VLOOKUP(R209,conductor_pz_summary_hftd_23_re!$B$2:$N$3636,13,FALSE),0)</f>
        <v>487</v>
      </c>
      <c r="Y209" s="203">
        <f t="shared" si="48"/>
        <v>2.1291750032726164</v>
      </c>
      <c r="Z209" s="23">
        <v>554</v>
      </c>
      <c r="AA209" s="23" t="s">
        <v>4871</v>
      </c>
      <c r="AB209" s="23" t="s">
        <v>4884</v>
      </c>
      <c r="AC209" s="19" t="s">
        <v>4885</v>
      </c>
      <c r="AD209" s="19" t="s">
        <v>4886</v>
      </c>
      <c r="AE209" s="19" t="s">
        <v>4887</v>
      </c>
      <c r="AF209" s="19" t="s">
        <v>4875</v>
      </c>
      <c r="AG209" s="23">
        <v>5795299</v>
      </c>
      <c r="AH209" s="23" t="s">
        <v>6401</v>
      </c>
      <c r="AI209" s="23">
        <v>120504096</v>
      </c>
      <c r="AJ209" s="120" t="s">
        <v>6398</v>
      </c>
      <c r="AK209" s="23" t="s">
        <v>6404</v>
      </c>
      <c r="AL209" s="20">
        <v>7023</v>
      </c>
      <c r="AM209" s="20">
        <v>0</v>
      </c>
      <c r="AN209" s="20">
        <v>0</v>
      </c>
      <c r="AO209" s="20">
        <v>0</v>
      </c>
      <c r="AQ209" s="39"/>
      <c r="AR209" s="23"/>
      <c r="AS209" s="40"/>
      <c r="AT209" s="41"/>
      <c r="AU209" s="39" t="s">
        <v>6328</v>
      </c>
      <c r="AV209" s="19">
        <v>0</v>
      </c>
      <c r="AW209" s="19">
        <v>0</v>
      </c>
      <c r="AX209" s="19">
        <v>7022</v>
      </c>
      <c r="AY209" s="23">
        <f t="shared" si="43"/>
        <v>7022</v>
      </c>
      <c r="AZ209" s="40">
        <f t="shared" si="44"/>
        <v>1.3299242424242423</v>
      </c>
      <c r="BA209" s="198">
        <v>2069042.164920252</v>
      </c>
      <c r="BB209" s="187"/>
      <c r="BC209" s="44"/>
      <c r="BD209" s="191">
        <f t="shared" si="49"/>
        <v>0</v>
      </c>
      <c r="BE209" s="23"/>
      <c r="BF209" s="23"/>
      <c r="BG209" s="23"/>
      <c r="BH209" s="23"/>
      <c r="BI209" s="23"/>
      <c r="BJ209" s="23"/>
      <c r="BK209" s="40"/>
      <c r="BL209" s="44"/>
      <c r="BM209" s="41"/>
      <c r="BN209" s="45"/>
    </row>
    <row r="210" spans="1:66" s="19" customFormat="1" x14ac:dyDescent="0.25">
      <c r="A210" s="218">
        <v>35062375</v>
      </c>
      <c r="B210" s="222" t="s">
        <v>5496</v>
      </c>
      <c r="C210" s="23">
        <v>14</v>
      </c>
      <c r="D210" s="23" t="str" cm="1">
        <f t="array" ref="D210">IFERROR(_xlfn.IFS(U210&lt;727,"MEET", AB210="FRRB","MEET", AB210="PSPS","MEET"),"No")</f>
        <v>MEET</v>
      </c>
      <c r="E210" s="23" t="str" cm="1">
        <f t="array" ref="E210">IFERROR(_xlfn.IFS(AM210&gt;0,"MEET", AN210&gt;0,"MEET"),"No")</f>
        <v>MEET</v>
      </c>
      <c r="F210" s="100">
        <v>2021151</v>
      </c>
      <c r="G210" s="37">
        <v>1.1100378787878789</v>
      </c>
      <c r="H210" s="37">
        <f t="shared" si="45"/>
        <v>1.0901515151515151</v>
      </c>
      <c r="I210" s="37">
        <f t="shared" si="42"/>
        <v>1.0901515151515151</v>
      </c>
      <c r="J210" s="20">
        <v>2021</v>
      </c>
      <c r="K210" s="37"/>
      <c r="L210" s="37"/>
      <c r="M210" s="37">
        <f t="shared" si="46"/>
        <v>0</v>
      </c>
      <c r="N210" s="21">
        <v>30474.26</v>
      </c>
      <c r="O210" s="23" t="s">
        <v>4870</v>
      </c>
      <c r="P210" s="22">
        <v>153652109</v>
      </c>
      <c r="Q210" s="19" t="s">
        <v>4025</v>
      </c>
      <c r="R210" s="23" t="s">
        <v>4034</v>
      </c>
      <c r="S210" s="38">
        <f>IFERROR(VLOOKUP(R210,[47]conductor_pz_summary_hftd_23_re!$B$2:$Q$3636,8,FALSE),0)</f>
        <v>190</v>
      </c>
      <c r="T210" s="201">
        <f>IFERROR(VLOOKUP(R210,[48]conductor_pz_summary_hftd_23_re!$B$2:$H$3636,7,0),0)/1609</f>
        <v>17.868682290698821</v>
      </c>
      <c r="U210" s="23">
        <f>IFERROR(VLOOKUP(R210,[47]conductor_pz_summary_hftd_23_re!$B$2:$Q$3636,14,FALSE),0)</f>
        <v>227</v>
      </c>
      <c r="V210" s="37">
        <f t="shared" si="47"/>
        <v>46.134248492928144</v>
      </c>
      <c r="W210" s="202">
        <f>IFERROR(VLOOKUP(R210,[47]conductor_pz_summary_hftd_23_re!$B$2:$Q$3636,13,FALSE),0)</f>
        <v>0.24281183417330601</v>
      </c>
      <c r="X210" s="73">
        <f>IFERROR(VLOOKUP(R210,conductor_pz_summary_hftd_23_re!$B$2:$N$3636,13,FALSE),0)</f>
        <v>487</v>
      </c>
      <c r="Y210" s="203">
        <f t="shared" si="48"/>
        <v>2.7864610761986661</v>
      </c>
      <c r="Z210" s="23">
        <v>554</v>
      </c>
      <c r="AA210" s="23" t="s">
        <v>4871</v>
      </c>
      <c r="AB210" s="23" t="s">
        <v>4884</v>
      </c>
      <c r="AC210" s="19" t="s">
        <v>4885</v>
      </c>
      <c r="AD210" s="19" t="s">
        <v>4886</v>
      </c>
      <c r="AE210" s="19" t="s">
        <v>4887</v>
      </c>
      <c r="AF210" s="19" t="s">
        <v>4875</v>
      </c>
      <c r="AG210" s="23">
        <v>5783068</v>
      </c>
      <c r="AH210" s="23" t="s">
        <v>4890</v>
      </c>
      <c r="AI210" s="23">
        <v>115323921</v>
      </c>
      <c r="AJ210" s="120">
        <v>35062375</v>
      </c>
      <c r="AK210" s="23" t="s">
        <v>6191</v>
      </c>
      <c r="AL210" s="20">
        <v>0</v>
      </c>
      <c r="AM210" s="20">
        <v>5756</v>
      </c>
      <c r="AN210" s="20">
        <v>0</v>
      </c>
      <c r="AO210" s="20">
        <v>0</v>
      </c>
      <c r="AQ210" s="39" t="s">
        <v>4891</v>
      </c>
      <c r="AR210" s="23">
        <v>63518.400000000001</v>
      </c>
      <c r="AS210" s="40">
        <v>12.03</v>
      </c>
      <c r="AT210" s="41">
        <v>13033162</v>
      </c>
      <c r="AU210" s="39" t="s">
        <v>6327</v>
      </c>
      <c r="AV210" s="19">
        <v>0</v>
      </c>
      <c r="AW210" s="19">
        <v>5861</v>
      </c>
      <c r="AX210" s="19">
        <v>0</v>
      </c>
      <c r="AY210" s="23">
        <f t="shared" si="43"/>
        <v>5861</v>
      </c>
      <c r="AZ210" s="40">
        <f t="shared" si="44"/>
        <v>1.1100378787878789</v>
      </c>
      <c r="BA210" s="198">
        <v>1698679.6352726803</v>
      </c>
      <c r="BB210" s="187"/>
      <c r="BC210" s="44"/>
      <c r="BD210" s="191">
        <f t="shared" si="49"/>
        <v>0</v>
      </c>
      <c r="BE210" s="23"/>
      <c r="BF210" s="23"/>
      <c r="BG210" s="23"/>
      <c r="BH210" s="23"/>
      <c r="BI210" s="23"/>
      <c r="BJ210" s="23"/>
      <c r="BK210" s="40"/>
      <c r="BL210" s="44"/>
      <c r="BM210" s="41"/>
      <c r="BN210" s="45"/>
    </row>
    <row r="211" spans="1:66" s="19" customFormat="1" x14ac:dyDescent="0.25">
      <c r="A211" s="218">
        <v>35226848</v>
      </c>
      <c r="B211" s="222" t="s">
        <v>5496</v>
      </c>
      <c r="C211" s="23">
        <v>14</v>
      </c>
      <c r="D211" s="23" t="str" cm="1">
        <f t="array" ref="D211">IFERROR(_xlfn.IFS(U211&lt;727,"MEET", AB211="FRRB","MEET", AB211="PSPS","MEET"),"No")</f>
        <v>MEET</v>
      </c>
      <c r="E211" s="23" t="str" cm="1">
        <f t="array" ref="E211">IFERROR(_xlfn.IFS(AM211&gt;0,"MEET", AN211&gt;0,"MEET"),"No")</f>
        <v>No</v>
      </c>
      <c r="F211" s="100">
        <v>2021152</v>
      </c>
      <c r="G211" s="37">
        <v>2.8700757575757576</v>
      </c>
      <c r="H211" s="37">
        <f t="shared" si="45"/>
        <v>2.4445075757575756</v>
      </c>
      <c r="I211" s="37">
        <f t="shared" si="42"/>
        <v>2.4445075757575756</v>
      </c>
      <c r="J211" s="20">
        <v>2021</v>
      </c>
      <c r="K211" s="37"/>
      <c r="L211" s="37"/>
      <c r="M211" s="37">
        <f t="shared" si="46"/>
        <v>0</v>
      </c>
      <c r="N211" s="21">
        <v>0</v>
      </c>
      <c r="O211" s="183" t="s">
        <v>4870</v>
      </c>
      <c r="P211" s="22">
        <v>153652109</v>
      </c>
      <c r="Q211" s="19" t="s">
        <v>4025</v>
      </c>
      <c r="R211" s="23" t="s">
        <v>4034</v>
      </c>
      <c r="S211" s="38">
        <f>IFERROR(VLOOKUP(R211,[47]conductor_pz_summary_hftd_23_re!$B$2:$Q$3636,8,FALSE),0)</f>
        <v>190</v>
      </c>
      <c r="T211" s="201">
        <f>IFERROR(VLOOKUP(R211,[48]conductor_pz_summary_hftd_23_re!$B$2:$H$3636,7,0),0)/1609</f>
        <v>17.868682290698821</v>
      </c>
      <c r="U211" s="23">
        <f>IFERROR(VLOOKUP(R211,[47]conductor_pz_summary_hftd_23_re!$B$2:$Q$3636,14,FALSE),0)</f>
        <v>227</v>
      </c>
      <c r="V211" s="37">
        <f t="shared" si="47"/>
        <v>46.134248492928144</v>
      </c>
      <c r="W211" s="202">
        <f>IFERROR(VLOOKUP(R211,[47]conductor_pz_summary_hftd_23_re!$B$2:$Q$3636,13,FALSE),0)</f>
        <v>0.24281183417330601</v>
      </c>
      <c r="X211" s="73">
        <f>IFERROR(VLOOKUP(R211,conductor_pz_summary_hftd_23_re!$B$2:$N$3636,13,FALSE),0)</f>
        <v>487</v>
      </c>
      <c r="Y211" s="203">
        <f t="shared" si="48"/>
        <v>3.913037415241301</v>
      </c>
      <c r="Z211" s="23">
        <v>554</v>
      </c>
      <c r="AA211" s="23" t="s">
        <v>4871</v>
      </c>
      <c r="AB211" s="23" t="s">
        <v>4884</v>
      </c>
      <c r="AC211" s="19" t="s">
        <v>4885</v>
      </c>
      <c r="AD211" s="19" t="s">
        <v>4886</v>
      </c>
      <c r="AE211" s="19" t="s">
        <v>4887</v>
      </c>
      <c r="AF211" s="19" t="s">
        <v>4875</v>
      </c>
      <c r="AG211" s="23">
        <v>5795299</v>
      </c>
      <c r="AH211" s="23" t="s">
        <v>6196</v>
      </c>
      <c r="AI211" s="23">
        <v>120449141</v>
      </c>
      <c r="AJ211" s="120">
        <v>35226848</v>
      </c>
      <c r="AK211" s="23" t="s">
        <v>6192</v>
      </c>
      <c r="AL211" s="20">
        <v>12907</v>
      </c>
      <c r="AM211" s="20">
        <v>0</v>
      </c>
      <c r="AN211" s="20">
        <v>0</v>
      </c>
      <c r="AO211" s="20">
        <v>0</v>
      </c>
      <c r="AQ211" s="39" t="s">
        <v>4891</v>
      </c>
      <c r="AR211" s="23"/>
      <c r="AS211" s="40"/>
      <c r="AT211" s="41"/>
      <c r="AU211" s="39" t="s">
        <v>6327</v>
      </c>
      <c r="AV211" s="19">
        <v>0</v>
      </c>
      <c r="AW211" s="19">
        <v>0</v>
      </c>
      <c r="AX211" s="19">
        <v>15154</v>
      </c>
      <c r="AY211" s="23">
        <f t="shared" si="43"/>
        <v>15154</v>
      </c>
      <c r="AZ211" s="40">
        <f t="shared" si="44"/>
        <v>2.8700757575757576</v>
      </c>
      <c r="BA211" s="198">
        <v>4392047.6357144164</v>
      </c>
      <c r="BB211" s="187"/>
      <c r="BC211" s="44"/>
      <c r="BD211" s="191">
        <f t="shared" si="49"/>
        <v>0</v>
      </c>
      <c r="BE211" s="23"/>
      <c r="BF211" s="23"/>
      <c r="BG211" s="23"/>
      <c r="BH211" s="23"/>
      <c r="BI211" s="23"/>
      <c r="BJ211" s="23"/>
      <c r="BK211" s="40"/>
      <c r="BL211" s="44"/>
      <c r="BM211" s="41"/>
      <c r="BN211" s="45"/>
    </row>
    <row r="212" spans="1:66" s="19" customFormat="1" x14ac:dyDescent="0.25">
      <c r="A212" s="218">
        <v>35226849</v>
      </c>
      <c r="B212" s="222" t="s">
        <v>5496</v>
      </c>
      <c r="C212" s="23">
        <v>13</v>
      </c>
      <c r="D212" s="23" t="str" cm="1">
        <f t="array" ref="D212">IFERROR(_xlfn.IFS(U212&lt;727,"MEET", AB212="FRRB","MEET", AB212="PSPS","MEET"),"No")</f>
        <v>MEET</v>
      </c>
      <c r="E212" s="23" t="str" cm="1">
        <f t="array" ref="E212">IFERROR(_xlfn.IFS(AM212&gt;0,"MEET", AN212&gt;0,"MEET"),"No")</f>
        <v>MEET</v>
      </c>
      <c r="F212" s="100">
        <v>2021153</v>
      </c>
      <c r="G212" s="37">
        <v>1.7799242424242425</v>
      </c>
      <c r="H212" s="37">
        <f t="shared" si="45"/>
        <v>1.7833333333333334</v>
      </c>
      <c r="I212" s="37">
        <f t="shared" si="42"/>
        <v>1.7833333333333334</v>
      </c>
      <c r="J212" s="20">
        <v>2021</v>
      </c>
      <c r="K212" s="37"/>
      <c r="L212" s="37"/>
      <c r="M212" s="37">
        <f t="shared" si="46"/>
        <v>0</v>
      </c>
      <c r="N212" s="21">
        <v>372.25</v>
      </c>
      <c r="O212" s="23" t="s">
        <v>4878</v>
      </c>
      <c r="P212" s="22">
        <v>153652109</v>
      </c>
      <c r="Q212" s="19" t="s">
        <v>4025</v>
      </c>
      <c r="R212" s="23" t="s">
        <v>4034</v>
      </c>
      <c r="S212" s="38">
        <f>IFERROR(VLOOKUP(R212,[47]conductor_pz_summary_hftd_23_re!$B$2:$Q$3636,8,FALSE),0)</f>
        <v>190</v>
      </c>
      <c r="T212" s="201">
        <f>IFERROR(VLOOKUP(R212,[48]conductor_pz_summary_hftd_23_re!$B$2:$H$3636,7,0),0)/1609</f>
        <v>17.868682290698821</v>
      </c>
      <c r="U212" s="23">
        <f>IFERROR(VLOOKUP(R212,[47]conductor_pz_summary_hftd_23_re!$B$2:$Q$3636,14,FALSE),0)</f>
        <v>227</v>
      </c>
      <c r="V212" s="37">
        <f t="shared" si="47"/>
        <v>46.134248492928144</v>
      </c>
      <c r="W212" s="202">
        <f>IFERROR(VLOOKUP(R212,[47]conductor_pz_summary_hftd_23_re!$B$2:$Q$3636,13,FALSE),0)</f>
        <v>0.24281183417330601</v>
      </c>
      <c r="X212" s="73">
        <f>IFERROR(VLOOKUP(R212,conductor_pz_summary_hftd_23_re!$B$2:$N$3636,13,FALSE),0)</f>
        <v>487</v>
      </c>
      <c r="Y212" s="203">
        <f t="shared" si="48"/>
        <v>4.5582552976870483</v>
      </c>
      <c r="Z212" s="23">
        <v>554</v>
      </c>
      <c r="AA212" s="23" t="s">
        <v>4871</v>
      </c>
      <c r="AB212" s="23" t="s">
        <v>4884</v>
      </c>
      <c r="AC212" s="19" t="s">
        <v>4885</v>
      </c>
      <c r="AD212" s="19" t="s">
        <v>4886</v>
      </c>
      <c r="AE212" s="19" t="s">
        <v>4887</v>
      </c>
      <c r="AF212" s="19" t="s">
        <v>4875</v>
      </c>
      <c r="AG212" s="23">
        <v>5795299</v>
      </c>
      <c r="AH212" s="23" t="s">
        <v>6197</v>
      </c>
      <c r="AI212" s="23">
        <v>120449142</v>
      </c>
      <c r="AJ212" s="120">
        <v>35226849</v>
      </c>
      <c r="AK212" s="23" t="s">
        <v>6193</v>
      </c>
      <c r="AL212" s="20">
        <v>0</v>
      </c>
      <c r="AM212" s="20">
        <v>9416</v>
      </c>
      <c r="AN212" s="20">
        <v>0</v>
      </c>
      <c r="AO212" s="20">
        <v>0</v>
      </c>
      <c r="AQ212" s="39" t="s">
        <v>4891</v>
      </c>
      <c r="AR212" s="23"/>
      <c r="AS212" s="40"/>
      <c r="AT212" s="41"/>
      <c r="AU212" s="39" t="s">
        <v>6327</v>
      </c>
      <c r="AV212" s="19">
        <v>0</v>
      </c>
      <c r="AW212" s="19">
        <v>9398</v>
      </c>
      <c r="AX212" s="19">
        <v>0</v>
      </c>
      <c r="AY212" s="23">
        <f t="shared" si="43"/>
        <v>9398</v>
      </c>
      <c r="AZ212" s="40">
        <f t="shared" si="44"/>
        <v>1.7799242424242425</v>
      </c>
      <c r="BA212" s="198">
        <v>2723799.8997257547</v>
      </c>
      <c r="BB212" s="187"/>
      <c r="BC212" s="44"/>
      <c r="BD212" s="191">
        <f t="shared" si="49"/>
        <v>0</v>
      </c>
      <c r="BE212" s="23"/>
      <c r="BF212" s="23"/>
      <c r="BG212" s="23"/>
      <c r="BH212" s="23"/>
      <c r="BI212" s="23"/>
      <c r="BJ212" s="23"/>
      <c r="BK212" s="40"/>
      <c r="BL212" s="44"/>
      <c r="BM212" s="41"/>
      <c r="BN212" s="45"/>
    </row>
    <row r="213" spans="1:66" s="19" customFormat="1" x14ac:dyDescent="0.25">
      <c r="A213" s="218">
        <v>35226850</v>
      </c>
      <c r="B213" s="222" t="s">
        <v>5496</v>
      </c>
      <c r="C213" s="23">
        <v>14</v>
      </c>
      <c r="D213" s="23" t="str" cm="1">
        <f t="array" ref="D213">IFERROR(_xlfn.IFS(U213&lt;727,"MEET", AB213="FRRB","MEET", AB213="PSPS","MEET"),"No")</f>
        <v>MEET</v>
      </c>
      <c r="E213" s="23" t="str" cm="1">
        <f t="array" ref="E213">IFERROR(_xlfn.IFS(AM213&gt;0,"MEET", AN213&gt;0,"MEET"),"No")</f>
        <v>No</v>
      </c>
      <c r="F213" s="100">
        <v>2021154</v>
      </c>
      <c r="G213" s="37">
        <v>2.2899621212121213</v>
      </c>
      <c r="H213" s="37">
        <f t="shared" si="45"/>
        <v>1.5450757575757577</v>
      </c>
      <c r="I213" s="37">
        <f t="shared" si="42"/>
        <v>1.5450757575757577</v>
      </c>
      <c r="J213" s="20">
        <v>2021</v>
      </c>
      <c r="K213" s="37"/>
      <c r="L213" s="37"/>
      <c r="M213" s="37">
        <f t="shared" si="46"/>
        <v>0</v>
      </c>
      <c r="N213" s="21">
        <v>515</v>
      </c>
      <c r="O213" s="183" t="s">
        <v>4870</v>
      </c>
      <c r="P213" s="22">
        <v>153652109</v>
      </c>
      <c r="Q213" s="19" t="s">
        <v>4025</v>
      </c>
      <c r="R213" s="23" t="s">
        <v>4034</v>
      </c>
      <c r="S213" s="38">
        <f>IFERROR(VLOOKUP(R213,[47]conductor_pz_summary_hftd_23_re!$B$2:$Q$3636,8,FALSE),0)</f>
        <v>190</v>
      </c>
      <c r="T213" s="201">
        <f>IFERROR(VLOOKUP(R213,[48]conductor_pz_summary_hftd_23_re!$B$2:$H$3636,7,0),0)/1609</f>
        <v>17.868682290698821</v>
      </c>
      <c r="U213" s="23">
        <f>IFERROR(VLOOKUP(R213,[47]conductor_pz_summary_hftd_23_re!$B$2:$Q$3636,14,FALSE),0)</f>
        <v>227</v>
      </c>
      <c r="V213" s="37">
        <f t="shared" si="47"/>
        <v>46.134248492928144</v>
      </c>
      <c r="W213" s="202">
        <f>IFERROR(VLOOKUP(R213,[47]conductor_pz_summary_hftd_23_re!$B$2:$Q$3636,13,FALSE),0)</f>
        <v>0.24281183417330601</v>
      </c>
      <c r="X213" s="73">
        <f>IFERROR(VLOOKUP(R213,conductor_pz_summary_hftd_23_re!$B$2:$N$3636,13,FALSE),0)</f>
        <v>487</v>
      </c>
      <c r="Y213" s="203">
        <f t="shared" si="48"/>
        <v>2.4732749076887375</v>
      </c>
      <c r="Z213" s="23">
        <v>554</v>
      </c>
      <c r="AA213" s="23" t="s">
        <v>4871</v>
      </c>
      <c r="AB213" s="23" t="s">
        <v>4884</v>
      </c>
      <c r="AC213" s="19" t="s">
        <v>4885</v>
      </c>
      <c r="AD213" s="19" t="s">
        <v>4886</v>
      </c>
      <c r="AE213" s="19" t="s">
        <v>4887</v>
      </c>
      <c r="AF213" s="19" t="s">
        <v>4875</v>
      </c>
      <c r="AG213" s="23">
        <v>5795299</v>
      </c>
      <c r="AH213" s="23" t="s">
        <v>6198</v>
      </c>
      <c r="AI213" s="23">
        <v>120449143</v>
      </c>
      <c r="AJ213" s="120">
        <v>35226850</v>
      </c>
      <c r="AK213" s="23" t="s">
        <v>6194</v>
      </c>
      <c r="AL213" s="20">
        <v>8158</v>
      </c>
      <c r="AM213" s="20">
        <v>0</v>
      </c>
      <c r="AN213" s="20">
        <v>0</v>
      </c>
      <c r="AO213" s="20">
        <v>0</v>
      </c>
      <c r="AQ213" s="39" t="s">
        <v>4891</v>
      </c>
      <c r="AR213" s="23"/>
      <c r="AS213" s="40"/>
      <c r="AT213" s="41"/>
      <c r="AU213" s="39" t="s">
        <v>6327</v>
      </c>
      <c r="AV213" s="19">
        <v>0</v>
      </c>
      <c r="AW213" s="19">
        <v>0</v>
      </c>
      <c r="AX213" s="19">
        <v>9187</v>
      </c>
      <c r="AY213" s="23">
        <f t="shared" si="43"/>
        <v>9187</v>
      </c>
      <c r="AZ213" s="40">
        <f t="shared" si="44"/>
        <v>1.7399621212121212</v>
      </c>
      <c r="BA213" s="198">
        <v>2662646.2735454892</v>
      </c>
      <c r="BB213" s="187"/>
      <c r="BC213" s="44"/>
      <c r="BD213" s="191">
        <f t="shared" si="49"/>
        <v>0</v>
      </c>
      <c r="BE213" s="23"/>
      <c r="BF213" s="23"/>
      <c r="BG213" s="23"/>
      <c r="BH213" s="23"/>
      <c r="BI213" s="23"/>
      <c r="BJ213" s="23"/>
      <c r="BK213" s="40"/>
      <c r="BL213" s="44"/>
      <c r="BM213" s="41"/>
      <c r="BN213" s="45"/>
    </row>
    <row r="214" spans="1:66" s="19" customFormat="1" x14ac:dyDescent="0.25">
      <c r="A214" s="218">
        <v>35226851</v>
      </c>
      <c r="B214" s="222" t="s">
        <v>5496</v>
      </c>
      <c r="C214" s="23">
        <v>14</v>
      </c>
      <c r="D214" s="23" t="str" cm="1">
        <f t="array" ref="D214">IFERROR(_xlfn.IFS(U214&lt;727,"MEET", AB214="FRRB","MEET", AB214="PSPS","MEET"),"No")</f>
        <v>MEET</v>
      </c>
      <c r="E214" s="23" t="str" cm="1">
        <f t="array" ref="E214">IFERROR(_xlfn.IFS(AM214&gt;0,"MEET", AN214&gt;0,"MEET"),"No")</f>
        <v>No</v>
      </c>
      <c r="F214" s="100">
        <v>2021155</v>
      </c>
      <c r="G214" s="37">
        <v>2.1899621212121212</v>
      </c>
      <c r="H214" s="37">
        <f t="shared" si="45"/>
        <v>1.8784090909090909</v>
      </c>
      <c r="I214" s="37">
        <f t="shared" ref="I214:I245" si="50">H214-M214</f>
        <v>1.8784090909090909</v>
      </c>
      <c r="J214" s="20">
        <v>2021</v>
      </c>
      <c r="K214" s="37"/>
      <c r="L214" s="37"/>
      <c r="M214" s="37">
        <f t="shared" si="46"/>
        <v>0</v>
      </c>
      <c r="N214" s="21">
        <v>297.8</v>
      </c>
      <c r="O214" s="183" t="s">
        <v>4870</v>
      </c>
      <c r="P214" s="22">
        <v>153652109</v>
      </c>
      <c r="Q214" s="19" t="s">
        <v>4025</v>
      </c>
      <c r="R214" s="23" t="s">
        <v>4034</v>
      </c>
      <c r="S214" s="38">
        <f>IFERROR(VLOOKUP(R214,[47]conductor_pz_summary_hftd_23_re!$B$2:$Q$3636,8,FALSE),0)</f>
        <v>190</v>
      </c>
      <c r="T214" s="201">
        <f>IFERROR(VLOOKUP(R214,[48]conductor_pz_summary_hftd_23_re!$B$2:$H$3636,7,0),0)/1609</f>
        <v>17.868682290698821</v>
      </c>
      <c r="U214" s="23">
        <f>IFERROR(VLOOKUP(R214,[47]conductor_pz_summary_hftd_23_re!$B$2:$Q$3636,14,FALSE),0)</f>
        <v>227</v>
      </c>
      <c r="V214" s="37">
        <f t="shared" si="47"/>
        <v>46.134248492928144</v>
      </c>
      <c r="W214" s="202">
        <f>IFERROR(VLOOKUP(R214,[47]conductor_pz_summary_hftd_23_re!$B$2:$Q$3636,13,FALSE),0)</f>
        <v>0.24281183417330601</v>
      </c>
      <c r="X214" s="181">
        <f>IFERROR(VLOOKUP(R214,conductor_pz_summary_hftd_23_re!$B$2:$N$3636,13,FALSE),0)</f>
        <v>487</v>
      </c>
      <c r="Y214" s="203">
        <f t="shared" si="48"/>
        <v>3.0068571383251896</v>
      </c>
      <c r="Z214" s="23">
        <v>554</v>
      </c>
      <c r="AA214" s="23" t="s">
        <v>4871</v>
      </c>
      <c r="AB214" s="23" t="s">
        <v>4884</v>
      </c>
      <c r="AC214" s="19" t="s">
        <v>4885</v>
      </c>
      <c r="AD214" s="19" t="s">
        <v>4886</v>
      </c>
      <c r="AE214" s="19" t="s">
        <v>4887</v>
      </c>
      <c r="AF214" s="19" t="s">
        <v>4875</v>
      </c>
      <c r="AG214" s="23">
        <v>5795299</v>
      </c>
      <c r="AH214" s="23" t="s">
        <v>6199</v>
      </c>
      <c r="AI214" s="23">
        <v>120449144</v>
      </c>
      <c r="AJ214" s="120">
        <v>35226851</v>
      </c>
      <c r="AK214" s="23" t="s">
        <v>6195</v>
      </c>
      <c r="AL214" s="20">
        <v>9918</v>
      </c>
      <c r="AM214" s="20">
        <v>0</v>
      </c>
      <c r="AN214" s="20">
        <v>0</v>
      </c>
      <c r="AO214" s="20">
        <v>0</v>
      </c>
      <c r="AQ214" s="39" t="s">
        <v>4891</v>
      </c>
      <c r="AR214" s="23"/>
      <c r="AS214" s="40"/>
      <c r="AT214" s="41"/>
      <c r="AU214" s="39" t="s">
        <v>6327</v>
      </c>
      <c r="AV214" s="19">
        <v>0</v>
      </c>
      <c r="AW214" s="19">
        <v>0</v>
      </c>
      <c r="AX214" s="19">
        <v>11563</v>
      </c>
      <c r="AY214" s="23">
        <f t="shared" si="43"/>
        <v>11563</v>
      </c>
      <c r="AZ214" s="40">
        <f t="shared" si="44"/>
        <v>2.1899621212121212</v>
      </c>
      <c r="BA214" s="198">
        <v>3351276.6802009898</v>
      </c>
      <c r="BB214" s="187"/>
      <c r="BC214" s="44"/>
      <c r="BD214" s="191">
        <f t="shared" si="49"/>
        <v>0</v>
      </c>
      <c r="BE214" s="23"/>
      <c r="BF214" s="23"/>
      <c r="BG214" s="23"/>
      <c r="BH214" s="23"/>
      <c r="BI214" s="23"/>
      <c r="BJ214" s="23"/>
      <c r="BK214" s="40"/>
      <c r="BL214" s="44"/>
      <c r="BM214" s="41"/>
      <c r="BN214" s="45"/>
    </row>
    <row r="215" spans="1:66" s="19" customFormat="1" x14ac:dyDescent="0.25">
      <c r="A215" s="218">
        <v>35232280</v>
      </c>
      <c r="B215" s="222" t="s">
        <v>5496</v>
      </c>
      <c r="C215" s="23">
        <v>14</v>
      </c>
      <c r="D215" s="23" t="str" cm="1">
        <f t="array" ref="D215">IFERROR(_xlfn.IFS(U215&lt;727,"MEET", AB215="FRRB","MEET", AB215="PSPS","MEET"),"No")</f>
        <v>MEET</v>
      </c>
      <c r="E215" s="23" t="str" cm="1">
        <f t="array" ref="E215">IFERROR(_xlfn.IFS(AM215&gt;0,"MEET", AN215&gt;0,"MEET"),"No")</f>
        <v>No</v>
      </c>
      <c r="F215" s="100">
        <v>2021156</v>
      </c>
      <c r="G215" s="37">
        <v>0.6</v>
      </c>
      <c r="H215" s="37">
        <f t="shared" si="45"/>
        <v>0.6</v>
      </c>
      <c r="I215" s="37">
        <f t="shared" si="50"/>
        <v>0.6</v>
      </c>
      <c r="J215" s="20">
        <v>2021</v>
      </c>
      <c r="K215" s="37"/>
      <c r="L215" s="37"/>
      <c r="M215" s="37">
        <f t="shared" si="46"/>
        <v>0</v>
      </c>
      <c r="N215" s="21">
        <v>0</v>
      </c>
      <c r="O215" s="183" t="s">
        <v>4870</v>
      </c>
      <c r="P215" s="22">
        <v>153652109</v>
      </c>
      <c r="Q215" s="19" t="s">
        <v>4025</v>
      </c>
      <c r="R215" s="23" t="s">
        <v>4034</v>
      </c>
      <c r="S215" s="38">
        <f>IFERROR(VLOOKUP(R215,[47]conductor_pz_summary_hftd_23_re!$B$2:$Q$3636,8,FALSE),0)</f>
        <v>190</v>
      </c>
      <c r="T215" s="201">
        <f>IFERROR(VLOOKUP(R215,[48]conductor_pz_summary_hftd_23_re!$B$2:$H$3636,7,0),0)/1609</f>
        <v>17.868682290698821</v>
      </c>
      <c r="U215" s="23">
        <f>IFERROR(VLOOKUP(R215,[47]conductor_pz_summary_hftd_23_re!$B$2:$Q$3636,14,FALSE),0)</f>
        <v>227</v>
      </c>
      <c r="V215" s="37">
        <f t="shared" si="47"/>
        <v>46.134248492928144</v>
      </c>
      <c r="W215" s="202">
        <f>IFERROR(VLOOKUP(R215,[47]conductor_pz_summary_hftd_23_re!$B$2:$Q$3636,13,FALSE),0)</f>
        <v>0.24281183417330601</v>
      </c>
      <c r="X215" s="73">
        <f>IFERROR(VLOOKUP(R215,conductor_pz_summary_hftd_23_re!$B$2:$N$3636,13,FALSE),0)</f>
        <v>487</v>
      </c>
      <c r="Y215" s="203">
        <f t="shared" si="48"/>
        <v>0.96044801514561406</v>
      </c>
      <c r="Z215" s="23">
        <v>554</v>
      </c>
      <c r="AA215" s="23" t="s">
        <v>4871</v>
      </c>
      <c r="AB215" s="23" t="s">
        <v>4884</v>
      </c>
      <c r="AC215" s="19" t="s">
        <v>4885</v>
      </c>
      <c r="AD215" s="19" t="s">
        <v>4886</v>
      </c>
      <c r="AE215" s="19" t="s">
        <v>4887</v>
      </c>
      <c r="AF215" s="19" t="s">
        <v>4875</v>
      </c>
      <c r="AG215" s="23">
        <v>5795299</v>
      </c>
      <c r="AH215" s="23" t="s">
        <v>6430</v>
      </c>
      <c r="AI215" s="23">
        <v>120527401</v>
      </c>
      <c r="AJ215" s="120" t="s">
        <v>6431</v>
      </c>
      <c r="AK215" s="23" t="s">
        <v>6432</v>
      </c>
      <c r="AL215" s="20">
        <v>3168</v>
      </c>
      <c r="AM215" s="20">
        <v>0</v>
      </c>
      <c r="AN215" s="20">
        <v>0</v>
      </c>
      <c r="AO215" s="20">
        <v>0</v>
      </c>
      <c r="AQ215" s="39"/>
      <c r="AR215" s="23"/>
      <c r="AS215" s="40"/>
      <c r="AT215" s="41"/>
      <c r="AU215" s="39" t="s">
        <v>6327</v>
      </c>
      <c r="AV215" s="19">
        <f>0.6*5280</f>
        <v>3168</v>
      </c>
      <c r="AW215" s="19">
        <v>0</v>
      </c>
      <c r="AX215" s="19">
        <v>0</v>
      </c>
      <c r="AY215" s="23">
        <f t="shared" si="43"/>
        <v>3168</v>
      </c>
      <c r="AZ215" s="40">
        <f t="shared" si="44"/>
        <v>0.6</v>
      </c>
      <c r="BA215" s="198">
        <v>918173.87554066733</v>
      </c>
      <c r="BB215" s="187"/>
      <c r="BC215" s="44"/>
      <c r="BD215" s="191">
        <f t="shared" si="49"/>
        <v>0</v>
      </c>
      <c r="BE215" s="23"/>
      <c r="BF215" s="23"/>
      <c r="BG215" s="23"/>
      <c r="BH215" s="23"/>
      <c r="BI215" s="23"/>
      <c r="BJ215" s="23"/>
      <c r="BK215" s="40"/>
      <c r="BL215" s="44"/>
      <c r="BM215" s="41"/>
      <c r="BN215" s="45"/>
    </row>
    <row r="216" spans="1:66" s="19" customFormat="1" x14ac:dyDescent="0.25">
      <c r="A216" s="218">
        <v>35062376</v>
      </c>
      <c r="B216" s="222" t="s">
        <v>5496</v>
      </c>
      <c r="C216" s="23">
        <v>13</v>
      </c>
      <c r="D216" s="23" t="str" cm="1">
        <f t="array" ref="D216">IFERROR(_xlfn.IFS(U216&lt;727,"MEET", AB216="FRRB","MEET", AB216="PSPS","MEET"),"No")</f>
        <v>MEET</v>
      </c>
      <c r="E216" s="23" t="str" cm="1">
        <f t="array" ref="E216">IFERROR(_xlfn.IFS(AM216&gt;0,"MEET", AN216&gt;0,"MEET"),"No")</f>
        <v>MEET</v>
      </c>
      <c r="F216" s="100">
        <v>2021157</v>
      </c>
      <c r="G216" s="37">
        <v>2.5299999999999998</v>
      </c>
      <c r="H216" s="37">
        <f t="shared" si="45"/>
        <v>4.3231060606060607</v>
      </c>
      <c r="I216" s="37">
        <f t="shared" si="50"/>
        <v>4.3231060606060607</v>
      </c>
      <c r="J216" s="20">
        <v>2021</v>
      </c>
      <c r="K216" s="37"/>
      <c r="L216" s="37"/>
      <c r="M216" s="37">
        <f t="shared" si="46"/>
        <v>0</v>
      </c>
      <c r="N216" s="21">
        <v>21370.26</v>
      </c>
      <c r="O216" s="23" t="s">
        <v>4878</v>
      </c>
      <c r="P216" s="22">
        <v>153652109</v>
      </c>
      <c r="Q216" s="19" t="s">
        <v>4025</v>
      </c>
      <c r="R216" s="23" t="s">
        <v>4030</v>
      </c>
      <c r="S216" s="38">
        <f>IFERROR(VLOOKUP(R216,[47]conductor_pz_summary_hftd_23_re!$B$2:$Q$3636,8,FALSE),0)</f>
        <v>122</v>
      </c>
      <c r="T216" s="201">
        <f>IFERROR(VLOOKUP(R216,[48]conductor_pz_summary_hftd_23_re!$B$2:$H$3636,7,0),0)/1609</f>
        <v>10.84699143715407</v>
      </c>
      <c r="U216" s="23">
        <f>IFERROR(VLOOKUP(R216,[47]conductor_pz_summary_hftd_23_re!$B$2:$Q$3636,14,FALSE),0)</f>
        <v>159</v>
      </c>
      <c r="V216" s="37">
        <f t="shared" si="47"/>
        <v>33.983608945588664</v>
      </c>
      <c r="W216" s="202">
        <f>IFERROR(VLOOKUP(R216,[47]conductor_pz_summary_hftd_23_re!$B$2:$Q$3636,13,FALSE),0)</f>
        <v>0.27855417168515301</v>
      </c>
      <c r="X216" s="73">
        <f>IFERROR(VLOOKUP(R216,conductor_pz_summary_hftd_23_re!$B$2:$N$3636,13,FALSE),0)</f>
        <v>443</v>
      </c>
      <c r="Y216" s="203">
        <f t="shared" si="48"/>
        <v>13.408842366908138</v>
      </c>
      <c r="Z216" s="23">
        <v>554</v>
      </c>
      <c r="AA216" s="23" t="s">
        <v>4871</v>
      </c>
      <c r="AB216" s="23" t="s">
        <v>4884</v>
      </c>
      <c r="AC216" s="19" t="s">
        <v>4885</v>
      </c>
      <c r="AD216" s="19" t="s">
        <v>4886</v>
      </c>
      <c r="AE216" s="19" t="s">
        <v>4887</v>
      </c>
      <c r="AF216" s="19" t="s">
        <v>4875</v>
      </c>
      <c r="AG216" s="23">
        <v>5783069</v>
      </c>
      <c r="AH216" s="23" t="s">
        <v>4888</v>
      </c>
      <c r="AI216" s="23">
        <v>115323922</v>
      </c>
      <c r="AJ216" s="120">
        <v>35062376</v>
      </c>
      <c r="AK216" s="23" t="s">
        <v>6200</v>
      </c>
      <c r="AL216" s="20">
        <v>0</v>
      </c>
      <c r="AM216" s="20">
        <v>22826</v>
      </c>
      <c r="AN216" s="20">
        <v>0</v>
      </c>
      <c r="AO216" s="20">
        <v>0</v>
      </c>
      <c r="AQ216" s="39" t="s">
        <v>4889</v>
      </c>
      <c r="AR216" s="23">
        <v>58080</v>
      </c>
      <c r="AS216" s="40">
        <v>11</v>
      </c>
      <c r="AT216" s="41">
        <v>11965840</v>
      </c>
      <c r="AU216" s="169" t="s">
        <v>6572</v>
      </c>
      <c r="AV216" s="19">
        <v>0</v>
      </c>
      <c r="AW216" s="19">
        <f>2.53*5280</f>
        <v>13358.4</v>
      </c>
      <c r="AX216" s="19">
        <v>0</v>
      </c>
      <c r="AY216" s="23">
        <f t="shared" si="43"/>
        <v>13358.4</v>
      </c>
      <c r="AZ216" s="40">
        <f t="shared" si="44"/>
        <v>2.5299999999999998</v>
      </c>
      <c r="BA216" s="198">
        <v>4751652.1664275471</v>
      </c>
      <c r="BB216" s="187"/>
      <c r="BC216" s="44"/>
      <c r="BD216" s="191">
        <f t="shared" si="49"/>
        <v>0</v>
      </c>
      <c r="BE216" s="23"/>
      <c r="BF216" s="23"/>
      <c r="BG216" s="23"/>
      <c r="BH216" s="23"/>
      <c r="BI216" s="23"/>
      <c r="BJ216" s="23"/>
      <c r="BK216" s="40"/>
      <c r="BL216" s="44"/>
      <c r="BM216" s="41"/>
      <c r="BN216" s="45"/>
    </row>
    <row r="217" spans="1:66" s="19" customFormat="1" x14ac:dyDescent="0.25">
      <c r="A217" s="218">
        <v>35226852</v>
      </c>
      <c r="B217" s="222" t="s">
        <v>5496</v>
      </c>
      <c r="C217" s="23">
        <v>14</v>
      </c>
      <c r="D217" s="23" t="str" cm="1">
        <f t="array" ref="D217">IFERROR(_xlfn.IFS(U217&lt;727,"MEET", AB217="FRRB","MEET", AB217="PSPS","MEET"),"No")</f>
        <v>MEET</v>
      </c>
      <c r="E217" s="23" t="str" cm="1">
        <f t="array" ref="E217">IFERROR(_xlfn.IFS(AM217&gt;0,"MEET", AN217&gt;0,"MEET"),"No")</f>
        <v>No</v>
      </c>
      <c r="F217" s="100">
        <v>2021158</v>
      </c>
      <c r="G217" s="37">
        <v>2.93</v>
      </c>
      <c r="H217" s="37">
        <f t="shared" si="45"/>
        <v>2.4931818181818182</v>
      </c>
      <c r="I217" s="37">
        <f t="shared" si="50"/>
        <v>2.4931818181818182</v>
      </c>
      <c r="J217" s="20">
        <v>2021</v>
      </c>
      <c r="K217" s="37"/>
      <c r="L217" s="37"/>
      <c r="M217" s="37">
        <f t="shared" si="46"/>
        <v>0</v>
      </c>
      <c r="N217" s="21">
        <v>696.05</v>
      </c>
      <c r="O217" s="183" t="s">
        <v>4870</v>
      </c>
      <c r="P217" s="22">
        <v>153652109</v>
      </c>
      <c r="Q217" s="19" t="s">
        <v>4025</v>
      </c>
      <c r="R217" s="23" t="s">
        <v>4030</v>
      </c>
      <c r="S217" s="38">
        <f>IFERROR(VLOOKUP(R217,[47]conductor_pz_summary_hftd_23_re!$B$2:$Q$3636,8,FALSE),0)</f>
        <v>122</v>
      </c>
      <c r="T217" s="201">
        <f>IFERROR(VLOOKUP(R217,[48]conductor_pz_summary_hftd_23_re!$B$2:$H$3636,7,0),0)/1609</f>
        <v>10.84699143715407</v>
      </c>
      <c r="U217" s="23">
        <f>IFERROR(VLOOKUP(R217,[47]conductor_pz_summary_hftd_23_re!$B$2:$Q$3636,14,FALSE),0)</f>
        <v>159</v>
      </c>
      <c r="V217" s="37">
        <f t="shared" si="47"/>
        <v>33.983608945588664</v>
      </c>
      <c r="W217" s="202">
        <f>IFERROR(VLOOKUP(R217,[47]conductor_pz_summary_hftd_23_re!$B$2:$Q$3636,13,FALSE),0)</f>
        <v>0.27855417168515301</v>
      </c>
      <c r="X217" s="73">
        <f>IFERROR(VLOOKUP(R217,conductor_pz_summary_hftd_23_re!$B$2:$N$3636,13,FALSE),0)</f>
        <v>443</v>
      </c>
      <c r="Y217" s="203">
        <f t="shared" si="48"/>
        <v>4.8429037845884944</v>
      </c>
      <c r="Z217" s="23">
        <v>554</v>
      </c>
      <c r="AA217" s="23" t="s">
        <v>4871</v>
      </c>
      <c r="AB217" s="23" t="s">
        <v>4884</v>
      </c>
      <c r="AC217" s="19" t="s">
        <v>4885</v>
      </c>
      <c r="AD217" s="19" t="s">
        <v>4886</v>
      </c>
      <c r="AE217" s="19" t="s">
        <v>4887</v>
      </c>
      <c r="AF217" s="19" t="s">
        <v>4875</v>
      </c>
      <c r="AG217" s="23">
        <v>5795299</v>
      </c>
      <c r="AH217" s="23" t="s">
        <v>6205</v>
      </c>
      <c r="AI217" s="23">
        <v>120449145</v>
      </c>
      <c r="AJ217" s="120">
        <v>35226852</v>
      </c>
      <c r="AK217" s="23" t="s">
        <v>6201</v>
      </c>
      <c r="AL217" s="20">
        <v>13164</v>
      </c>
      <c r="AM217" s="20">
        <v>0</v>
      </c>
      <c r="AN217" s="20">
        <v>0</v>
      </c>
      <c r="AO217" s="20">
        <v>0</v>
      </c>
      <c r="AQ217" s="39" t="s">
        <v>4889</v>
      </c>
      <c r="AR217" s="23"/>
      <c r="AS217" s="40"/>
      <c r="AT217" s="41"/>
      <c r="AU217" s="169" t="s">
        <v>6572</v>
      </c>
      <c r="AV217" s="19">
        <v>0</v>
      </c>
      <c r="AW217" s="19">
        <v>0</v>
      </c>
      <c r="AX217" s="19">
        <f>2.93*5280</f>
        <v>15470.400000000001</v>
      </c>
      <c r="AY217" s="23">
        <f t="shared" si="43"/>
        <v>15470.400000000001</v>
      </c>
      <c r="AZ217" s="40">
        <f t="shared" si="44"/>
        <v>2.93</v>
      </c>
      <c r="BA217" s="198">
        <v>5502901.5208034441</v>
      </c>
      <c r="BB217" s="187"/>
      <c r="BC217" s="44"/>
      <c r="BD217" s="191">
        <f t="shared" si="49"/>
        <v>0</v>
      </c>
      <c r="BE217" s="23"/>
      <c r="BF217" s="23"/>
      <c r="BG217" s="23"/>
      <c r="BH217" s="23"/>
      <c r="BI217" s="23"/>
      <c r="BJ217" s="23"/>
      <c r="BK217" s="40"/>
      <c r="BL217" s="44"/>
      <c r="BM217" s="41"/>
      <c r="BN217" s="45"/>
    </row>
    <row r="218" spans="1:66" s="19" customFormat="1" x14ac:dyDescent="0.25">
      <c r="A218" s="218">
        <v>35226853</v>
      </c>
      <c r="B218" s="222" t="s">
        <v>5496</v>
      </c>
      <c r="C218" s="23">
        <v>14</v>
      </c>
      <c r="D218" s="23" t="str" cm="1">
        <f t="array" ref="D218">IFERROR(_xlfn.IFS(U218&lt;727,"MEET", AB218="FRRB","MEET", AB218="PSPS","MEET"),"No")</f>
        <v>MEET</v>
      </c>
      <c r="E218" s="23" t="str" cm="1">
        <f t="array" ref="E218">IFERROR(_xlfn.IFS(AM218&gt;0,"MEET", AN218&gt;0,"MEET"),"No")</f>
        <v>No</v>
      </c>
      <c r="F218" s="100">
        <v>2021159</v>
      </c>
      <c r="G218" s="37">
        <v>2.92</v>
      </c>
      <c r="H218" s="37">
        <f t="shared" si="45"/>
        <v>2.8043560606060605</v>
      </c>
      <c r="I218" s="37">
        <f t="shared" si="50"/>
        <v>2.8043560606060605</v>
      </c>
      <c r="J218" s="20">
        <v>2021</v>
      </c>
      <c r="K218" s="37"/>
      <c r="L218" s="37"/>
      <c r="M218" s="37">
        <f t="shared" si="46"/>
        <v>0</v>
      </c>
      <c r="N218" s="21">
        <v>0</v>
      </c>
      <c r="O218" s="183" t="s">
        <v>4870</v>
      </c>
      <c r="P218" s="22">
        <v>153652109</v>
      </c>
      <c r="Q218" s="19" t="s">
        <v>4025</v>
      </c>
      <c r="R218" s="23" t="s">
        <v>4030</v>
      </c>
      <c r="S218" s="38">
        <f>IFERROR(VLOOKUP(R218,[47]conductor_pz_summary_hftd_23_re!$B$2:$Q$3636,8,FALSE),0)</f>
        <v>122</v>
      </c>
      <c r="T218" s="201">
        <f>IFERROR(VLOOKUP(R218,[48]conductor_pz_summary_hftd_23_re!$B$2:$H$3636,7,0),0)/1609</f>
        <v>10.84699143715407</v>
      </c>
      <c r="U218" s="23">
        <f>IFERROR(VLOOKUP(R218,[47]conductor_pz_summary_hftd_23_re!$B$2:$Q$3636,14,FALSE),0)</f>
        <v>159</v>
      </c>
      <c r="V218" s="37">
        <f t="shared" si="47"/>
        <v>33.983608945588664</v>
      </c>
      <c r="W218" s="202">
        <f>IFERROR(VLOOKUP(R218,[47]conductor_pz_summary_hftd_23_re!$B$2:$Q$3636,13,FALSE),0)</f>
        <v>0.27855417168515301</v>
      </c>
      <c r="X218" s="73">
        <f>IFERROR(VLOOKUP(R218,conductor_pz_summary_hftd_23_re!$B$2:$N$3636,13,FALSE),0)</f>
        <v>443</v>
      </c>
      <c r="Y218" s="203">
        <f t="shared" si="48"/>
        <v>5.4473470326953688</v>
      </c>
      <c r="Z218" s="23">
        <v>554</v>
      </c>
      <c r="AA218" s="23" t="s">
        <v>4871</v>
      </c>
      <c r="AB218" s="23" t="s">
        <v>4884</v>
      </c>
      <c r="AC218" s="19" t="s">
        <v>4885</v>
      </c>
      <c r="AD218" s="19" t="s">
        <v>4886</v>
      </c>
      <c r="AE218" s="19" t="s">
        <v>4887</v>
      </c>
      <c r="AF218" s="19" t="s">
        <v>4875</v>
      </c>
      <c r="AG218" s="23">
        <v>5795299</v>
      </c>
      <c r="AH218" s="23" t="s">
        <v>6206</v>
      </c>
      <c r="AI218" s="23">
        <v>120449146</v>
      </c>
      <c r="AJ218" s="120">
        <v>35226853</v>
      </c>
      <c r="AK218" s="23" t="s">
        <v>6202</v>
      </c>
      <c r="AL218" s="20">
        <v>14807</v>
      </c>
      <c r="AM218" s="20">
        <v>0</v>
      </c>
      <c r="AN218" s="20">
        <v>0</v>
      </c>
      <c r="AO218" s="20">
        <v>0</v>
      </c>
      <c r="AQ218" s="39" t="s">
        <v>4889</v>
      </c>
      <c r="AR218" s="23"/>
      <c r="AS218" s="40"/>
      <c r="AT218" s="41"/>
      <c r="AU218" s="169" t="s">
        <v>6572</v>
      </c>
      <c r="AV218" s="19">
        <v>0</v>
      </c>
      <c r="AW218" s="19">
        <f>0.05*5280</f>
        <v>264</v>
      </c>
      <c r="AX218" s="19">
        <f>2.87*5280</f>
        <v>15153.6</v>
      </c>
      <c r="AY218" s="23">
        <f t="shared" si="43"/>
        <v>15417.6</v>
      </c>
      <c r="AZ218" s="40">
        <f t="shared" si="44"/>
        <v>2.92</v>
      </c>
      <c r="BA218" s="198">
        <v>5484120.2869440466</v>
      </c>
      <c r="BB218" s="187"/>
      <c r="BC218" s="44"/>
      <c r="BD218" s="191">
        <f t="shared" si="49"/>
        <v>0</v>
      </c>
      <c r="BE218" s="23"/>
      <c r="BF218" s="23"/>
      <c r="BG218" s="23"/>
      <c r="BH218" s="23"/>
      <c r="BI218" s="23"/>
      <c r="BJ218" s="23"/>
      <c r="BK218" s="40"/>
      <c r="BL218" s="44"/>
      <c r="BM218" s="41"/>
      <c r="BN218" s="45"/>
    </row>
    <row r="219" spans="1:66" s="19" customFormat="1" x14ac:dyDescent="0.25">
      <c r="A219" s="218">
        <v>35226854</v>
      </c>
      <c r="B219" s="222" t="s">
        <v>5496</v>
      </c>
      <c r="C219" s="23">
        <v>14</v>
      </c>
      <c r="D219" s="23" t="str" cm="1">
        <f t="array" ref="D219">IFERROR(_xlfn.IFS(U219&lt;727,"MEET", AB219="FRRB","MEET", AB219="PSPS","MEET"),"No")</f>
        <v>MEET</v>
      </c>
      <c r="E219" s="23" t="str" cm="1">
        <f t="array" ref="E219">IFERROR(_xlfn.IFS(AM219&gt;0,"MEET", AN219&gt;0,"MEET"),"No")</f>
        <v>No</v>
      </c>
      <c r="F219" s="100">
        <v>2021160</v>
      </c>
      <c r="G219" s="37">
        <v>1.03</v>
      </c>
      <c r="H219" s="37">
        <f t="shared" si="45"/>
        <v>1.0299242424242425</v>
      </c>
      <c r="I219" s="37">
        <f t="shared" si="50"/>
        <v>1.0299242424242425</v>
      </c>
      <c r="J219" s="20">
        <v>2021</v>
      </c>
      <c r="K219" s="37"/>
      <c r="L219" s="37"/>
      <c r="M219" s="37">
        <f t="shared" si="46"/>
        <v>0</v>
      </c>
      <c r="N219" s="21">
        <v>0</v>
      </c>
      <c r="O219" s="183" t="s">
        <v>4870</v>
      </c>
      <c r="P219" s="22">
        <v>153652109</v>
      </c>
      <c r="Q219" s="19" t="s">
        <v>4025</v>
      </c>
      <c r="R219" s="23" t="s">
        <v>4030</v>
      </c>
      <c r="S219" s="38">
        <f>IFERROR(VLOOKUP(R219,[47]conductor_pz_summary_hftd_23_re!$B$2:$Q$3636,8,FALSE),0)</f>
        <v>122</v>
      </c>
      <c r="T219" s="201">
        <f>IFERROR(VLOOKUP(R219,[48]conductor_pz_summary_hftd_23_re!$B$2:$H$3636,7,0),0)/1609</f>
        <v>10.84699143715407</v>
      </c>
      <c r="U219" s="23">
        <f>IFERROR(VLOOKUP(R219,[47]conductor_pz_summary_hftd_23_re!$B$2:$Q$3636,14,FALSE),0)</f>
        <v>159</v>
      </c>
      <c r="V219" s="37">
        <f t="shared" si="47"/>
        <v>33.983608945588664</v>
      </c>
      <c r="W219" s="202">
        <f>IFERROR(VLOOKUP(R219,[47]conductor_pz_summary_hftd_23_re!$B$2:$Q$3636,13,FALSE),0)</f>
        <v>0.27855417168515301</v>
      </c>
      <c r="X219" s="73">
        <f>IFERROR(VLOOKUP(R219,conductor_pz_summary_hftd_23_re!$B$2:$N$3636,13,FALSE),0)</f>
        <v>443</v>
      </c>
      <c r="Y219" s="203">
        <f t="shared" si="48"/>
        <v>2.0005857475381523</v>
      </c>
      <c r="Z219" s="23">
        <v>554</v>
      </c>
      <c r="AA219" s="23" t="s">
        <v>4871</v>
      </c>
      <c r="AB219" s="23" t="s">
        <v>4884</v>
      </c>
      <c r="AC219" s="19" t="s">
        <v>4885</v>
      </c>
      <c r="AD219" s="19" t="s">
        <v>4886</v>
      </c>
      <c r="AE219" s="19" t="s">
        <v>4887</v>
      </c>
      <c r="AF219" s="19" t="s">
        <v>4875</v>
      </c>
      <c r="AG219" s="23">
        <v>5795299</v>
      </c>
      <c r="AH219" s="23" t="s">
        <v>6207</v>
      </c>
      <c r="AI219" s="23">
        <v>120449147</v>
      </c>
      <c r="AJ219" s="120">
        <v>35226854</v>
      </c>
      <c r="AK219" s="23" t="s">
        <v>6203</v>
      </c>
      <c r="AL219" s="20">
        <v>5438</v>
      </c>
      <c r="AM219" s="20">
        <v>0</v>
      </c>
      <c r="AN219" s="20">
        <v>0</v>
      </c>
      <c r="AO219" s="20">
        <v>0</v>
      </c>
      <c r="AQ219" s="39" t="s">
        <v>4889</v>
      </c>
      <c r="AR219" s="23"/>
      <c r="AS219" s="40"/>
      <c r="AT219" s="41"/>
      <c r="AU219" s="169" t="s">
        <v>6572</v>
      </c>
      <c r="AV219" s="19">
        <f>1.03*5280</f>
        <v>5438.4000000000005</v>
      </c>
      <c r="AW219" s="19">
        <v>0</v>
      </c>
      <c r="AX219" s="19">
        <v>0</v>
      </c>
      <c r="AY219" s="23">
        <f t="shared" si="43"/>
        <v>5438.4000000000005</v>
      </c>
      <c r="AZ219" s="40">
        <f t="shared" si="44"/>
        <v>1.03</v>
      </c>
      <c r="BA219" s="198">
        <v>1934467.0875179342</v>
      </c>
      <c r="BB219" s="187"/>
      <c r="BC219" s="44"/>
      <c r="BD219" s="191">
        <f t="shared" si="49"/>
        <v>0</v>
      </c>
      <c r="BE219" s="23"/>
      <c r="BF219" s="23"/>
      <c r="BG219" s="23"/>
      <c r="BH219" s="23"/>
      <c r="BI219" s="23"/>
      <c r="BJ219" s="23"/>
      <c r="BK219" s="40"/>
      <c r="BL219" s="44"/>
      <c r="BM219" s="41"/>
      <c r="BN219" s="45"/>
    </row>
    <row r="220" spans="1:66" s="19" customFormat="1" x14ac:dyDescent="0.25">
      <c r="A220" s="218">
        <v>35226856</v>
      </c>
      <c r="B220" s="222" t="s">
        <v>5496</v>
      </c>
      <c r="C220" s="23">
        <v>14</v>
      </c>
      <c r="D220" s="23" t="str" cm="1">
        <f t="array" ref="D220">IFERROR(_xlfn.IFS(U220&lt;727,"MEET", AB220="FRRB","MEET", AB220="PSPS","MEET"),"No")</f>
        <v>MEET</v>
      </c>
      <c r="E220" s="23" t="str" cm="1">
        <f t="array" ref="E220">IFERROR(_xlfn.IFS(AM220&gt;0,"MEET", AN220&gt;0,"MEET"),"No")</f>
        <v>No</v>
      </c>
      <c r="F220" s="100">
        <v>2021161</v>
      </c>
      <c r="G220" s="37">
        <v>4.53</v>
      </c>
      <c r="H220" s="37">
        <f t="shared" ref="H220:H229" si="51">SUM(AL220:AO220)/5280</f>
        <v>1.9435606060606061</v>
      </c>
      <c r="I220" s="37">
        <f t="shared" si="50"/>
        <v>1.9435606060606061</v>
      </c>
      <c r="J220" s="20">
        <v>2021</v>
      </c>
      <c r="K220" s="37"/>
      <c r="L220" s="37"/>
      <c r="M220" s="37">
        <f t="shared" ref="M220:M236" si="52">SUM(K220:L220)</f>
        <v>0</v>
      </c>
      <c r="N220" s="21">
        <v>0</v>
      </c>
      <c r="O220" s="183" t="s">
        <v>4870</v>
      </c>
      <c r="P220" s="22">
        <v>153652109</v>
      </c>
      <c r="Q220" s="19" t="s">
        <v>4025</v>
      </c>
      <c r="R220" s="23" t="s">
        <v>4030</v>
      </c>
      <c r="S220" s="38">
        <f>IFERROR(VLOOKUP(R220,[47]conductor_pz_summary_hftd_23_re!$B$2:$Q$3636,8,FALSE),0)</f>
        <v>122</v>
      </c>
      <c r="T220" s="201">
        <f>IFERROR(VLOOKUP(R220,[48]conductor_pz_summary_hftd_23_re!$B$2:$H$3636,7,0),0)/1609</f>
        <v>10.84699143715407</v>
      </c>
      <c r="U220" s="23">
        <f>IFERROR(VLOOKUP(R220,[47]conductor_pz_summary_hftd_23_re!$B$2:$Q$3636,14,FALSE),0)</f>
        <v>159</v>
      </c>
      <c r="V220" s="37">
        <f t="shared" si="47"/>
        <v>33.983608945588664</v>
      </c>
      <c r="W220" s="202">
        <f>IFERROR(VLOOKUP(R220,[47]conductor_pz_summary_hftd_23_re!$B$2:$Q$3636,13,FALSE),0)</f>
        <v>0.27855417168515301</v>
      </c>
      <c r="X220" s="73">
        <f>IFERROR(VLOOKUP(R220,conductor_pz_summary_hftd_23_re!$B$2:$N$3636,13,FALSE),0)</f>
        <v>443</v>
      </c>
      <c r="Y220" s="203">
        <f t="shared" si="48"/>
        <v>3.7752870432579102</v>
      </c>
      <c r="Z220" s="23">
        <v>554</v>
      </c>
      <c r="AA220" s="23" t="s">
        <v>4871</v>
      </c>
      <c r="AB220" s="23" t="s">
        <v>4884</v>
      </c>
      <c r="AC220" s="19" t="s">
        <v>4885</v>
      </c>
      <c r="AD220" s="19" t="s">
        <v>4886</v>
      </c>
      <c r="AE220" s="19" t="s">
        <v>4887</v>
      </c>
      <c r="AF220" s="19" t="s">
        <v>4875</v>
      </c>
      <c r="AG220" s="23">
        <v>5795299</v>
      </c>
      <c r="AH220" s="23" t="s">
        <v>6208</v>
      </c>
      <c r="AI220" s="23">
        <v>120449149</v>
      </c>
      <c r="AJ220" s="120">
        <v>35226856</v>
      </c>
      <c r="AK220" s="23" t="s">
        <v>6204</v>
      </c>
      <c r="AL220" s="20">
        <v>10262</v>
      </c>
      <c r="AM220" s="20">
        <v>0</v>
      </c>
      <c r="AN220" s="20">
        <v>0</v>
      </c>
      <c r="AO220" s="20">
        <v>0</v>
      </c>
      <c r="AQ220" s="39" t="s">
        <v>4889</v>
      </c>
      <c r="AR220" s="23"/>
      <c r="AS220" s="40"/>
      <c r="AT220" s="41"/>
      <c r="AU220" s="169" t="s">
        <v>6572</v>
      </c>
      <c r="AV220" s="19">
        <v>0</v>
      </c>
      <c r="AW220" s="19">
        <v>0</v>
      </c>
      <c r="AX220" s="19">
        <f>4.53*5280</f>
        <v>23918.400000000001</v>
      </c>
      <c r="AY220" s="23">
        <f t="shared" si="43"/>
        <v>23918.400000000001</v>
      </c>
      <c r="AZ220" s="40">
        <f t="shared" si="44"/>
        <v>4.53</v>
      </c>
      <c r="BA220" s="198">
        <v>8507898.938307032</v>
      </c>
      <c r="BB220" s="187"/>
      <c r="BC220" s="44"/>
      <c r="BD220" s="191">
        <f t="shared" ref="BD220:BD246" si="53">IFERROR(BC220/BB220,0)</f>
        <v>0</v>
      </c>
      <c r="BE220" s="23"/>
      <c r="BF220" s="23"/>
      <c r="BG220" s="23"/>
      <c r="BH220" s="23"/>
      <c r="BI220" s="23"/>
      <c r="BJ220" s="23"/>
      <c r="BK220" s="40"/>
      <c r="BL220" s="44"/>
      <c r="BM220" s="41"/>
      <c r="BN220" s="45"/>
    </row>
    <row r="221" spans="1:66" s="19" customFormat="1" x14ac:dyDescent="0.25">
      <c r="A221" s="218">
        <v>35054184</v>
      </c>
      <c r="B221" s="222" t="s">
        <v>5496</v>
      </c>
      <c r="C221" s="23">
        <v>10</v>
      </c>
      <c r="D221" s="23" t="str" cm="1">
        <f t="array" ref="D221">IFERROR(_xlfn.IFS(U221&lt;727,"MEET", AB221="FRRB","MEET", AB221="PSPS","MEET"),"No")</f>
        <v>MEET</v>
      </c>
      <c r="E221" s="23" t="str" cm="1">
        <f t="array" ref="E221">IFERROR(_xlfn.IFS(AM221&gt;0,"MEET", AN221&gt;0,"MEET"),"No")</f>
        <v>No</v>
      </c>
      <c r="F221" s="100">
        <v>2021162</v>
      </c>
      <c r="G221" s="37"/>
      <c r="H221" s="37">
        <f t="shared" si="51"/>
        <v>0.91</v>
      </c>
      <c r="I221" s="37">
        <f t="shared" si="50"/>
        <v>0.91</v>
      </c>
      <c r="J221" s="20">
        <v>2021</v>
      </c>
      <c r="K221" s="37"/>
      <c r="L221" s="37"/>
      <c r="M221" s="37">
        <f t="shared" si="52"/>
        <v>0</v>
      </c>
      <c r="N221" s="21">
        <v>22124.95</v>
      </c>
      <c r="O221" s="23" t="s">
        <v>4878</v>
      </c>
      <c r="P221" s="22">
        <v>152471101</v>
      </c>
      <c r="Q221" s="19" t="s">
        <v>932</v>
      </c>
      <c r="R221" s="23" t="s">
        <v>931</v>
      </c>
      <c r="S221" s="38">
        <f>IFERROR(VLOOKUP(R221,[47]conductor_pz_summary_hftd_23_re!$B$2:$Q$3636,8,FALSE),0)</f>
        <v>76</v>
      </c>
      <c r="T221" s="201">
        <f>IFERROR(VLOOKUP(R221,[48]conductor_pz_summary_hftd_23_re!$B$2:$H$3636,7,0),0)/1609</f>
        <v>9.1336080573515233</v>
      </c>
      <c r="U221" s="23">
        <f>IFERROR(VLOOKUP(R221,[47]conductor_pz_summary_hftd_23_re!$B$2:$Q$3636,14,FALSE),0)</f>
        <v>606</v>
      </c>
      <c r="V221" s="37">
        <f t="shared" si="47"/>
        <v>9.8207301508378553</v>
      </c>
      <c r="W221" s="202">
        <f>IFERROR(VLOOKUP(R221,[47]conductor_pz_summary_hftd_23_re!$B$2:$Q$3636,13,FALSE),0)</f>
        <v>0.129220133563656</v>
      </c>
      <c r="X221" s="73">
        <f>IFERROR(VLOOKUP(R221,conductor_pz_summary_hftd_23_re!$B$2:$N$3636,13,FALSE),0)</f>
        <v>1358</v>
      </c>
      <c r="Y221" s="203">
        <f t="shared" si="48"/>
        <v>0.60664481290533978</v>
      </c>
      <c r="Z221" s="23">
        <v>198</v>
      </c>
      <c r="AA221" s="23" t="s">
        <v>4871</v>
      </c>
      <c r="AB221" s="23" t="s">
        <v>4884</v>
      </c>
      <c r="AC221" s="19" t="s">
        <v>4921</v>
      </c>
      <c r="AD221" s="19" t="s">
        <v>4922</v>
      </c>
      <c r="AE221" s="19" t="s">
        <v>4887</v>
      </c>
      <c r="AF221" s="19" t="s">
        <v>4875</v>
      </c>
      <c r="AG221" s="23">
        <v>5530173</v>
      </c>
      <c r="AH221" s="23" t="s">
        <v>6234</v>
      </c>
      <c r="AI221" s="23">
        <v>114941996</v>
      </c>
      <c r="AJ221" s="47">
        <v>35054184</v>
      </c>
      <c r="AK221" s="23" t="s">
        <v>6229</v>
      </c>
      <c r="AL221" s="20">
        <f>0.91*5280</f>
        <v>4804.8</v>
      </c>
      <c r="AM221" s="20">
        <v>0</v>
      </c>
      <c r="AN221" s="20">
        <v>0</v>
      </c>
      <c r="AO221" s="20">
        <v>0</v>
      </c>
      <c r="AP221" s="39" t="s">
        <v>5370</v>
      </c>
      <c r="AQ221" s="39" t="s">
        <v>4923</v>
      </c>
      <c r="AR221" s="23">
        <v>4805</v>
      </c>
      <c r="AS221" s="40">
        <f t="shared" ref="AS221:AS226" si="54">AR221/5280</f>
        <v>0.91003787878787878</v>
      </c>
      <c r="AT221" s="41">
        <v>5227500</v>
      </c>
      <c r="AU221" s="48" t="s">
        <v>6322</v>
      </c>
      <c r="AY221" s="23">
        <f t="shared" si="43"/>
        <v>0</v>
      </c>
      <c r="AZ221" s="40">
        <f t="shared" si="44"/>
        <v>0</v>
      </c>
      <c r="BA221" s="41"/>
      <c r="BB221" s="187"/>
      <c r="BC221" s="44"/>
      <c r="BD221" s="191">
        <f t="shared" si="53"/>
        <v>0</v>
      </c>
      <c r="BE221" s="183"/>
      <c r="BF221" s="183"/>
      <c r="BG221" s="23"/>
      <c r="BH221" s="23"/>
      <c r="BI221" s="23"/>
      <c r="BJ221" s="23"/>
      <c r="BK221" s="40"/>
      <c r="BL221" s="44"/>
      <c r="BM221" s="41"/>
      <c r="BN221" s="45"/>
    </row>
    <row r="222" spans="1:66" s="19" customFormat="1" x14ac:dyDescent="0.25">
      <c r="A222" s="218">
        <v>35226659</v>
      </c>
      <c r="B222" s="222" t="s">
        <v>5496</v>
      </c>
      <c r="C222" s="23">
        <v>10</v>
      </c>
      <c r="D222" s="23" t="str" cm="1">
        <f t="array" ref="D222">IFERROR(_xlfn.IFS(U222&lt;727,"MEET", AB222="FRRB","MEET", AB222="PSPS","MEET"),"No")</f>
        <v>MEET</v>
      </c>
      <c r="E222" s="23" t="str" cm="1">
        <f t="array" ref="E222">IFERROR(_xlfn.IFS(AM222&gt;0,"MEET", AN222&gt;0,"MEET"),"No")</f>
        <v>MEET</v>
      </c>
      <c r="F222" s="100">
        <v>2021163</v>
      </c>
      <c r="G222" s="37"/>
      <c r="H222" s="37">
        <f t="shared" si="51"/>
        <v>1.88</v>
      </c>
      <c r="I222" s="37">
        <f t="shared" si="50"/>
        <v>1.88</v>
      </c>
      <c r="J222" s="20">
        <v>2021</v>
      </c>
      <c r="K222" s="37"/>
      <c r="L222" s="37"/>
      <c r="M222" s="37">
        <f t="shared" si="52"/>
        <v>0</v>
      </c>
      <c r="N222" s="21">
        <v>0</v>
      </c>
      <c r="O222" s="23" t="s">
        <v>4878</v>
      </c>
      <c r="P222" s="22">
        <v>152471101</v>
      </c>
      <c r="Q222" s="19" t="s">
        <v>932</v>
      </c>
      <c r="R222" s="23" t="s">
        <v>931</v>
      </c>
      <c r="S222" s="38">
        <f>IFERROR(VLOOKUP(R222,[47]conductor_pz_summary_hftd_23_re!$B$2:$Q$3636,8,FALSE),0)</f>
        <v>76</v>
      </c>
      <c r="T222" s="201">
        <f>IFERROR(VLOOKUP(R222,[48]conductor_pz_summary_hftd_23_re!$B$2:$H$3636,7,0),0)/1609</f>
        <v>9.1336080573515233</v>
      </c>
      <c r="U222" s="23">
        <f>IFERROR(VLOOKUP(R222,[47]conductor_pz_summary_hftd_23_re!$B$2:$Q$3636,14,FALSE),0)</f>
        <v>606</v>
      </c>
      <c r="V222" s="37">
        <f t="shared" si="47"/>
        <v>9.8207301508378553</v>
      </c>
      <c r="W222" s="202">
        <f>IFERROR(VLOOKUP(R222,[47]conductor_pz_summary_hftd_23_re!$B$2:$Q$3636,13,FALSE),0)</f>
        <v>0.129220133563656</v>
      </c>
      <c r="X222" s="73">
        <f>IFERROR(VLOOKUP(R222,conductor_pz_summary_hftd_23_re!$B$2:$N$3636,13,FALSE),0)</f>
        <v>1358</v>
      </c>
      <c r="Y222" s="203">
        <f t="shared" si="48"/>
        <v>1.5834913434344093</v>
      </c>
      <c r="Z222" s="23">
        <v>198</v>
      </c>
      <c r="AA222" s="23" t="s">
        <v>4871</v>
      </c>
      <c r="AB222" s="23" t="s">
        <v>4884</v>
      </c>
      <c r="AC222" s="19" t="s">
        <v>4921</v>
      </c>
      <c r="AD222" s="19" t="s">
        <v>4922</v>
      </c>
      <c r="AE222" s="19" t="s">
        <v>6239</v>
      </c>
      <c r="AF222" s="19" t="s">
        <v>4875</v>
      </c>
      <c r="AG222" s="23">
        <v>5795126</v>
      </c>
      <c r="AH222" s="23" t="s">
        <v>6235</v>
      </c>
      <c r="AI222" s="23">
        <v>120447026</v>
      </c>
      <c r="AJ222" s="120">
        <v>35226659</v>
      </c>
      <c r="AK222" s="23" t="s">
        <v>6230</v>
      </c>
      <c r="AL222" s="20">
        <f>1.05*5280</f>
        <v>5544</v>
      </c>
      <c r="AM222" s="20">
        <f>0.83*5280</f>
        <v>4382.3999999999996</v>
      </c>
      <c r="AN222" s="20">
        <v>0</v>
      </c>
      <c r="AO222" s="20">
        <v>0</v>
      </c>
      <c r="AP222" s="39" t="s">
        <v>5370</v>
      </c>
      <c r="AQ222" s="39" t="s">
        <v>4923</v>
      </c>
      <c r="AR222" s="23">
        <f>5544+4382</f>
        <v>9926</v>
      </c>
      <c r="AS222" s="40">
        <f t="shared" si="54"/>
        <v>1.8799242424242424</v>
      </c>
      <c r="AT222" s="41"/>
      <c r="AU222" s="48" t="s">
        <v>6322</v>
      </c>
      <c r="AY222" s="23"/>
      <c r="AZ222" s="40"/>
      <c r="BA222" s="41"/>
      <c r="BB222" s="187"/>
      <c r="BC222" s="44"/>
      <c r="BD222" s="191">
        <f t="shared" si="53"/>
        <v>0</v>
      </c>
      <c r="BE222" s="183"/>
      <c r="BF222" s="183"/>
      <c r="BG222" s="23"/>
      <c r="BH222" s="23"/>
      <c r="BI222" s="23"/>
      <c r="BJ222" s="23"/>
      <c r="BK222" s="40"/>
      <c r="BL222" s="44"/>
      <c r="BM222" s="41"/>
      <c r="BN222" s="45"/>
    </row>
    <row r="223" spans="1:66" s="19" customFormat="1" x14ac:dyDescent="0.25">
      <c r="A223" s="218">
        <v>35226720</v>
      </c>
      <c r="B223" s="222" t="s">
        <v>5496</v>
      </c>
      <c r="C223" s="23">
        <v>10</v>
      </c>
      <c r="D223" s="23" t="str" cm="1">
        <f t="array" ref="D223">IFERROR(_xlfn.IFS(U223&lt;727,"MEET", AB223="FRRB","MEET", AB223="PSPS","MEET"),"No")</f>
        <v>MEET</v>
      </c>
      <c r="E223" s="23" t="str" cm="1">
        <f t="array" ref="E223">IFERROR(_xlfn.IFS(AM223&gt;0,"MEET", AN223&gt;0,"MEET"),"No")</f>
        <v>No</v>
      </c>
      <c r="F223" s="100">
        <v>2021164</v>
      </c>
      <c r="G223" s="37"/>
      <c r="H223" s="37">
        <f t="shared" si="51"/>
        <v>0.52</v>
      </c>
      <c r="I223" s="37">
        <f t="shared" si="50"/>
        <v>0.52</v>
      </c>
      <c r="J223" s="20">
        <v>2021</v>
      </c>
      <c r="K223" s="37"/>
      <c r="L223" s="37"/>
      <c r="M223" s="37">
        <f t="shared" si="52"/>
        <v>0</v>
      </c>
      <c r="N223" s="21">
        <v>0</v>
      </c>
      <c r="O223" s="23" t="s">
        <v>4878</v>
      </c>
      <c r="P223" s="22">
        <v>152471101</v>
      </c>
      <c r="Q223" s="19" t="s">
        <v>932</v>
      </c>
      <c r="R223" s="23" t="s">
        <v>931</v>
      </c>
      <c r="S223" s="38">
        <f>IFERROR(VLOOKUP(R223,[47]conductor_pz_summary_hftd_23_re!$B$2:$Q$3636,8,FALSE),0)</f>
        <v>76</v>
      </c>
      <c r="T223" s="201">
        <f>IFERROR(VLOOKUP(R223,[48]conductor_pz_summary_hftd_23_re!$B$2:$H$3636,7,0),0)/1609</f>
        <v>9.1336080573515233</v>
      </c>
      <c r="U223" s="23">
        <f>IFERROR(VLOOKUP(R223,[47]conductor_pz_summary_hftd_23_re!$B$2:$Q$3636,14,FALSE),0)</f>
        <v>606</v>
      </c>
      <c r="V223" s="37">
        <f t="shared" si="47"/>
        <v>9.8207301508378553</v>
      </c>
      <c r="W223" s="202">
        <f>IFERROR(VLOOKUP(R223,[47]conductor_pz_summary_hftd_23_re!$B$2:$Q$3636,13,FALSE),0)</f>
        <v>0.129220133563656</v>
      </c>
      <c r="X223" s="73">
        <f>IFERROR(VLOOKUP(R223,conductor_pz_summary_hftd_23_re!$B$2:$N$3636,13,FALSE),0)</f>
        <v>1358</v>
      </c>
      <c r="Y223" s="203">
        <f t="shared" si="48"/>
        <v>0.34665417880305127</v>
      </c>
      <c r="Z223" s="23">
        <v>198</v>
      </c>
      <c r="AA223" s="23" t="s">
        <v>4871</v>
      </c>
      <c r="AB223" s="23" t="s">
        <v>4884</v>
      </c>
      <c r="AC223" s="19" t="s">
        <v>4921</v>
      </c>
      <c r="AD223" s="19" t="s">
        <v>4922</v>
      </c>
      <c r="AE223" s="19" t="s">
        <v>4887</v>
      </c>
      <c r="AF223" s="19" t="s">
        <v>4875</v>
      </c>
      <c r="AG223" s="23">
        <v>5795126</v>
      </c>
      <c r="AH223" s="23" t="s">
        <v>6236</v>
      </c>
      <c r="AI223" s="23">
        <v>120447027</v>
      </c>
      <c r="AJ223" s="120">
        <v>35226720</v>
      </c>
      <c r="AK223" s="23" t="s">
        <v>6231</v>
      </c>
      <c r="AL223" s="20">
        <f>0.52*5280</f>
        <v>2745.6</v>
      </c>
      <c r="AM223" s="20">
        <v>0</v>
      </c>
      <c r="AN223" s="20">
        <v>0</v>
      </c>
      <c r="AO223" s="20">
        <v>0</v>
      </c>
      <c r="AP223" s="39" t="s">
        <v>5370</v>
      </c>
      <c r="AQ223" s="39" t="s">
        <v>4923</v>
      </c>
      <c r="AR223" s="23">
        <v>2746</v>
      </c>
      <c r="AS223" s="40">
        <f t="shared" si="54"/>
        <v>0.52007575757575752</v>
      </c>
      <c r="AT223" s="41"/>
      <c r="AU223" s="48" t="s">
        <v>6322</v>
      </c>
      <c r="AY223" s="23"/>
      <c r="AZ223" s="40"/>
      <c r="BA223" s="41"/>
      <c r="BB223" s="187"/>
      <c r="BC223" s="44"/>
      <c r="BD223" s="191">
        <f t="shared" si="53"/>
        <v>0</v>
      </c>
      <c r="BE223" s="183"/>
      <c r="BF223" s="183"/>
      <c r="BG223" s="23"/>
      <c r="BH223" s="23"/>
      <c r="BI223" s="23"/>
      <c r="BJ223" s="23"/>
      <c r="BK223" s="40"/>
      <c r="BL223" s="44"/>
      <c r="BM223" s="41"/>
      <c r="BN223" s="45"/>
    </row>
    <row r="224" spans="1:66" s="19" customFormat="1" x14ac:dyDescent="0.25">
      <c r="A224" s="218">
        <v>35226723</v>
      </c>
      <c r="B224" s="222" t="s">
        <v>5496</v>
      </c>
      <c r="C224" s="23">
        <v>10</v>
      </c>
      <c r="D224" s="23" t="str" cm="1">
        <f t="array" ref="D224">IFERROR(_xlfn.IFS(U224&lt;727,"MEET", AB224="FRRB","MEET", AB224="PSPS","MEET"),"No")</f>
        <v>MEET</v>
      </c>
      <c r="E224" s="23" t="str" cm="1">
        <f t="array" ref="E224">IFERROR(_xlfn.IFS(AM224&gt;0,"MEET", AN224&gt;0,"MEET"),"No")</f>
        <v>MEET</v>
      </c>
      <c r="F224" s="100">
        <v>2021165</v>
      </c>
      <c r="G224" s="37"/>
      <c r="H224" s="37">
        <f t="shared" si="51"/>
        <v>1.04</v>
      </c>
      <c r="I224" s="37">
        <f t="shared" si="50"/>
        <v>1.04</v>
      </c>
      <c r="J224" s="20">
        <v>2021</v>
      </c>
      <c r="K224" s="37"/>
      <c r="L224" s="37"/>
      <c r="M224" s="37">
        <f t="shared" si="52"/>
        <v>0</v>
      </c>
      <c r="N224" s="21">
        <v>0</v>
      </c>
      <c r="O224" s="23" t="s">
        <v>4878</v>
      </c>
      <c r="P224" s="22">
        <v>152471101</v>
      </c>
      <c r="Q224" s="19" t="s">
        <v>932</v>
      </c>
      <c r="R224" s="23" t="s">
        <v>931</v>
      </c>
      <c r="S224" s="38">
        <f>IFERROR(VLOOKUP(R224,[47]conductor_pz_summary_hftd_23_re!$B$2:$Q$3636,8,FALSE),0)</f>
        <v>76</v>
      </c>
      <c r="T224" s="201">
        <f>IFERROR(VLOOKUP(R224,[48]conductor_pz_summary_hftd_23_re!$B$2:$H$3636,7,0),0)/1609</f>
        <v>9.1336080573515233</v>
      </c>
      <c r="U224" s="23">
        <f>IFERROR(VLOOKUP(R224,[47]conductor_pz_summary_hftd_23_re!$B$2:$Q$3636,14,FALSE),0)</f>
        <v>606</v>
      </c>
      <c r="V224" s="37">
        <f t="shared" si="47"/>
        <v>9.8207301508378553</v>
      </c>
      <c r="W224" s="202">
        <f>IFERROR(VLOOKUP(R224,[47]conductor_pz_summary_hftd_23_re!$B$2:$Q$3636,13,FALSE),0)</f>
        <v>0.129220133563656</v>
      </c>
      <c r="X224" s="73">
        <f>IFERROR(VLOOKUP(R224,conductor_pz_summary_hftd_23_re!$B$2:$N$3636,13,FALSE),0)</f>
        <v>1358</v>
      </c>
      <c r="Y224" s="203">
        <f t="shared" si="48"/>
        <v>0.99964140829155312</v>
      </c>
      <c r="Z224" s="23">
        <v>198</v>
      </c>
      <c r="AA224" s="23" t="s">
        <v>4871</v>
      </c>
      <c r="AB224" s="23" t="s">
        <v>4884</v>
      </c>
      <c r="AC224" s="19" t="s">
        <v>4921</v>
      </c>
      <c r="AD224" s="19" t="s">
        <v>4922</v>
      </c>
      <c r="AE224" s="19" t="s">
        <v>4887</v>
      </c>
      <c r="AF224" s="19" t="s">
        <v>4875</v>
      </c>
      <c r="AG224" s="23">
        <v>5795126</v>
      </c>
      <c r="AH224" s="23" t="s">
        <v>6237</v>
      </c>
      <c r="AI224" s="23">
        <v>120447110</v>
      </c>
      <c r="AJ224" s="120">
        <v>35226723</v>
      </c>
      <c r="AK224" s="23" t="s">
        <v>6232</v>
      </c>
      <c r="AL224" s="20">
        <f>0.27*5280</f>
        <v>1425.6000000000001</v>
      </c>
      <c r="AM224" s="20">
        <f>0.77*5280</f>
        <v>4065.6</v>
      </c>
      <c r="AN224" s="20">
        <v>0</v>
      </c>
      <c r="AO224" s="20">
        <v>0</v>
      </c>
      <c r="AP224" s="39" t="s">
        <v>5370</v>
      </c>
      <c r="AQ224" s="39" t="s">
        <v>4923</v>
      </c>
      <c r="AR224" s="23">
        <f>1426+4066</f>
        <v>5492</v>
      </c>
      <c r="AS224" s="40">
        <f t="shared" si="54"/>
        <v>1.040151515151515</v>
      </c>
      <c r="AT224" s="41"/>
      <c r="AU224" s="48" t="s">
        <v>6322</v>
      </c>
      <c r="AY224" s="23"/>
      <c r="AZ224" s="40"/>
      <c r="BA224" s="41"/>
      <c r="BB224" s="187"/>
      <c r="BC224" s="44"/>
      <c r="BD224" s="191">
        <f t="shared" si="53"/>
        <v>0</v>
      </c>
      <c r="BE224" s="183"/>
      <c r="BF224" s="183"/>
      <c r="BG224" s="23"/>
      <c r="BH224" s="23"/>
      <c r="BI224" s="23"/>
      <c r="BJ224" s="23"/>
      <c r="BK224" s="40"/>
      <c r="BL224" s="44"/>
      <c r="BM224" s="41"/>
      <c r="BN224" s="45"/>
    </row>
    <row r="225" spans="1:72" s="19" customFormat="1" ht="15.75" customHeight="1" x14ac:dyDescent="0.25">
      <c r="A225" s="218">
        <v>35227204</v>
      </c>
      <c r="B225" s="222" t="s">
        <v>5496</v>
      </c>
      <c r="C225" s="23">
        <v>10</v>
      </c>
      <c r="D225" s="23" t="str" cm="1">
        <f t="array" ref="D225">IFERROR(_xlfn.IFS(U225&lt;727,"MEET", AB225="FRRB","MEET", AB225="PSPS","MEET"),"No")</f>
        <v>MEET</v>
      </c>
      <c r="E225" s="23" t="str" cm="1">
        <f t="array" ref="E225">IFERROR(_xlfn.IFS(AM225&gt;0,"MEET", AN225&gt;0,"MEET"),"No")</f>
        <v>No</v>
      </c>
      <c r="F225" s="100">
        <v>2021166</v>
      </c>
      <c r="G225" s="37"/>
      <c r="H225" s="37">
        <f t="shared" si="51"/>
        <v>1.3</v>
      </c>
      <c r="I225" s="37">
        <f t="shared" si="50"/>
        <v>1.3</v>
      </c>
      <c r="J225" s="20">
        <v>2021</v>
      </c>
      <c r="K225" s="37"/>
      <c r="L225" s="37"/>
      <c r="M225" s="37">
        <f t="shared" si="52"/>
        <v>0</v>
      </c>
      <c r="N225" s="21">
        <v>0</v>
      </c>
      <c r="O225" s="23" t="s">
        <v>4878</v>
      </c>
      <c r="P225" s="22">
        <v>152471101</v>
      </c>
      <c r="Q225" s="19" t="s">
        <v>932</v>
      </c>
      <c r="R225" s="23" t="s">
        <v>931</v>
      </c>
      <c r="S225" s="38">
        <f>IFERROR(VLOOKUP(R225,[47]conductor_pz_summary_hftd_23_re!$B$2:$Q$3636,8,FALSE),0)</f>
        <v>76</v>
      </c>
      <c r="T225" s="201">
        <f>IFERROR(VLOOKUP(R225,[48]conductor_pz_summary_hftd_23_re!$B$2:$H$3636,7,0),0)/1609</f>
        <v>9.1336080573515233</v>
      </c>
      <c r="U225" s="23">
        <f>IFERROR(VLOOKUP(R225,[47]conductor_pz_summary_hftd_23_re!$B$2:$Q$3636,14,FALSE),0)</f>
        <v>606</v>
      </c>
      <c r="V225" s="37">
        <f t="shared" si="47"/>
        <v>9.8207301508378553</v>
      </c>
      <c r="W225" s="202">
        <f>IFERROR(VLOOKUP(R225,[47]conductor_pz_summary_hftd_23_re!$B$2:$Q$3636,13,FALSE),0)</f>
        <v>0.129220133563656</v>
      </c>
      <c r="X225" s="73">
        <f>IFERROR(VLOOKUP(R225,conductor_pz_summary_hftd_23_re!$B$2:$N$3636,13,FALSE),0)</f>
        <v>1358</v>
      </c>
      <c r="Y225" s="203">
        <f t="shared" si="48"/>
        <v>0.86663544700762829</v>
      </c>
      <c r="Z225" s="23">
        <v>198</v>
      </c>
      <c r="AA225" s="23" t="s">
        <v>4871</v>
      </c>
      <c r="AB225" s="23" t="s">
        <v>4884</v>
      </c>
      <c r="AC225" s="19" t="s">
        <v>4921</v>
      </c>
      <c r="AD225" s="19" t="s">
        <v>4922</v>
      </c>
      <c r="AE225" s="19" t="s">
        <v>4887</v>
      </c>
      <c r="AF225" s="19" t="s">
        <v>4875</v>
      </c>
      <c r="AG225" s="23">
        <v>5795126</v>
      </c>
      <c r="AH225" s="23" t="s">
        <v>6238</v>
      </c>
      <c r="AI225" s="23">
        <v>120447111</v>
      </c>
      <c r="AJ225" s="120">
        <v>35227204</v>
      </c>
      <c r="AK225" s="23" t="s">
        <v>6233</v>
      </c>
      <c r="AL225" s="20">
        <f>1.3*5280</f>
        <v>6864</v>
      </c>
      <c r="AM225" s="20">
        <v>0</v>
      </c>
      <c r="AN225" s="20">
        <v>0</v>
      </c>
      <c r="AO225" s="20">
        <v>0</v>
      </c>
      <c r="AP225" s="39" t="s">
        <v>5370</v>
      </c>
      <c r="AQ225" s="39" t="s">
        <v>4923</v>
      </c>
      <c r="AR225" s="23">
        <v>6864</v>
      </c>
      <c r="AS225" s="40">
        <f t="shared" si="54"/>
        <v>1.3</v>
      </c>
      <c r="AT225" s="41"/>
      <c r="AU225" s="48" t="s">
        <v>6322</v>
      </c>
      <c r="AY225" s="23"/>
      <c r="AZ225" s="40"/>
      <c r="BA225" s="41"/>
      <c r="BB225" s="187"/>
      <c r="BC225" s="44"/>
      <c r="BD225" s="191">
        <f t="shared" si="53"/>
        <v>0</v>
      </c>
      <c r="BE225" s="183"/>
      <c r="BF225" s="183"/>
      <c r="BG225" s="23"/>
      <c r="BH225" s="23"/>
      <c r="BI225" s="23"/>
      <c r="BJ225" s="23"/>
      <c r="BK225" s="40"/>
      <c r="BL225" s="44"/>
      <c r="BM225" s="41"/>
      <c r="BN225" s="45"/>
    </row>
    <row r="226" spans="1:72" s="19" customFormat="1" x14ac:dyDescent="0.25">
      <c r="A226" s="120">
        <v>35026643</v>
      </c>
      <c r="B226" s="222" t="s">
        <v>5496</v>
      </c>
      <c r="C226" s="23">
        <v>13</v>
      </c>
      <c r="D226" s="23" t="str" cm="1">
        <f t="array" ref="D226">IFERROR(_xlfn.IFS(U226&lt;727,"MEET", AB226="FRRB","MEET", AB226="PSPS","MEET"),"No")</f>
        <v>MEET</v>
      </c>
      <c r="E226" s="23" t="str" cm="1">
        <f t="array" ref="E226">IFERROR(_xlfn.IFS(AM226&gt;0,"MEET", AN226&gt;0,"MEET"),"No")</f>
        <v>MEET</v>
      </c>
      <c r="F226" s="100">
        <v>2021167</v>
      </c>
      <c r="G226" s="37">
        <v>1.63</v>
      </c>
      <c r="H226" s="37">
        <f t="shared" si="51"/>
        <v>1.633901515151515</v>
      </c>
      <c r="I226" s="37">
        <f t="shared" si="50"/>
        <v>1.633901515151515</v>
      </c>
      <c r="J226" s="20">
        <v>2021</v>
      </c>
      <c r="K226" s="37"/>
      <c r="L226" s="37"/>
      <c r="M226" s="37">
        <f t="shared" si="52"/>
        <v>0</v>
      </c>
      <c r="N226" s="21">
        <v>59465.39</v>
      </c>
      <c r="O226" s="23" t="s">
        <v>4878</v>
      </c>
      <c r="P226" s="22">
        <v>152261105</v>
      </c>
      <c r="Q226" s="19" t="s">
        <v>1144</v>
      </c>
      <c r="R226" s="23" t="s">
        <v>1146</v>
      </c>
      <c r="S226" s="38">
        <f>IFERROR(VLOOKUP(R226,[47]conductor_pz_summary_hftd_23_re!$B$2:$Q$3636,8,FALSE),0)</f>
        <v>417</v>
      </c>
      <c r="T226" s="201">
        <f>IFERROR(VLOOKUP(R226,[48]conductor_pz_summary_hftd_23_re!$B$2:$H$3636,7,0),0)/1609</f>
        <v>37.481591001677998</v>
      </c>
      <c r="U226" s="23">
        <f>IFERROR(VLOOKUP(R226,[47]conductor_pz_summary_hftd_23_re!$B$2:$Q$3636,14,FALSE),0)</f>
        <v>666</v>
      </c>
      <c r="V226" s="37">
        <f t="shared" si="47"/>
        <v>48.457615439609938</v>
      </c>
      <c r="W226" s="202">
        <f>IFERROR(VLOOKUP(R226,[47]conductor_pz_summary_hftd_23_re!$B$2:$Q$3636,13,FALSE),0)</f>
        <v>0.11620531280481999</v>
      </c>
      <c r="X226" s="73">
        <f>IFERROR(VLOOKUP(R226,conductor_pz_summary_hftd_23_re!$B$2:$N$3636,13,FALSE),0)</f>
        <v>755</v>
      </c>
      <c r="Y226" s="203">
        <f t="shared" si="48"/>
        <v>1.5795000245006907</v>
      </c>
      <c r="Z226" s="23">
        <v>957</v>
      </c>
      <c r="AA226" s="23" t="s">
        <v>4903</v>
      </c>
      <c r="AB226" s="23" t="s">
        <v>4904</v>
      </c>
      <c r="AC226" s="19" t="s">
        <v>4932</v>
      </c>
      <c r="AD226" s="19" t="s">
        <v>4886</v>
      </c>
      <c r="AE226" s="19" t="s">
        <v>4887</v>
      </c>
      <c r="AF226" s="19" t="s">
        <v>4875</v>
      </c>
      <c r="AG226" s="23">
        <v>5530173</v>
      </c>
      <c r="AH226" s="23"/>
      <c r="AI226" s="23">
        <v>114258488</v>
      </c>
      <c r="AJ226" s="35">
        <v>35026643</v>
      </c>
      <c r="AK226" s="23" t="s">
        <v>4933</v>
      </c>
      <c r="AL226" s="20">
        <v>5727</v>
      </c>
      <c r="AM226" s="20">
        <v>0</v>
      </c>
      <c r="AN226" s="20">
        <v>2900</v>
      </c>
      <c r="AO226" s="20">
        <v>0</v>
      </c>
      <c r="AP226" s="23" t="s">
        <v>6324</v>
      </c>
      <c r="AQ226" s="53" t="s">
        <v>4934</v>
      </c>
      <c r="AR226" s="23">
        <v>7400</v>
      </c>
      <c r="AS226" s="40">
        <f t="shared" si="54"/>
        <v>1.4015151515151516</v>
      </c>
      <c r="AT226" s="41">
        <v>2100000</v>
      </c>
      <c r="AU226" s="39" t="s">
        <v>6323</v>
      </c>
      <c r="AY226" s="23">
        <f t="shared" ref="AY226:AY236" si="55">SUM(AV226:AX226)</f>
        <v>0</v>
      </c>
      <c r="AZ226" s="40">
        <f>AY226/5280</f>
        <v>0</v>
      </c>
      <c r="BA226" s="41"/>
      <c r="BB226" s="187">
        <v>1.58</v>
      </c>
      <c r="BC226" s="44">
        <v>2900</v>
      </c>
      <c r="BD226" s="191">
        <f t="shared" si="53"/>
        <v>1835.4430379746834</v>
      </c>
      <c r="BE226" s="183"/>
      <c r="BF226" s="183"/>
      <c r="BG226" s="23"/>
      <c r="BH226" s="23"/>
      <c r="BI226" s="23"/>
      <c r="BJ226" s="23"/>
      <c r="BK226" s="40"/>
      <c r="BL226" s="44"/>
      <c r="BM226" s="41"/>
      <c r="BN226" s="45"/>
    </row>
    <row r="227" spans="1:72" s="19" customFormat="1" ht="15" customHeight="1" x14ac:dyDescent="0.25">
      <c r="A227" s="218">
        <v>35075103</v>
      </c>
      <c r="B227" s="222" t="s">
        <v>5496</v>
      </c>
      <c r="C227" s="23">
        <v>17</v>
      </c>
      <c r="D227" s="23" t="str" cm="1">
        <f t="array" ref="D227">IFERROR(_xlfn.IFS(U227&lt;727,"MEET", AB227="FRRB","MEET", AB227="PSPS","MEET"),"No")</f>
        <v>MEET</v>
      </c>
      <c r="E227" s="23" t="str" cm="1">
        <f t="array" ref="E227">IFERROR(_xlfn.IFS(AM227&gt;0,"MEET", AN227&gt;0,"MEET"),"No")</f>
        <v>No</v>
      </c>
      <c r="F227" s="100">
        <v>2021168</v>
      </c>
      <c r="G227" s="37"/>
      <c r="H227" s="37">
        <f t="shared" si="51"/>
        <v>0.59</v>
      </c>
      <c r="I227" s="37">
        <f t="shared" si="50"/>
        <v>0.59</v>
      </c>
      <c r="J227" s="20">
        <v>2021</v>
      </c>
      <c r="K227" s="37"/>
      <c r="L227" s="37"/>
      <c r="M227" s="37">
        <f t="shared" si="52"/>
        <v>0</v>
      </c>
      <c r="N227" s="21">
        <v>73818.649999999994</v>
      </c>
      <c r="O227" s="23" t="s">
        <v>5129</v>
      </c>
      <c r="P227" s="22">
        <v>163451701</v>
      </c>
      <c r="Q227" s="19" t="s">
        <v>1512</v>
      </c>
      <c r="R227" s="23" t="s">
        <v>1513</v>
      </c>
      <c r="S227" s="38">
        <f>IFERROR(VLOOKUP(R227,[47]conductor_pz_summary_hftd_23_re!$B$2:$Q$3636,8,FALSE),0)</f>
        <v>152</v>
      </c>
      <c r="T227" s="201">
        <f>IFERROR(VLOOKUP(R227,[48]conductor_pz_summary_hftd_23_re!$B$2:$H$3636,7,0),0)/1609</f>
        <v>15.260541400482287</v>
      </c>
      <c r="U227" s="23">
        <f>IFERROR(VLOOKUP(R227,[47]conductor_pz_summary_hftd_23_re!$B$2:$Q$3636,14,FALSE),0)</f>
        <v>721</v>
      </c>
      <c r="V227" s="37">
        <f t="shared" si="47"/>
        <v>16.354568203486327</v>
      </c>
      <c r="W227" s="202">
        <f>IFERROR(VLOOKUP(R227,[47]conductor_pz_summary_hftd_23_re!$B$2:$Q$3636,13,FALSE),0)</f>
        <v>0.10759584344398899</v>
      </c>
      <c r="X227" s="73">
        <f>IFERROR(VLOOKUP(R227,conductor_pz_summary_hftd_23_re!$B$2:$N$3636,13,FALSE),0)</f>
        <v>564</v>
      </c>
      <c r="Y227" s="203">
        <f t="shared" si="48"/>
        <v>0.39202416820193747</v>
      </c>
      <c r="Z227" s="23">
        <v>1409</v>
      </c>
      <c r="AA227" s="23" t="s">
        <v>4871</v>
      </c>
      <c r="AB227" s="23" t="s">
        <v>4904</v>
      </c>
      <c r="AC227" s="19" t="s">
        <v>4936</v>
      </c>
      <c r="AD227" s="19" t="s">
        <v>4937</v>
      </c>
      <c r="AE227" s="19" t="s">
        <v>4938</v>
      </c>
      <c r="AF227" s="19" t="s">
        <v>4939</v>
      </c>
      <c r="AG227" s="23">
        <v>5530176</v>
      </c>
      <c r="AH227" s="23"/>
      <c r="AI227" s="23">
        <v>116475141</v>
      </c>
      <c r="AJ227" s="55">
        <v>35075103</v>
      </c>
      <c r="AK227" s="23" t="s">
        <v>4940</v>
      </c>
      <c r="AL227" s="20">
        <f>0.59*5280</f>
        <v>3115.2</v>
      </c>
      <c r="AM227" s="20">
        <v>0</v>
      </c>
      <c r="AN227" s="20">
        <v>0</v>
      </c>
      <c r="AO227" s="20">
        <v>0</v>
      </c>
      <c r="AQ227" s="176" t="s">
        <v>6378</v>
      </c>
      <c r="AR227" s="23">
        <v>3115</v>
      </c>
      <c r="AS227" s="40">
        <v>0.58996212121212122</v>
      </c>
      <c r="AT227" s="41">
        <v>623000</v>
      </c>
      <c r="AU227" s="39" t="s">
        <v>6335</v>
      </c>
      <c r="AY227" s="23">
        <f t="shared" si="55"/>
        <v>0</v>
      </c>
      <c r="AZ227" s="40">
        <f>AY227/5280</f>
        <v>0</v>
      </c>
      <c r="BA227" s="41"/>
      <c r="BB227" s="187"/>
      <c r="BC227" s="44"/>
      <c r="BD227" s="191">
        <f t="shared" si="53"/>
        <v>0</v>
      </c>
      <c r="BE227" s="23"/>
      <c r="BF227" s="23"/>
      <c r="BG227" s="23"/>
      <c r="BH227" s="23"/>
      <c r="BI227" s="23"/>
      <c r="BJ227" s="23"/>
      <c r="BK227" s="40"/>
      <c r="BL227" s="44"/>
      <c r="BM227" s="41"/>
      <c r="BN227" s="45"/>
    </row>
    <row r="228" spans="1:72" s="19" customFormat="1" x14ac:dyDescent="0.25">
      <c r="A228" s="218">
        <v>77799999</v>
      </c>
      <c r="B228" s="116" t="s">
        <v>5415</v>
      </c>
      <c r="C228" s="23">
        <v>0</v>
      </c>
      <c r="D228" s="23" t="str" cm="1">
        <f t="array" ref="D228">IFERROR(_xlfn.IFS(U228&lt;727,"MEET", AB228="FRRB","MEET", AB228="PSPS","MEET"),"No")</f>
        <v>MEET</v>
      </c>
      <c r="E228" s="23" t="str" cm="1">
        <f t="array" ref="E228">IFERROR(_xlfn.IFS(AM228&gt;0,"MEET", AN228&gt;0,"MEET"),"No")</f>
        <v>MEET</v>
      </c>
      <c r="F228" s="100">
        <v>2021169</v>
      </c>
      <c r="G228" s="168"/>
      <c r="H228" s="37">
        <f t="shared" si="51"/>
        <v>31.8</v>
      </c>
      <c r="I228" s="37">
        <f t="shared" si="50"/>
        <v>31.8</v>
      </c>
      <c r="J228" s="20">
        <v>2021</v>
      </c>
      <c r="K228" s="37"/>
      <c r="L228" s="37"/>
      <c r="M228" s="37">
        <f t="shared" si="52"/>
        <v>0</v>
      </c>
      <c r="N228" s="21">
        <v>0</v>
      </c>
      <c r="O228" s="23" t="s">
        <v>4878</v>
      </c>
      <c r="P228" s="22" t="s">
        <v>5343</v>
      </c>
      <c r="Q228" s="95" t="s">
        <v>5414</v>
      </c>
      <c r="R228" s="23" t="s">
        <v>5414</v>
      </c>
      <c r="S228" s="38">
        <f>IFERROR(VLOOKUP(R228,[47]conductor_pz_summary_hftd_23_re!$B$2:$Q$3636,8,FALSE),0)</f>
        <v>0</v>
      </c>
      <c r="T228" s="38">
        <f>IFERROR(VLOOKUP(R228,[48]conductor_pz_summary_hftd_23_re!$B$2:$H$3636,7,0),0)/1609</f>
        <v>0</v>
      </c>
      <c r="U228" s="23">
        <f>IFERROR(VLOOKUP(R228,[47]conductor_pz_summary_hftd_23_re!$B$2:$Q$3636,14,FALSE),0)</f>
        <v>0</v>
      </c>
      <c r="V228" s="23">
        <f t="shared" si="47"/>
        <v>0</v>
      </c>
      <c r="W228" s="23">
        <f>IFERROR(VLOOKUP(R228,[47]conductor_pz_summary_hftd_23_re!$B$2:$Q$3636,13,FALSE),0)</f>
        <v>0</v>
      </c>
      <c r="X228" s="73">
        <f>IFERROR(VLOOKUP(R228,conductor_pz_summary_hftd_23_re!$B$2:$N$3636,13,FALSE),0)</f>
        <v>0</v>
      </c>
      <c r="Y228" s="182" t="e">
        <f t="shared" si="48"/>
        <v>#DIV/0!</v>
      </c>
      <c r="Z228" s="23"/>
      <c r="AA228" s="23"/>
      <c r="AB228" s="23"/>
      <c r="AC228" s="19" t="s">
        <v>5343</v>
      </c>
      <c r="AD228" s="19" t="s">
        <v>5343</v>
      </c>
      <c r="AE228" s="19" t="s">
        <v>5343</v>
      </c>
      <c r="AF228" s="19" t="s">
        <v>5343</v>
      </c>
      <c r="AG228" s="23"/>
      <c r="AH228" s="23"/>
      <c r="AI228" s="23"/>
      <c r="AJ228" s="55"/>
      <c r="AK228" s="23" t="s">
        <v>5414</v>
      </c>
      <c r="AL228" s="158">
        <v>0</v>
      </c>
      <c r="AM228" s="158">
        <v>0</v>
      </c>
      <c r="AN228" s="158">
        <f>31.8*5280</f>
        <v>167904</v>
      </c>
      <c r="AO228" s="158">
        <v>0</v>
      </c>
      <c r="AQ228" s="48"/>
      <c r="AR228" s="23"/>
      <c r="AS228" s="40"/>
      <c r="AT228" s="41"/>
      <c r="AY228" s="23">
        <f t="shared" si="55"/>
        <v>0</v>
      </c>
      <c r="AZ228" s="40"/>
      <c r="BA228" s="41"/>
      <c r="BB228" s="187"/>
      <c r="BC228" s="44"/>
      <c r="BD228" s="191">
        <f t="shared" si="53"/>
        <v>0</v>
      </c>
      <c r="BE228" s="23"/>
      <c r="BF228" s="23"/>
      <c r="BG228" s="23"/>
      <c r="BH228" s="23"/>
      <c r="BI228" s="23"/>
      <c r="BJ228" s="23"/>
      <c r="BK228" s="40"/>
      <c r="BL228" s="44"/>
      <c r="BM228" s="41"/>
      <c r="BN228" s="45"/>
    </row>
    <row r="229" spans="1:72" s="19" customFormat="1" x14ac:dyDescent="0.25">
      <c r="A229" s="218">
        <v>35226625</v>
      </c>
      <c r="B229" s="116" t="s">
        <v>5504</v>
      </c>
      <c r="C229" s="23">
        <v>2</v>
      </c>
      <c r="D229" s="23" t="str" cm="1">
        <f t="array" ref="D229">IFERROR(_xlfn.IFS(U229&lt;727,"MEET", AB229="FRRB","MEET", AB229="PSPS","MEET"),"No")</f>
        <v>MEET</v>
      </c>
      <c r="E229" s="23" t="str" cm="1">
        <f t="array" ref="E229">IFERROR(_xlfn.IFS(AM229&gt;0,"MEET", AN229&gt;0,"MEET"),"No")</f>
        <v>No</v>
      </c>
      <c r="F229" s="100">
        <v>2021170</v>
      </c>
      <c r="G229" s="37"/>
      <c r="H229" s="37">
        <f t="shared" si="51"/>
        <v>7.9</v>
      </c>
      <c r="I229" s="37">
        <f t="shared" si="50"/>
        <v>7.9</v>
      </c>
      <c r="J229" s="23">
        <v>2021</v>
      </c>
      <c r="M229" s="37">
        <f t="shared" si="52"/>
        <v>0</v>
      </c>
      <c r="N229" s="21">
        <v>395.6</v>
      </c>
      <c r="O229" s="23" t="s">
        <v>4878</v>
      </c>
      <c r="P229" s="22">
        <v>102781101</v>
      </c>
      <c r="Q229" s="19" t="s">
        <v>1356</v>
      </c>
      <c r="R229" s="23" t="s">
        <v>1360</v>
      </c>
      <c r="S229" s="38">
        <f>IFERROR(VLOOKUP(R229,[47]conductor_pz_summary_hftd_23_re!$B$2:$Q$3636,8,FALSE),0)</f>
        <v>67</v>
      </c>
      <c r="T229" s="201">
        <f>IFERROR(VLOOKUP(R229,[48]conductor_pz_summary_hftd_23_re!$B$2:$H$3636,7,0),0)/1609</f>
        <v>13.240185299600622</v>
      </c>
      <c r="U229" s="23">
        <f>IFERROR(VLOOKUP(R229,[47]conductor_pz_summary_hftd_23_re!$B$2:$Q$3636,14,FALSE),0)</f>
        <v>340</v>
      </c>
      <c r="V229" s="37">
        <f t="shared" si="47"/>
        <v>13.138836686313075</v>
      </c>
      <c r="W229" s="202">
        <f>IFERROR(VLOOKUP(R229,[47]conductor_pz_summary_hftd_23_re!$B$2:$Q$3636,13,FALSE),0)</f>
        <v>0.19610204009422499</v>
      </c>
      <c r="X229" s="73">
        <f>IFERROR(VLOOKUP(R229,conductor_pz_summary_hftd_23_re!$B$2:$N$3636,13,FALSE),0)</f>
        <v>40</v>
      </c>
      <c r="Y229" s="203">
        <f t="shared" si="48"/>
        <v>7.7611332015688781</v>
      </c>
      <c r="AA229" s="23"/>
      <c r="AB229" s="23" t="s">
        <v>5171</v>
      </c>
      <c r="AC229" s="19" t="s">
        <v>6120</v>
      </c>
      <c r="AD229" s="19" t="s">
        <v>6121</v>
      </c>
      <c r="AE229" s="19" t="s">
        <v>5210</v>
      </c>
      <c r="AF229" s="19" t="s">
        <v>4875</v>
      </c>
      <c r="AG229" s="23">
        <v>5795150</v>
      </c>
      <c r="AH229" s="19" t="s">
        <v>6118</v>
      </c>
      <c r="AI229" s="19">
        <v>120445306</v>
      </c>
      <c r="AJ229" s="23">
        <v>35226625</v>
      </c>
      <c r="AK229" s="23" t="s">
        <v>5172</v>
      </c>
      <c r="AL229" s="20">
        <v>0</v>
      </c>
      <c r="AM229" s="20">
        <v>0</v>
      </c>
      <c r="AN229" s="20">
        <v>0</v>
      </c>
      <c r="AO229" s="20">
        <v>41712</v>
      </c>
      <c r="AR229" s="23"/>
      <c r="AY229" s="23">
        <f t="shared" si="55"/>
        <v>0</v>
      </c>
      <c r="AZ229" s="40">
        <f>AY229/5280</f>
        <v>0</v>
      </c>
      <c r="BA229" s="41"/>
      <c r="BB229" s="187"/>
      <c r="BC229" s="44"/>
      <c r="BD229" s="191">
        <f t="shared" si="53"/>
        <v>0</v>
      </c>
    </row>
    <row r="230" spans="1:72" s="19" customFormat="1" x14ac:dyDescent="0.25">
      <c r="A230" s="218">
        <v>35217274</v>
      </c>
      <c r="B230" s="116" t="s">
        <v>5505</v>
      </c>
      <c r="C230" s="183">
        <v>8</v>
      </c>
      <c r="D230" s="23" t="str" cm="1">
        <f t="array" ref="D230">IFERROR(_xlfn.IFS(U230&lt;727,"MEET", AB230="FRRB","MEET", AB230="PSPS","MEET"),"No")</f>
        <v>MEET</v>
      </c>
      <c r="E230" s="23" t="str" cm="1">
        <f t="array" ref="E230">IFERROR(_xlfn.IFS(AM230&gt;0,"MEET", AN230&gt;0,"MEET"),"No")</f>
        <v>MEET</v>
      </c>
      <c r="F230" s="100">
        <v>2021171</v>
      </c>
      <c r="G230" s="168"/>
      <c r="H230" s="37">
        <v>2.52</v>
      </c>
      <c r="I230" s="37">
        <f t="shared" si="50"/>
        <v>2.52</v>
      </c>
      <c r="J230" s="93">
        <v>2021</v>
      </c>
      <c r="K230" s="182"/>
      <c r="L230" s="182"/>
      <c r="M230" s="37">
        <f t="shared" si="52"/>
        <v>0</v>
      </c>
      <c r="N230" s="21">
        <v>14916.89</v>
      </c>
      <c r="O230" s="74" t="s">
        <v>4878</v>
      </c>
      <c r="P230" s="22">
        <v>24101103</v>
      </c>
      <c r="Q230" s="94" t="s">
        <v>1743</v>
      </c>
      <c r="R230" s="74" t="s">
        <v>1749</v>
      </c>
      <c r="S230" s="38">
        <f>IFERROR(VLOOKUP(R230,[47]conductor_pz_summary_hftd_23_re!$B$2:$Q$3636,8,FALSE),0)</f>
        <v>150</v>
      </c>
      <c r="T230" s="38">
        <f>IFERROR(VLOOKUP(R230,[48]conductor_pz_summary_hftd_23_re!$B$2:$H$3636,7,0),0)/1609</f>
        <v>15.567907158765507</v>
      </c>
      <c r="U230" s="23">
        <f>IFERROR(VLOOKUP(R230,[47]conductor_pz_summary_hftd_23_re!$B$2:$Q$3636,14,FALSE),0)</f>
        <v>2055</v>
      </c>
      <c r="V230" s="23">
        <f t="shared" si="47"/>
        <v>1.176723195926058</v>
      </c>
      <c r="W230" s="23">
        <f>IFERROR(VLOOKUP(R230,[47]conductor_pz_summary_hftd_23_re!$B$2:$Q$3636,13,FALSE),0)</f>
        <v>7.8448213061737201E-3</v>
      </c>
      <c r="X230" s="73">
        <f>IFERROR(VLOOKUP(R230,conductor_pz_summary_hftd_23_re!$B$2:$N$3636,13,FALSE),0)</f>
        <v>1975</v>
      </c>
      <c r="Y230" s="182">
        <f t="shared" si="48"/>
        <v>0.1885731331294194</v>
      </c>
      <c r="Z230" s="182"/>
      <c r="AA230" s="182"/>
      <c r="AB230" s="183" t="s">
        <v>5171</v>
      </c>
      <c r="AC230" s="94" t="s">
        <v>5456</v>
      </c>
      <c r="AD230" s="94" t="s">
        <v>5457</v>
      </c>
      <c r="AE230" s="94" t="s">
        <v>5125</v>
      </c>
      <c r="AF230" s="94" t="s">
        <v>5014</v>
      </c>
      <c r="AG230" s="183">
        <v>5794202</v>
      </c>
      <c r="AH230" s="183" t="s">
        <v>5294</v>
      </c>
      <c r="AI230" s="183">
        <v>120048101</v>
      </c>
      <c r="AJ230" s="183">
        <v>35217274</v>
      </c>
      <c r="AK230" s="183" t="s">
        <v>5295</v>
      </c>
      <c r="AL230" s="161">
        <v>0</v>
      </c>
      <c r="AM230" s="161">
        <f>2.52*5280</f>
        <v>13305.6</v>
      </c>
      <c r="AN230" s="162">
        <v>0</v>
      </c>
      <c r="AO230" s="162">
        <v>0</v>
      </c>
      <c r="AP230" s="182"/>
      <c r="AQ230" s="39" t="s">
        <v>5479</v>
      </c>
      <c r="AR230" s="182">
        <f>AS230*5280</f>
        <v>13305.6</v>
      </c>
      <c r="AS230" s="183">
        <v>2.52</v>
      </c>
      <c r="AT230" s="92">
        <v>4621000</v>
      </c>
      <c r="AU230" s="182"/>
      <c r="AV230" s="182"/>
      <c r="AW230" s="182">
        <v>13305.6</v>
      </c>
      <c r="AX230" s="182">
        <v>0</v>
      </c>
      <c r="AY230" s="23">
        <f t="shared" si="55"/>
        <v>13305.6</v>
      </c>
      <c r="AZ230" s="40">
        <f>AY230/5280</f>
        <v>2.52</v>
      </c>
      <c r="BA230" s="41"/>
      <c r="BB230" s="187"/>
      <c r="BC230" s="44"/>
      <c r="BD230" s="191">
        <f t="shared" si="53"/>
        <v>0</v>
      </c>
      <c r="BE230" s="182"/>
      <c r="BF230" s="182"/>
      <c r="BG230" s="182"/>
      <c r="BH230" s="182"/>
      <c r="BI230" s="182"/>
      <c r="BJ230" s="182"/>
      <c r="BK230" s="182"/>
      <c r="BL230" s="182"/>
      <c r="BM230" s="182"/>
      <c r="BN230" s="182"/>
      <c r="BO230" s="182"/>
      <c r="BP230" s="182"/>
      <c r="BQ230" s="182"/>
      <c r="BR230" s="182"/>
      <c r="BS230" s="182"/>
      <c r="BT230" s="182"/>
    </row>
    <row r="231" spans="1:72" s="19" customFormat="1" x14ac:dyDescent="0.25">
      <c r="A231" s="218">
        <v>35217275</v>
      </c>
      <c r="B231" s="116" t="s">
        <v>5505</v>
      </c>
      <c r="C231" s="183">
        <v>8</v>
      </c>
      <c r="D231" s="23" t="str" cm="1">
        <f t="array" ref="D231">IFERROR(_xlfn.IFS(U231&lt;727,"MEET", AB231="FRRB","MEET", AB231="PSPS","MEET"),"No")</f>
        <v>MEET</v>
      </c>
      <c r="E231" s="23" t="str" cm="1">
        <f t="array" ref="E231">IFERROR(_xlfn.IFS(AM231&gt;0,"MEET", AN231&gt;0,"MEET"),"No")</f>
        <v>MEET</v>
      </c>
      <c r="F231" s="100">
        <v>2021172</v>
      </c>
      <c r="G231" s="168"/>
      <c r="H231" s="37">
        <f t="shared" ref="H231:H246" si="56">SUM(AL231:AO231)/5280</f>
        <v>2.9</v>
      </c>
      <c r="I231" s="37">
        <f t="shared" si="50"/>
        <v>2.9</v>
      </c>
      <c r="J231" s="93">
        <v>2021</v>
      </c>
      <c r="K231" s="182"/>
      <c r="L231" s="182"/>
      <c r="M231" s="37">
        <f t="shared" si="52"/>
        <v>0</v>
      </c>
      <c r="N231" s="21">
        <v>15629.41</v>
      </c>
      <c r="O231" s="74" t="s">
        <v>4878</v>
      </c>
      <c r="P231" s="22">
        <v>24101103</v>
      </c>
      <c r="Q231" s="94" t="s">
        <v>1743</v>
      </c>
      <c r="R231" s="74" t="s">
        <v>1749</v>
      </c>
      <c r="S231" s="38">
        <f>IFERROR(VLOOKUP(R231,[47]conductor_pz_summary_hftd_23_re!$B$2:$Q$3636,8,FALSE),0)</f>
        <v>150</v>
      </c>
      <c r="T231" s="38">
        <f>IFERROR(VLOOKUP(R231,[48]conductor_pz_summary_hftd_23_re!$B$2:$H$3636,7,0),0)/1609</f>
        <v>15.567907158765507</v>
      </c>
      <c r="U231" s="23">
        <f>IFERROR(VLOOKUP(R231,[47]conductor_pz_summary_hftd_23_re!$B$2:$Q$3636,14,FALSE),0)</f>
        <v>2055</v>
      </c>
      <c r="V231" s="23">
        <f t="shared" si="47"/>
        <v>1.176723195926058</v>
      </c>
      <c r="W231" s="23">
        <f>IFERROR(VLOOKUP(R231,[47]conductor_pz_summary_hftd_23_re!$B$2:$Q$3636,13,FALSE),0)</f>
        <v>7.8448213061737201E-3</v>
      </c>
      <c r="X231" s="73">
        <f>IFERROR(VLOOKUP(R231,conductor_pz_summary_hftd_23_re!$B$2:$N$3636,13,FALSE),0)</f>
        <v>1975</v>
      </c>
      <c r="Y231" s="182">
        <f t="shared" si="48"/>
        <v>0.2170087643156017</v>
      </c>
      <c r="Z231" s="182"/>
      <c r="AA231" s="182"/>
      <c r="AB231" s="183" t="s">
        <v>5171</v>
      </c>
      <c r="AC231" s="94" t="s">
        <v>5456</v>
      </c>
      <c r="AD231" s="94" t="s">
        <v>5013</v>
      </c>
      <c r="AE231" s="94" t="s">
        <v>5125</v>
      </c>
      <c r="AF231" s="94" t="s">
        <v>5014</v>
      </c>
      <c r="AG231" s="183">
        <v>5794201</v>
      </c>
      <c r="AH231" s="183" t="s">
        <v>5296</v>
      </c>
      <c r="AI231" s="183">
        <v>120048103</v>
      </c>
      <c r="AJ231" s="183">
        <v>35217275</v>
      </c>
      <c r="AK231" s="183" t="s">
        <v>5297</v>
      </c>
      <c r="AL231" s="161">
        <v>0</v>
      </c>
      <c r="AM231" s="161">
        <f>2.9*5280</f>
        <v>15312</v>
      </c>
      <c r="AN231" s="162">
        <v>0</v>
      </c>
      <c r="AO231" s="162">
        <v>0</v>
      </c>
      <c r="AP231" s="182"/>
      <c r="AQ231" s="39" t="s">
        <v>6261</v>
      </c>
      <c r="AR231" s="182">
        <f>AS231*5280</f>
        <v>15312</v>
      </c>
      <c r="AS231" s="118">
        <v>2.9</v>
      </c>
      <c r="AT231" s="92">
        <v>5352500</v>
      </c>
      <c r="AU231" s="182"/>
      <c r="AV231" s="182"/>
      <c r="AW231" s="182"/>
      <c r="AX231" s="182"/>
      <c r="AY231" s="23">
        <f t="shared" si="55"/>
        <v>0</v>
      </c>
      <c r="AZ231" s="40">
        <f>AY231/5280</f>
        <v>0</v>
      </c>
      <c r="BA231" s="41"/>
      <c r="BB231" s="187"/>
      <c r="BC231" s="44"/>
      <c r="BD231" s="191">
        <f t="shared" si="53"/>
        <v>0</v>
      </c>
      <c r="BE231" s="182"/>
      <c r="BF231" s="182"/>
      <c r="BG231" s="182"/>
      <c r="BH231" s="182"/>
      <c r="BI231" s="182"/>
      <c r="BJ231" s="182"/>
      <c r="BK231" s="182"/>
      <c r="BL231" s="182"/>
      <c r="BM231" s="182"/>
      <c r="BN231" s="182"/>
      <c r="BO231" s="182"/>
      <c r="BP231" s="182"/>
      <c r="BQ231" s="182"/>
      <c r="BR231" s="182"/>
      <c r="BS231" s="182"/>
      <c r="BT231" s="182"/>
    </row>
    <row r="232" spans="1:72" s="19" customFormat="1" x14ac:dyDescent="0.25">
      <c r="A232" s="218">
        <v>35226626</v>
      </c>
      <c r="B232" s="116" t="s">
        <v>5504</v>
      </c>
      <c r="C232" s="183">
        <v>2</v>
      </c>
      <c r="D232" s="23" t="str" cm="1">
        <f t="array" ref="D232">IFERROR(_xlfn.IFS(U232&lt;727,"MEET", AB232="FRRB","MEET", AB232="PSPS","MEET"),"No")</f>
        <v>MEET</v>
      </c>
      <c r="E232" s="23" t="str" cm="1">
        <f t="array" ref="E232">IFERROR(_xlfn.IFS(AM232&gt;0,"MEET", AN232&gt;0,"MEET"),"No")</f>
        <v>No</v>
      </c>
      <c r="F232" s="100">
        <v>2021173</v>
      </c>
      <c r="G232" s="37"/>
      <c r="H232" s="37">
        <f t="shared" si="56"/>
        <v>4.03</v>
      </c>
      <c r="I232" s="37">
        <f t="shared" si="50"/>
        <v>4.03</v>
      </c>
      <c r="J232" s="93">
        <v>2021</v>
      </c>
      <c r="K232" s="182"/>
      <c r="L232" s="182"/>
      <c r="M232" s="37">
        <f t="shared" si="52"/>
        <v>0</v>
      </c>
      <c r="N232" s="21">
        <v>6800.87</v>
      </c>
      <c r="O232" s="74" t="s">
        <v>4878</v>
      </c>
      <c r="P232" s="22">
        <v>42751113</v>
      </c>
      <c r="Q232" s="94" t="s">
        <v>1398</v>
      </c>
      <c r="R232" s="74" t="s">
        <v>1406</v>
      </c>
      <c r="S232" s="38">
        <f>IFERROR(VLOOKUP(R232,[47]conductor_pz_summary_hftd_23_re!$B$2:$Q$3636,8,FALSE),0)</f>
        <v>139</v>
      </c>
      <c r="T232" s="201">
        <f>IFERROR(VLOOKUP(R232,[48]conductor_pz_summary_hftd_23_re!$B$2:$H$3636,7,0),0)/1609</f>
        <v>22.674903809589495</v>
      </c>
      <c r="U232" s="23">
        <f>IFERROR(VLOOKUP(R232,[47]conductor_pz_summary_hftd_23_re!$B$2:$Q$3636,14,FALSE),0)</f>
        <v>945</v>
      </c>
      <c r="V232" s="37">
        <f t="shared" si="47"/>
        <v>10.27590572253238</v>
      </c>
      <c r="W232" s="202">
        <f>IFERROR(VLOOKUP(R232,[47]conductor_pz_summary_hftd_23_re!$B$2:$Q$3636,13,FALSE),0)</f>
        <v>7.3927379298794102E-2</v>
      </c>
      <c r="X232" s="73">
        <f>IFERROR(VLOOKUP(R232,conductor_pz_summary_hftd_23_re!$B$2:$N$3636,13,FALSE),0)</f>
        <v>1284</v>
      </c>
      <c r="Y232" s="203">
        <f t="shared" si="48"/>
        <v>1.8080685768487792</v>
      </c>
      <c r="Z232" s="182"/>
      <c r="AA232" s="182"/>
      <c r="AB232" s="183" t="s">
        <v>5171</v>
      </c>
      <c r="AC232" s="94" t="s">
        <v>5433</v>
      </c>
      <c r="AD232" s="94" t="s">
        <v>4925</v>
      </c>
      <c r="AE232" s="94" t="s">
        <v>4925</v>
      </c>
      <c r="AF232" s="94" t="s">
        <v>4875</v>
      </c>
      <c r="AG232" s="183">
        <v>5795151</v>
      </c>
      <c r="AH232" s="183" t="s">
        <v>6119</v>
      </c>
      <c r="AI232" s="183">
        <v>120445370</v>
      </c>
      <c r="AJ232" s="183">
        <v>35226626</v>
      </c>
      <c r="AK232" s="183" t="s">
        <v>5209</v>
      </c>
      <c r="AL232" s="205">
        <v>0</v>
      </c>
      <c r="AM232" s="205">
        <v>0</v>
      </c>
      <c r="AN232" s="205">
        <v>0</v>
      </c>
      <c r="AO232" s="205">
        <f>4.03*5280</f>
        <v>21278.400000000001</v>
      </c>
      <c r="AP232" s="182"/>
      <c r="AQ232" s="182"/>
      <c r="AR232" s="182"/>
      <c r="AS232" s="182"/>
      <c r="AT232" s="92"/>
      <c r="AU232" s="182"/>
      <c r="AV232" s="182"/>
      <c r="AW232" s="182"/>
      <c r="AX232" s="182"/>
      <c r="AY232" s="23">
        <f t="shared" si="55"/>
        <v>0</v>
      </c>
      <c r="AZ232" s="40"/>
      <c r="BA232" s="41"/>
      <c r="BB232" s="187"/>
      <c r="BC232" s="44"/>
      <c r="BD232" s="191">
        <f t="shared" si="53"/>
        <v>0</v>
      </c>
      <c r="BE232" s="182"/>
      <c r="BF232" s="182"/>
      <c r="BG232" s="182"/>
      <c r="BH232" s="182"/>
      <c r="BI232" s="182"/>
      <c r="BJ232" s="182"/>
      <c r="BK232" s="182"/>
      <c r="BL232" s="182"/>
      <c r="BM232" s="182"/>
      <c r="BN232" s="182"/>
      <c r="BO232" s="182"/>
      <c r="BP232" s="182"/>
      <c r="BQ232" s="182"/>
      <c r="BR232" s="182"/>
      <c r="BS232" s="182"/>
      <c r="BT232" s="182"/>
    </row>
    <row r="233" spans="1:72" s="19" customFormat="1" x14ac:dyDescent="0.25">
      <c r="A233" s="205">
        <v>35199565</v>
      </c>
      <c r="B233" s="116" t="s">
        <v>5506</v>
      </c>
      <c r="C233" s="183">
        <v>14</v>
      </c>
      <c r="D233" s="23" t="str" cm="1">
        <f t="array" ref="D233">IFERROR(_xlfn.IFS(U233&lt;727,"MEET", AB233="FRRB","MEET", AB233="PSPS","MEET"),"No")</f>
        <v>MEET</v>
      </c>
      <c r="E233" s="23" t="str" cm="1">
        <f t="array" ref="E233">IFERROR(_xlfn.IFS(AM233&gt;0,"MEET", AN233&gt;0,"MEET"),"No")</f>
        <v>No</v>
      </c>
      <c r="F233" s="100">
        <v>2021174</v>
      </c>
      <c r="G233" s="168"/>
      <c r="H233" s="37">
        <f t="shared" si="56"/>
        <v>2.56</v>
      </c>
      <c r="I233" s="37">
        <f t="shared" si="50"/>
        <v>2.56</v>
      </c>
      <c r="J233" s="93">
        <v>2021</v>
      </c>
      <c r="K233" s="182"/>
      <c r="L233" s="182"/>
      <c r="M233" s="37">
        <f t="shared" si="52"/>
        <v>0</v>
      </c>
      <c r="N233" s="21">
        <v>-679894.08</v>
      </c>
      <c r="O233" s="74" t="s">
        <v>4870</v>
      </c>
      <c r="P233" s="22">
        <v>103751102</v>
      </c>
      <c r="Q233" s="94" t="s">
        <v>354</v>
      </c>
      <c r="R233" s="74" t="s">
        <v>353</v>
      </c>
      <c r="S233" s="38">
        <f>IFERROR(VLOOKUP(R233,[47]conductor_pz_summary_hftd_23_re!$B$2:$Q$3636,8,FALSE),0)</f>
        <v>177</v>
      </c>
      <c r="T233" s="38">
        <f>IFERROR(VLOOKUP(R233,[48]conductor_pz_summary_hftd_23_re!$B$2:$H$3636,7,0),0)/1609</f>
        <v>21.29644667592169</v>
      </c>
      <c r="U233" s="23">
        <f>IFERROR(VLOOKUP(R233,[47]conductor_pz_summary_hftd_23_re!$B$2:$Q$3636,14,FALSE),0)</f>
        <v>1288</v>
      </c>
      <c r="V233" s="23">
        <f t="shared" si="47"/>
        <v>7.2500155067644982</v>
      </c>
      <c r="W233" s="23">
        <f>IFERROR(VLOOKUP(R233,[47]conductor_pz_summary_hftd_23_re!$B$2:$Q$3636,13,FALSE),0)</f>
        <v>4.0960539586240102E-2</v>
      </c>
      <c r="X233" s="73">
        <f>IFERROR(VLOOKUP(R233,conductor_pz_summary_hftd_23_re!$B$2:$N$3636,13,FALSE),0)</f>
        <v>1326</v>
      </c>
      <c r="Y233" s="182">
        <f t="shared" si="48"/>
        <v>0.54033542719344707</v>
      </c>
      <c r="Z233" s="182"/>
      <c r="AA233" s="182"/>
      <c r="AB233" s="183" t="s">
        <v>5171</v>
      </c>
      <c r="AC233" s="94" t="s">
        <v>5436</v>
      </c>
      <c r="AD233" s="94" t="s">
        <v>5215</v>
      </c>
      <c r="AE233" s="94" t="s">
        <v>5210</v>
      </c>
      <c r="AF233" s="94" t="s">
        <v>4875</v>
      </c>
      <c r="AG233" s="183">
        <v>5541890</v>
      </c>
      <c r="AH233" s="183"/>
      <c r="AI233" s="183">
        <v>119750044</v>
      </c>
      <c r="AJ233" s="183">
        <v>35199565</v>
      </c>
      <c r="AK233" s="183" t="s">
        <v>5507</v>
      </c>
      <c r="AL233" s="161">
        <f>2.56*5280</f>
        <v>13516.800000000001</v>
      </c>
      <c r="AM233" s="161">
        <v>0</v>
      </c>
      <c r="AN233" s="161">
        <v>0</v>
      </c>
      <c r="AO233" s="161">
        <v>0</v>
      </c>
      <c r="AP233" s="182"/>
      <c r="AQ233" s="182"/>
      <c r="AR233" s="182"/>
      <c r="AS233" s="182"/>
      <c r="AT233" s="92"/>
      <c r="AU233" s="182"/>
      <c r="AV233" s="182"/>
      <c r="AW233" s="182"/>
      <c r="AX233" s="182"/>
      <c r="AY233" s="23">
        <f t="shared" si="55"/>
        <v>0</v>
      </c>
      <c r="AZ233" s="40"/>
      <c r="BA233" s="41"/>
      <c r="BB233" s="187"/>
      <c r="BC233" s="44"/>
      <c r="BD233" s="191">
        <f t="shared" si="53"/>
        <v>0</v>
      </c>
      <c r="BE233" s="182"/>
      <c r="BF233" s="182"/>
      <c r="BG233" s="182"/>
      <c r="BH233" s="182"/>
      <c r="BI233" s="182"/>
      <c r="BJ233" s="182"/>
      <c r="BK233" s="182"/>
      <c r="BL233" s="182"/>
      <c r="BM233" s="182"/>
      <c r="BN233" s="182"/>
      <c r="BO233" s="182"/>
      <c r="BP233" s="182"/>
      <c r="BQ233" s="182"/>
      <c r="BR233" s="182"/>
      <c r="BS233" s="182"/>
      <c r="BT233" s="182"/>
    </row>
    <row r="234" spans="1:72" s="19" customFormat="1" x14ac:dyDescent="0.25">
      <c r="A234" s="205">
        <v>35200051</v>
      </c>
      <c r="B234" s="116" t="s">
        <v>5505</v>
      </c>
      <c r="C234" s="183">
        <v>14</v>
      </c>
      <c r="D234" s="23" t="str" cm="1">
        <f t="array" ref="D234">IFERROR(_xlfn.IFS(U234&lt;727,"MEET", AB234="FRRB","MEET", AB234="PSPS","MEET"),"No")</f>
        <v>MEET</v>
      </c>
      <c r="E234" s="23" t="str" cm="1">
        <f t="array" ref="E234">IFERROR(_xlfn.IFS(AM234&gt;0,"MEET", AN234&gt;0,"MEET"),"No")</f>
        <v>MEET</v>
      </c>
      <c r="F234" s="100">
        <v>2021175</v>
      </c>
      <c r="G234" s="168"/>
      <c r="H234" s="37">
        <f t="shared" si="56"/>
        <v>4.8</v>
      </c>
      <c r="I234" s="37">
        <f t="shared" si="50"/>
        <v>4.8</v>
      </c>
      <c r="J234" s="93">
        <v>2021</v>
      </c>
      <c r="K234" s="182"/>
      <c r="L234" s="182"/>
      <c r="M234" s="37">
        <f t="shared" si="52"/>
        <v>0</v>
      </c>
      <c r="N234" s="21">
        <v>-179287.42</v>
      </c>
      <c r="O234" s="74" t="s">
        <v>4870</v>
      </c>
      <c r="P234" s="22">
        <v>103751102</v>
      </c>
      <c r="Q234" s="94" t="s">
        <v>354</v>
      </c>
      <c r="R234" s="74" t="s">
        <v>353</v>
      </c>
      <c r="S234" s="38">
        <f>IFERROR(VLOOKUP(R234,[47]conductor_pz_summary_hftd_23_re!$B$2:$Q$3636,8,FALSE),0)</f>
        <v>177</v>
      </c>
      <c r="T234" s="38">
        <f>IFERROR(VLOOKUP(R234,[48]conductor_pz_summary_hftd_23_re!$B$2:$H$3636,7,0),0)/1609</f>
        <v>21.29644667592169</v>
      </c>
      <c r="U234" s="23">
        <f>IFERROR(VLOOKUP(R234,[47]conductor_pz_summary_hftd_23_re!$B$2:$Q$3636,14,FALSE),0)</f>
        <v>1288</v>
      </c>
      <c r="V234" s="23">
        <f t="shared" si="47"/>
        <v>7.2500155067644982</v>
      </c>
      <c r="W234" s="23">
        <f>IFERROR(VLOOKUP(R234,[47]conductor_pz_summary_hftd_23_re!$B$2:$Q$3636,13,FALSE),0)</f>
        <v>4.0960539586240102E-2</v>
      </c>
      <c r="X234" s="73">
        <f>IFERROR(VLOOKUP(R234,conductor_pz_summary_hftd_23_re!$B$2:$N$3636,13,FALSE),0)</f>
        <v>1326</v>
      </c>
      <c r="Y234" s="182">
        <f t="shared" si="48"/>
        <v>1.6177381237545745</v>
      </c>
      <c r="Z234" s="182"/>
      <c r="AA234" s="182"/>
      <c r="AB234" s="183" t="s">
        <v>5171</v>
      </c>
      <c r="AC234" s="94" t="s">
        <v>5436</v>
      </c>
      <c r="AD234" s="94" t="s">
        <v>5215</v>
      </c>
      <c r="AE234" s="94" t="s">
        <v>5210</v>
      </c>
      <c r="AF234" s="94" t="s">
        <v>4875</v>
      </c>
      <c r="AG234" s="183">
        <v>5541890</v>
      </c>
      <c r="AH234" s="183"/>
      <c r="AI234" s="183">
        <v>119765913</v>
      </c>
      <c r="AJ234" s="183">
        <v>35200051</v>
      </c>
      <c r="AK234" s="183" t="s">
        <v>5507</v>
      </c>
      <c r="AL234" s="161">
        <v>0</v>
      </c>
      <c r="AM234" s="161">
        <f>4.8*5280</f>
        <v>25344</v>
      </c>
      <c r="AN234" s="161">
        <v>0</v>
      </c>
      <c r="AO234" s="161">
        <v>0</v>
      </c>
      <c r="AP234" s="182"/>
      <c r="AQ234" s="182"/>
      <c r="AR234" s="182"/>
      <c r="AS234" s="182"/>
      <c r="AT234" s="92"/>
      <c r="AU234" s="182"/>
      <c r="AV234" s="182"/>
      <c r="AW234" s="182"/>
      <c r="AX234" s="182"/>
      <c r="AY234" s="23">
        <f t="shared" si="55"/>
        <v>0</v>
      </c>
      <c r="AZ234" s="40"/>
      <c r="BA234" s="41"/>
      <c r="BB234" s="187"/>
      <c r="BC234" s="44"/>
      <c r="BD234" s="191">
        <f t="shared" si="53"/>
        <v>0</v>
      </c>
      <c r="BE234" s="182"/>
      <c r="BF234" s="182"/>
      <c r="BG234" s="182"/>
      <c r="BH234" s="182"/>
      <c r="BI234" s="182"/>
      <c r="BJ234" s="182"/>
      <c r="BK234" s="182"/>
      <c r="BL234" s="182"/>
      <c r="BM234" s="182"/>
      <c r="BN234" s="182"/>
      <c r="BO234" s="182"/>
      <c r="BP234" s="182"/>
      <c r="BQ234" s="182"/>
      <c r="BR234" s="182"/>
      <c r="BS234" s="182"/>
      <c r="BT234" s="182"/>
    </row>
    <row r="235" spans="1:72" s="19" customFormat="1" x14ac:dyDescent="0.25">
      <c r="A235" s="205">
        <v>35199565</v>
      </c>
      <c r="B235" s="116" t="s">
        <v>5506</v>
      </c>
      <c r="C235" s="183">
        <v>14</v>
      </c>
      <c r="D235" s="23" t="str" cm="1">
        <f t="array" ref="D235">IFERROR(_xlfn.IFS(U235&lt;727,"MEET", AB235="FRRB","MEET", AB235="PSPS","MEET"),"No")</f>
        <v>MEET</v>
      </c>
      <c r="E235" s="23" t="str" cm="1">
        <f t="array" ref="E235">IFERROR(_xlfn.IFS(AM235&gt;0,"MEET", AN235&gt;0,"MEET"),"No")</f>
        <v>No</v>
      </c>
      <c r="F235" s="100">
        <v>2021176</v>
      </c>
      <c r="G235" s="168"/>
      <c r="H235" s="37">
        <f t="shared" si="56"/>
        <v>6.72</v>
      </c>
      <c r="I235" s="37">
        <f t="shared" si="50"/>
        <v>6.72</v>
      </c>
      <c r="J235" s="93">
        <v>2021</v>
      </c>
      <c r="K235" s="182"/>
      <c r="L235" s="182"/>
      <c r="M235" s="37">
        <f t="shared" si="52"/>
        <v>0</v>
      </c>
      <c r="N235" s="21">
        <v>-679894.08</v>
      </c>
      <c r="O235" s="74" t="s">
        <v>4870</v>
      </c>
      <c r="P235" s="22">
        <v>102911103</v>
      </c>
      <c r="Q235" s="94" t="s">
        <v>4762</v>
      </c>
      <c r="R235" s="74" t="s">
        <v>4764</v>
      </c>
      <c r="S235" s="38">
        <f>IFERROR(VLOOKUP(R235,[47]conductor_pz_summary_hftd_23_re!$B$2:$Q$3636,8,FALSE),0)</f>
        <v>249</v>
      </c>
      <c r="T235" s="38">
        <f>IFERROR(VLOOKUP(R235,[48]conductor_pz_summary_hftd_23_re!$B$2:$H$3636,7,0),0)/1609</f>
        <v>27.217261193432378</v>
      </c>
      <c r="U235" s="23">
        <f>IFERROR(VLOOKUP(R235,[47]conductor_pz_summary_hftd_23_re!$B$2:$Q$3636,14,FALSE),0)</f>
        <v>1176</v>
      </c>
      <c r="V235" s="23">
        <f t="shared" si="47"/>
        <v>12.465553341185188</v>
      </c>
      <c r="W235" s="23">
        <f>IFERROR(VLOOKUP(R235,[47]conductor_pz_summary_hftd_23_re!$B$2:$Q$3636,13,FALSE),0)</f>
        <v>5.0062463217611201E-2</v>
      </c>
      <c r="X235" s="73">
        <f>IFERROR(VLOOKUP(R235,conductor_pz_summary_hftd_23_re!$B$2:$N$3636,13,FALSE),0)</f>
        <v>1498</v>
      </c>
      <c r="Y235" s="182">
        <f t="shared" si="48"/>
        <v>1.9082185041177628</v>
      </c>
      <c r="Z235" s="182"/>
      <c r="AA235" s="182"/>
      <c r="AB235" s="183" t="s">
        <v>5171</v>
      </c>
      <c r="AC235" s="94" t="s">
        <v>5436</v>
      </c>
      <c r="AD235" s="94" t="s">
        <v>5215</v>
      </c>
      <c r="AE235" s="94" t="s">
        <v>5210</v>
      </c>
      <c r="AF235" s="94" t="s">
        <v>4875</v>
      </c>
      <c r="AG235" s="183">
        <v>5541890</v>
      </c>
      <c r="AH235" s="183"/>
      <c r="AI235" s="183">
        <v>119750044</v>
      </c>
      <c r="AJ235" s="183">
        <v>35199565</v>
      </c>
      <c r="AK235" s="183" t="s">
        <v>5507</v>
      </c>
      <c r="AL235" s="161">
        <f>6.72*5280</f>
        <v>35481.599999999999</v>
      </c>
      <c r="AM235" s="161">
        <v>0</v>
      </c>
      <c r="AN235" s="161">
        <v>0</v>
      </c>
      <c r="AO235" s="161">
        <v>0</v>
      </c>
      <c r="AP235" s="182"/>
      <c r="AQ235" s="182"/>
      <c r="AR235" s="182"/>
      <c r="AS235" s="182"/>
      <c r="AT235" s="92"/>
      <c r="AU235" s="182"/>
      <c r="AV235" s="182"/>
      <c r="AW235" s="182"/>
      <c r="AX235" s="182"/>
      <c r="AY235" s="23">
        <f t="shared" si="55"/>
        <v>0</v>
      </c>
      <c r="AZ235" s="40"/>
      <c r="BA235" s="41"/>
      <c r="BB235" s="187"/>
      <c r="BC235" s="44"/>
      <c r="BD235" s="191">
        <f t="shared" si="53"/>
        <v>0</v>
      </c>
      <c r="BE235" s="182"/>
      <c r="BF235" s="182"/>
      <c r="BG235" s="182"/>
      <c r="BH235" s="182"/>
      <c r="BI235" s="182"/>
      <c r="BJ235" s="182"/>
      <c r="BK235" s="182"/>
      <c r="BL235" s="182"/>
      <c r="BM235" s="182"/>
      <c r="BN235" s="182"/>
      <c r="BO235" s="182"/>
      <c r="BP235" s="182"/>
      <c r="BQ235" s="182"/>
      <c r="BR235" s="182"/>
      <c r="BS235" s="182"/>
      <c r="BT235" s="182"/>
    </row>
    <row r="236" spans="1:72" s="19" customFormat="1" x14ac:dyDescent="0.25">
      <c r="A236" s="205">
        <v>35200051</v>
      </c>
      <c r="B236" s="116" t="s">
        <v>5505</v>
      </c>
      <c r="C236" s="183">
        <v>14</v>
      </c>
      <c r="D236" s="23" t="str" cm="1">
        <f t="array" ref="D236">IFERROR(_xlfn.IFS(U236&lt;727,"MEET", AB236="FRRB","MEET", AB236="PSPS","MEET"),"No")</f>
        <v>MEET</v>
      </c>
      <c r="E236" s="23" t="str" cm="1">
        <f t="array" ref="E236">IFERROR(_xlfn.IFS(AM236&gt;0,"MEET", AN236&gt;0,"MEET"),"No")</f>
        <v>MEET</v>
      </c>
      <c r="F236" s="100">
        <v>2021177</v>
      </c>
      <c r="G236" s="168"/>
      <c r="H236" s="37">
        <f t="shared" si="56"/>
        <v>7.25</v>
      </c>
      <c r="I236" s="37">
        <f t="shared" si="50"/>
        <v>7.25</v>
      </c>
      <c r="J236" s="93">
        <v>2021</v>
      </c>
      <c r="K236" s="182"/>
      <c r="L236" s="182"/>
      <c r="M236" s="37">
        <f t="shared" si="52"/>
        <v>0</v>
      </c>
      <c r="N236" s="21">
        <v>-179287.42</v>
      </c>
      <c r="O236" s="74" t="s">
        <v>4870</v>
      </c>
      <c r="P236" s="22">
        <v>102911103</v>
      </c>
      <c r="Q236" s="94" t="s">
        <v>4762</v>
      </c>
      <c r="R236" s="74" t="s">
        <v>4764</v>
      </c>
      <c r="S236" s="38">
        <f>IFERROR(VLOOKUP(R236,[47]conductor_pz_summary_hftd_23_re!$B$2:$Q$3636,8,FALSE),0)</f>
        <v>249</v>
      </c>
      <c r="T236" s="38">
        <f>IFERROR(VLOOKUP(R236,[48]conductor_pz_summary_hftd_23_re!$B$2:$H$3636,7,0),0)/1609</f>
        <v>27.217261193432378</v>
      </c>
      <c r="U236" s="23">
        <f>IFERROR(VLOOKUP(R236,[47]conductor_pz_summary_hftd_23_re!$B$2:$Q$3636,14,FALSE),0)</f>
        <v>1176</v>
      </c>
      <c r="V236" s="23">
        <f t="shared" si="47"/>
        <v>12.465553341185188</v>
      </c>
      <c r="W236" s="23">
        <f>IFERROR(VLOOKUP(R236,[47]conductor_pz_summary_hftd_23_re!$B$2:$Q$3636,13,FALSE),0)</f>
        <v>5.0062463217611201E-2</v>
      </c>
      <c r="X236" s="73">
        <f>IFERROR(VLOOKUP(R236,conductor_pz_summary_hftd_23_re!$B$2:$N$3636,13,FALSE),0)</f>
        <v>1498</v>
      </c>
      <c r="Y236" s="182">
        <f t="shared" si="48"/>
        <v>3.2873075828785616</v>
      </c>
      <c r="Z236" s="182"/>
      <c r="AA236" s="182"/>
      <c r="AB236" s="183" t="s">
        <v>5171</v>
      </c>
      <c r="AC236" s="94" t="s">
        <v>5436</v>
      </c>
      <c r="AD236" s="94" t="s">
        <v>5215</v>
      </c>
      <c r="AE236" s="94" t="s">
        <v>5210</v>
      </c>
      <c r="AF236" s="94" t="s">
        <v>4875</v>
      </c>
      <c r="AG236" s="183">
        <v>5541890</v>
      </c>
      <c r="AH236" s="183"/>
      <c r="AI236" s="183">
        <v>119765913</v>
      </c>
      <c r="AJ236" s="183">
        <v>35200051</v>
      </c>
      <c r="AK236" s="183" t="s">
        <v>5507</v>
      </c>
      <c r="AL236" s="161">
        <v>0</v>
      </c>
      <c r="AM236" s="161">
        <f>7.25*5280</f>
        <v>38280</v>
      </c>
      <c r="AN236" s="161">
        <v>0</v>
      </c>
      <c r="AO236" s="161">
        <v>0</v>
      </c>
      <c r="AP236" s="182"/>
      <c r="AQ236" s="182"/>
      <c r="AR236" s="182"/>
      <c r="AS236" s="182"/>
      <c r="AT236" s="92"/>
      <c r="AU236" s="182"/>
      <c r="AV236" s="182"/>
      <c r="AW236" s="182"/>
      <c r="AX236" s="182"/>
      <c r="AY236" s="23">
        <f t="shared" si="55"/>
        <v>0</v>
      </c>
      <c r="AZ236" s="40"/>
      <c r="BA236" s="41"/>
      <c r="BB236" s="187"/>
      <c r="BC236" s="44"/>
      <c r="BD236" s="191">
        <f t="shared" si="53"/>
        <v>0</v>
      </c>
      <c r="BE236" s="182"/>
      <c r="BF236" s="182"/>
      <c r="BG236" s="182"/>
      <c r="BH236" s="182"/>
      <c r="BI236" s="182"/>
      <c r="BJ236" s="182"/>
      <c r="BK236" s="182"/>
      <c r="BL236" s="182"/>
      <c r="BM236" s="182"/>
      <c r="BN236" s="182"/>
      <c r="BO236" s="182"/>
      <c r="BP236" s="182"/>
      <c r="BQ236" s="182"/>
      <c r="BR236" s="182"/>
      <c r="BS236" s="182"/>
      <c r="BT236" s="182"/>
    </row>
    <row r="237" spans="1:72" s="19" customFormat="1" x14ac:dyDescent="0.25">
      <c r="A237" s="218">
        <v>35220936</v>
      </c>
      <c r="B237" s="116" t="s">
        <v>5505</v>
      </c>
      <c r="C237" s="183">
        <v>5</v>
      </c>
      <c r="D237" s="23" t="str" cm="1">
        <f t="array" ref="D237">IFERROR(_xlfn.IFS(U237&lt;727,"MEET", AB237="FRRB","MEET", AB237="PSPS","MEET"),"No")</f>
        <v>MEET</v>
      </c>
      <c r="E237" s="23" t="str" cm="1">
        <f t="array" ref="E237">IFERROR(_xlfn.IFS(AM237&gt;0,"MEET", AN237&gt;0,"MEET"),"No")</f>
        <v>MEET</v>
      </c>
      <c r="F237" s="100">
        <v>2021178</v>
      </c>
      <c r="G237" s="168"/>
      <c r="H237" s="37">
        <f t="shared" si="56"/>
        <v>0.95</v>
      </c>
      <c r="I237" s="37">
        <f t="shared" si="50"/>
        <v>0.95</v>
      </c>
      <c r="J237" s="93">
        <v>2021</v>
      </c>
      <c r="K237" s="182"/>
      <c r="L237" s="182"/>
      <c r="M237" s="37">
        <v>0</v>
      </c>
      <c r="N237" s="21">
        <v>7246.08</v>
      </c>
      <c r="O237" s="74" t="s">
        <v>4878</v>
      </c>
      <c r="P237" s="22">
        <v>24101103</v>
      </c>
      <c r="Q237" s="94" t="s">
        <v>1743</v>
      </c>
      <c r="R237" s="74" t="s">
        <v>1746</v>
      </c>
      <c r="S237" s="38">
        <f>IFERROR(VLOOKUP(R237,[47]conductor_pz_summary_hftd_23_re!$B$2:$Q$3636,8,FALSE),0)</f>
        <v>79</v>
      </c>
      <c r="T237" s="38">
        <f>IFERROR(VLOOKUP(R237,[48]conductor_pz_summary_hftd_23_re!$B$2:$H$3636,7,0),0)/1609</f>
        <v>6.6682886137888744</v>
      </c>
      <c r="U237" s="23">
        <f>IFERROR(VLOOKUP(R237,[47]conductor_pz_summary_hftd_23_re!$B$2:$Q$3636,14,FALSE),0)</f>
        <v>2186</v>
      </c>
      <c r="V237" s="23">
        <f t="shared" si="47"/>
        <v>0.42722001654211705</v>
      </c>
      <c r="W237" s="23">
        <f>IFERROR(VLOOKUP(R237,[47]conductor_pz_summary_hftd_23_re!$B$2:$Q$3636,13,FALSE),0)</f>
        <v>5.4078483106597096E-3</v>
      </c>
      <c r="X237" s="73">
        <f>IFERROR(VLOOKUP(R237,conductor_pz_summary_hftd_23_re!$B$2:$N$3636,13,FALSE),0)</f>
        <v>2095</v>
      </c>
      <c r="Y237" s="182">
        <f t="shared" si="48"/>
        <v>6.0255404171770076E-2</v>
      </c>
      <c r="Z237" s="182"/>
      <c r="AA237" s="182"/>
      <c r="AB237" s="183" t="s">
        <v>5171</v>
      </c>
      <c r="AC237" s="94" t="s">
        <v>5456</v>
      </c>
      <c r="AD237" s="94" t="s">
        <v>5013</v>
      </c>
      <c r="AE237" s="94" t="s">
        <v>5125</v>
      </c>
      <c r="AF237" s="94" t="s">
        <v>5014</v>
      </c>
      <c r="AG237" s="183">
        <v>5794202</v>
      </c>
      <c r="AH237" s="183" t="s">
        <v>5517</v>
      </c>
      <c r="AI237" s="183">
        <v>120224375</v>
      </c>
      <c r="AJ237" s="183">
        <v>35220936</v>
      </c>
      <c r="AK237" s="183" t="s">
        <v>5516</v>
      </c>
      <c r="AL237" s="161">
        <v>0</v>
      </c>
      <c r="AM237" s="161">
        <f>0.95*5280</f>
        <v>5016</v>
      </c>
      <c r="AN237" s="161">
        <v>0</v>
      </c>
      <c r="AO237" s="161">
        <v>0</v>
      </c>
      <c r="AP237" s="182"/>
      <c r="AQ237" s="182"/>
      <c r="AR237" s="182"/>
      <c r="AS237" s="182"/>
      <c r="AT237" s="92"/>
      <c r="AU237" s="182"/>
      <c r="AV237" s="182"/>
      <c r="AW237" s="182"/>
      <c r="AX237" s="182"/>
      <c r="AY237" s="23"/>
      <c r="AZ237" s="40"/>
      <c r="BA237" s="41"/>
      <c r="BB237" s="187"/>
      <c r="BC237" s="44"/>
      <c r="BD237" s="191">
        <f t="shared" si="53"/>
        <v>0</v>
      </c>
      <c r="BE237" s="182"/>
      <c r="BF237" s="182"/>
      <c r="BG237" s="182"/>
      <c r="BH237" s="182"/>
      <c r="BI237" s="182"/>
      <c r="BJ237" s="182"/>
      <c r="BK237" s="182"/>
      <c r="BL237" s="182"/>
      <c r="BM237" s="182"/>
      <c r="BN237" s="182"/>
      <c r="BO237" s="182"/>
      <c r="BP237" s="182"/>
      <c r="BQ237" s="182"/>
      <c r="BR237" s="182"/>
      <c r="BS237" s="182"/>
      <c r="BT237" s="182"/>
    </row>
    <row r="238" spans="1:72" s="19" customFormat="1" x14ac:dyDescent="0.25">
      <c r="A238" s="218">
        <v>35223343</v>
      </c>
      <c r="B238" s="116" t="s">
        <v>5505</v>
      </c>
      <c r="C238" s="183">
        <v>14</v>
      </c>
      <c r="D238" s="23" t="str" cm="1">
        <f t="array" ref="D238">IFERROR(_xlfn.IFS(U238&lt;727,"MEET", AB238="FRRB","MEET", AB238="PSPS","MEET"),"No")</f>
        <v>MEET</v>
      </c>
      <c r="E238" s="23" t="str" cm="1">
        <f t="array" ref="E238">IFERROR(_xlfn.IFS(AM238&gt;0,"MEET", AN238&gt;0,"MEET"),"No")</f>
        <v>MEET</v>
      </c>
      <c r="F238" s="100">
        <v>2021179</v>
      </c>
      <c r="G238" s="168"/>
      <c r="H238" s="37">
        <f t="shared" si="56"/>
        <v>0.85</v>
      </c>
      <c r="I238" s="37">
        <f t="shared" si="50"/>
        <v>0.85</v>
      </c>
      <c r="J238" s="93">
        <v>2021</v>
      </c>
      <c r="K238" s="182"/>
      <c r="L238" s="182"/>
      <c r="M238" s="37">
        <v>0</v>
      </c>
      <c r="N238" s="21">
        <v>46989.9</v>
      </c>
      <c r="O238" s="183" t="s">
        <v>4870</v>
      </c>
      <c r="P238" s="22">
        <v>103751102</v>
      </c>
      <c r="Q238" s="94" t="s">
        <v>354</v>
      </c>
      <c r="R238" s="74" t="s">
        <v>353</v>
      </c>
      <c r="S238" s="38">
        <f>IFERROR(VLOOKUP(R238,[47]conductor_pz_summary_hftd_23_re!$B$2:$Q$3636,8,FALSE),0)</f>
        <v>177</v>
      </c>
      <c r="T238" s="38">
        <f>IFERROR(VLOOKUP(R238,[48]conductor_pz_summary_hftd_23_re!$B$2:$H$3636,7,0),0)/1609</f>
        <v>21.29644667592169</v>
      </c>
      <c r="U238" s="23">
        <f>IFERROR(VLOOKUP(R238,[47]conductor_pz_summary_hftd_23_re!$B$2:$Q$3636,14,FALSE),0)</f>
        <v>1288</v>
      </c>
      <c r="V238" s="23">
        <f t="shared" si="47"/>
        <v>7.2500155067644982</v>
      </c>
      <c r="W238" s="23">
        <f>IFERROR(VLOOKUP(R238,[47]conductor_pz_summary_hftd_23_re!$B$2:$Q$3636,13,FALSE),0)</f>
        <v>4.0960539586240102E-2</v>
      </c>
      <c r="X238" s="73">
        <f>IFERROR(VLOOKUP(R238,conductor_pz_summary_hftd_23_re!$B$2:$N$3636,13,FALSE),0)</f>
        <v>1326</v>
      </c>
      <c r="Y238" s="182">
        <f t="shared" si="48"/>
        <v>0.28647445941487254</v>
      </c>
      <c r="Z238" s="182"/>
      <c r="AA238" s="183" t="s">
        <v>4871</v>
      </c>
      <c r="AB238" s="183" t="s">
        <v>5171</v>
      </c>
      <c r="AC238" s="94" t="s">
        <v>5455</v>
      </c>
      <c r="AD238" s="94" t="s">
        <v>5215</v>
      </c>
      <c r="AE238" s="94" t="s">
        <v>5210</v>
      </c>
      <c r="AF238" s="94" t="s">
        <v>4875</v>
      </c>
      <c r="AG238" s="183">
        <v>5793918</v>
      </c>
      <c r="AH238" s="183" t="s">
        <v>5587</v>
      </c>
      <c r="AI238" s="183">
        <v>120255838</v>
      </c>
      <c r="AJ238" s="183">
        <v>35223343</v>
      </c>
      <c r="AK238" s="183" t="s">
        <v>6063</v>
      </c>
      <c r="AL238" s="161">
        <v>0</v>
      </c>
      <c r="AM238" s="161">
        <v>4488</v>
      </c>
      <c r="AN238" s="161">
        <v>0</v>
      </c>
      <c r="AO238" s="161">
        <v>0</v>
      </c>
      <c r="AP238" s="182"/>
      <c r="AQ238" s="39" t="s">
        <v>6062</v>
      </c>
      <c r="AR238" s="182">
        <f>AS238*5280</f>
        <v>4488</v>
      </c>
      <c r="AS238" s="183">
        <v>0.85</v>
      </c>
      <c r="AT238" s="92">
        <v>1338480</v>
      </c>
      <c r="AU238" s="182"/>
      <c r="AV238" s="182"/>
      <c r="AW238" s="182"/>
      <c r="AX238" s="182"/>
      <c r="AY238" s="23"/>
      <c r="AZ238" s="40"/>
      <c r="BA238" s="41"/>
      <c r="BB238" s="187"/>
      <c r="BC238" s="44"/>
      <c r="BD238" s="191">
        <f t="shared" si="53"/>
        <v>0</v>
      </c>
      <c r="BE238" s="182"/>
      <c r="BF238" s="182"/>
      <c r="BG238" s="182"/>
      <c r="BH238" s="182"/>
      <c r="BI238" s="182"/>
      <c r="BJ238" s="182"/>
      <c r="BK238" s="182"/>
      <c r="BL238" s="182"/>
      <c r="BM238" s="182"/>
      <c r="BN238" s="182"/>
      <c r="BO238" s="182"/>
      <c r="BP238" s="182"/>
      <c r="BQ238" s="182"/>
      <c r="BR238" s="182"/>
      <c r="BS238" s="182"/>
      <c r="BT238" s="182"/>
    </row>
    <row r="239" spans="1:72" s="19" customFormat="1" ht="15" customHeight="1" x14ac:dyDescent="0.25">
      <c r="A239" s="218">
        <v>35229043</v>
      </c>
      <c r="B239" s="116" t="s">
        <v>5505</v>
      </c>
      <c r="C239" s="183">
        <v>7</v>
      </c>
      <c r="D239" s="23" t="str" cm="1">
        <f t="array" ref="D239">IFERROR(_xlfn.IFS(U239&lt;727,"MEET", AB239="FRRB","MEET", AB239="PSPS","MEET"),"No")</f>
        <v>MEET</v>
      </c>
      <c r="E239" s="23" t="str" cm="1">
        <f t="array" ref="E239">IFERROR(_xlfn.IFS(AM239&gt;0,"MEET", AN239&gt;0,"MEET"),"No")</f>
        <v>MEET</v>
      </c>
      <c r="F239" s="100">
        <v>2021180</v>
      </c>
      <c r="G239" s="168"/>
      <c r="H239" s="37">
        <f t="shared" si="56"/>
        <v>0.4134469696969697</v>
      </c>
      <c r="I239" s="37">
        <f t="shared" si="50"/>
        <v>0.4134469696969697</v>
      </c>
      <c r="J239" s="93">
        <v>2021</v>
      </c>
      <c r="K239" s="182"/>
      <c r="L239" s="182"/>
      <c r="M239" s="37">
        <v>0</v>
      </c>
      <c r="N239" s="21">
        <v>0</v>
      </c>
      <c r="O239" s="74" t="s">
        <v>4878</v>
      </c>
      <c r="P239" s="22">
        <v>102911103</v>
      </c>
      <c r="Q239" s="94" t="s">
        <v>4762</v>
      </c>
      <c r="R239" s="74" t="s">
        <v>4765</v>
      </c>
      <c r="S239" s="38">
        <f>IFERROR(VLOOKUP(R239,[47]conductor_pz_summary_hftd_23_re!$B$2:$Q$3636,8,FALSE),0)</f>
        <v>259</v>
      </c>
      <c r="T239" s="38">
        <f>IFERROR(VLOOKUP(R239,[48]conductor_pz_summary_hftd_23_re!$B$2:$H$3636,7,0),0)/1609</f>
        <v>22.416802532658608</v>
      </c>
      <c r="U239" s="23">
        <f>IFERROR(VLOOKUP(R239,[47]conductor_pz_summary_hftd_23_re!$B$2:$Q$3636,14,FALSE),0)</f>
        <v>1849</v>
      </c>
      <c r="V239" s="23">
        <f t="shared" si="47"/>
        <v>3.3188150936835816</v>
      </c>
      <c r="W239" s="23">
        <f>IFERROR(VLOOKUP(R239,[47]conductor_pz_summary_hftd_23_re!$B$2:$Q$3636,13,FALSE),0)</f>
        <v>1.28139578906702E-2</v>
      </c>
      <c r="X239" s="160">
        <f>IFERROR(VLOOKUP(R239,conductor_pz_summary_hftd_23_re!$B$2:$N$3636,13,FALSE),0)</f>
        <v>1756</v>
      </c>
      <c r="Y239" s="182">
        <f t="shared" si="48"/>
        <v>6.0598852180380629E-2</v>
      </c>
      <c r="Z239" s="182"/>
      <c r="AA239" s="183" t="s">
        <v>4871</v>
      </c>
      <c r="AB239" s="183" t="s">
        <v>5171</v>
      </c>
      <c r="AC239" s="94" t="s">
        <v>5455</v>
      </c>
      <c r="AD239" s="94" t="s">
        <v>5215</v>
      </c>
      <c r="AE239" s="94" t="s">
        <v>5210</v>
      </c>
      <c r="AF239" s="94" t="s">
        <v>4875</v>
      </c>
      <c r="AG239" s="183">
        <v>5795419</v>
      </c>
      <c r="AH239" s="183" t="s">
        <v>6317</v>
      </c>
      <c r="AI239" s="183">
        <v>120493696</v>
      </c>
      <c r="AJ239" s="183">
        <v>35229043</v>
      </c>
      <c r="AK239" s="183" t="s">
        <v>6318</v>
      </c>
      <c r="AL239" s="161"/>
      <c r="AM239" s="161">
        <v>2183</v>
      </c>
      <c r="AN239" s="161"/>
      <c r="AO239" s="161"/>
      <c r="AP239" s="182"/>
      <c r="AQ239" s="39"/>
      <c r="AR239" s="182"/>
      <c r="AS239" s="183"/>
      <c r="AT239" s="92"/>
      <c r="AU239" s="182"/>
      <c r="AV239" s="182"/>
      <c r="AW239" s="182"/>
      <c r="AX239" s="182"/>
      <c r="AY239" s="23"/>
      <c r="AZ239" s="40"/>
      <c r="BA239" s="41"/>
      <c r="BB239" s="187"/>
      <c r="BC239" s="44"/>
      <c r="BD239" s="191">
        <f t="shared" si="53"/>
        <v>0</v>
      </c>
      <c r="BE239" s="182"/>
      <c r="BF239" s="182"/>
      <c r="BG239" s="182"/>
      <c r="BH239" s="182"/>
      <c r="BI239" s="182"/>
      <c r="BJ239" s="182"/>
      <c r="BK239" s="182"/>
      <c r="BL239" s="182"/>
      <c r="BM239" s="182"/>
      <c r="BN239" s="182"/>
      <c r="BO239" s="182"/>
      <c r="BP239" s="182"/>
      <c r="BQ239" s="182"/>
      <c r="BR239" s="182"/>
      <c r="BS239" s="182"/>
      <c r="BT239" s="182"/>
    </row>
    <row r="240" spans="1:72" s="19" customFormat="1" x14ac:dyDescent="0.25">
      <c r="A240" s="218">
        <v>35223344</v>
      </c>
      <c r="B240" s="116" t="s">
        <v>5505</v>
      </c>
      <c r="C240" s="183">
        <v>14</v>
      </c>
      <c r="D240" s="23" t="str" cm="1">
        <f t="array" ref="D240">IFERROR(_xlfn.IFS(U240&lt;727,"MEET", AB240="FRRB","MEET", AB240="PSPS","MEET"),"No")</f>
        <v>MEET</v>
      </c>
      <c r="E240" s="23" t="str" cm="1">
        <f t="array" ref="E240">IFERROR(_xlfn.IFS(AM240&gt;0,"MEET", AN240&gt;0,"MEET"),"No")</f>
        <v>MEET</v>
      </c>
      <c r="F240" s="100">
        <v>2021181</v>
      </c>
      <c r="G240" s="168"/>
      <c r="H240" s="37">
        <f t="shared" si="56"/>
        <v>1.72</v>
      </c>
      <c r="I240" s="37">
        <f t="shared" si="50"/>
        <v>1.72</v>
      </c>
      <c r="J240" s="93">
        <v>2021</v>
      </c>
      <c r="K240" s="182"/>
      <c r="L240" s="182"/>
      <c r="M240" s="37">
        <v>0</v>
      </c>
      <c r="N240" s="21">
        <v>182107.54</v>
      </c>
      <c r="O240" s="183" t="s">
        <v>4870</v>
      </c>
      <c r="P240" s="22">
        <v>102911103</v>
      </c>
      <c r="Q240" s="94" t="s">
        <v>4762</v>
      </c>
      <c r="R240" s="74" t="s">
        <v>4765</v>
      </c>
      <c r="S240" s="38">
        <f>IFERROR(VLOOKUP(R240,[47]conductor_pz_summary_hftd_23_re!$B$2:$Q$3636,8,FALSE),0)</f>
        <v>259</v>
      </c>
      <c r="T240" s="38">
        <f>IFERROR(VLOOKUP(R240,[48]conductor_pz_summary_hftd_23_re!$B$2:$H$3636,7,0),0)/1609</f>
        <v>22.416802532658608</v>
      </c>
      <c r="U240" s="23">
        <f>IFERROR(VLOOKUP(R240,[47]conductor_pz_summary_hftd_23_re!$B$2:$Q$3636,14,FALSE),0)</f>
        <v>1849</v>
      </c>
      <c r="V240" s="23">
        <f t="shared" si="47"/>
        <v>3.3188150936835816</v>
      </c>
      <c r="W240" s="23">
        <f>IFERROR(VLOOKUP(R240,[47]conductor_pz_summary_hftd_23_re!$B$2:$Q$3636,13,FALSE),0)</f>
        <v>1.28139578906702E-2</v>
      </c>
      <c r="X240" s="73">
        <f>IFERROR(VLOOKUP(R240,conductor_pz_summary_hftd_23_re!$B$2:$N$3636,13,FALSE),0)</f>
        <v>1756</v>
      </c>
      <c r="Y240" s="182">
        <f t="shared" si="48"/>
        <v>0.25210010809040068</v>
      </c>
      <c r="Z240" s="182"/>
      <c r="AA240" s="183" t="s">
        <v>4871</v>
      </c>
      <c r="AB240" s="183" t="s">
        <v>5171</v>
      </c>
      <c r="AC240" s="94" t="s">
        <v>5455</v>
      </c>
      <c r="AD240" s="94" t="s">
        <v>5215</v>
      </c>
      <c r="AE240" s="94" t="s">
        <v>5210</v>
      </c>
      <c r="AF240" s="94" t="s">
        <v>4875</v>
      </c>
      <c r="AG240" s="183">
        <v>5793918</v>
      </c>
      <c r="AH240" s="183" t="s">
        <v>5588</v>
      </c>
      <c r="AI240" s="183">
        <v>120255980</v>
      </c>
      <c r="AJ240" s="183">
        <v>35223344</v>
      </c>
      <c r="AK240" s="183" t="s">
        <v>6059</v>
      </c>
      <c r="AL240" s="161">
        <v>0</v>
      </c>
      <c r="AM240" s="161">
        <v>9081.6</v>
      </c>
      <c r="AN240" s="161">
        <v>0</v>
      </c>
      <c r="AO240" s="161">
        <v>0</v>
      </c>
      <c r="AP240" s="182"/>
      <c r="AQ240" s="39" t="s">
        <v>6058</v>
      </c>
      <c r="AR240" s="182">
        <f t="shared" ref="AR240:AR246" si="57">AS240*5280</f>
        <v>9081.6</v>
      </c>
      <c r="AS240" s="183">
        <v>1.72</v>
      </c>
      <c r="AT240" s="92">
        <v>3007400</v>
      </c>
      <c r="AU240" s="182"/>
      <c r="AV240" s="182"/>
      <c r="AW240" s="182"/>
      <c r="AX240" s="182"/>
      <c r="AY240" s="23"/>
      <c r="AZ240" s="40"/>
      <c r="BA240" s="41"/>
      <c r="BB240" s="187"/>
      <c r="BC240" s="44"/>
      <c r="BD240" s="191">
        <f t="shared" si="53"/>
        <v>0</v>
      </c>
      <c r="BE240" s="182"/>
      <c r="BF240" s="39" t="s">
        <v>6385</v>
      </c>
      <c r="BG240" s="182"/>
      <c r="BH240" s="182"/>
      <c r="BI240" s="182"/>
      <c r="BJ240" s="182"/>
      <c r="BK240" s="182"/>
      <c r="BL240" s="182"/>
      <c r="BM240" s="182"/>
      <c r="BN240" s="182"/>
      <c r="BO240" s="182"/>
      <c r="BP240" s="182"/>
      <c r="BQ240" s="182"/>
      <c r="BR240" s="182"/>
      <c r="BS240" s="182"/>
      <c r="BT240" s="182"/>
    </row>
    <row r="241" spans="1:72" s="19" customFormat="1" x14ac:dyDescent="0.25">
      <c r="A241" s="218">
        <v>35223345</v>
      </c>
      <c r="B241" s="116" t="s">
        <v>5505</v>
      </c>
      <c r="C241" s="183">
        <v>19</v>
      </c>
      <c r="D241" s="23" t="str" cm="1">
        <f t="array" ref="D241">IFERROR(_xlfn.IFS(U241&lt;727,"MEET", AB241="FRRB","MEET", AB241="PSPS","MEET"),"No")</f>
        <v>MEET</v>
      </c>
      <c r="E241" s="23" t="str" cm="1">
        <f t="array" ref="E241">IFERROR(_xlfn.IFS(AM241&gt;0,"MEET", AN241&gt;0,"MEET"),"No")</f>
        <v>MEET</v>
      </c>
      <c r="F241" s="100">
        <v>2021182</v>
      </c>
      <c r="G241" s="168"/>
      <c r="H241" s="37">
        <f t="shared" si="56"/>
        <v>2.4900000000000002</v>
      </c>
      <c r="I241" s="37">
        <f t="shared" si="50"/>
        <v>2.4900000000000002</v>
      </c>
      <c r="J241" s="93">
        <v>2021</v>
      </c>
      <c r="K241" s="182"/>
      <c r="L241" s="182"/>
      <c r="M241" s="37">
        <v>0</v>
      </c>
      <c r="N241" s="21">
        <v>786926.39</v>
      </c>
      <c r="O241" s="183" t="s">
        <v>5321</v>
      </c>
      <c r="P241" s="22">
        <v>102911103</v>
      </c>
      <c r="Q241" s="94" t="s">
        <v>4762</v>
      </c>
      <c r="R241" s="74" t="s">
        <v>4766</v>
      </c>
      <c r="S241" s="38">
        <f>IFERROR(VLOOKUP(R241,[47]conductor_pz_summary_hftd_23_re!$B$2:$Q$3636,8,FALSE),0)</f>
        <v>217</v>
      </c>
      <c r="T241" s="38">
        <f>IFERROR(VLOOKUP(R241,[48]conductor_pz_summary_hftd_23_re!$B$2:$H$3636,7,0),0)/1609</f>
        <v>23.781496395420383</v>
      </c>
      <c r="U241" s="23">
        <f>IFERROR(VLOOKUP(R241,[47]conductor_pz_summary_hftd_23_re!$B$2:$Q$3636,14,FALSE),0)</f>
        <v>1299</v>
      </c>
      <c r="V241" s="23">
        <f t="shared" si="47"/>
        <v>8.7412442609618246</v>
      </c>
      <c r="W241" s="23">
        <f>IFERROR(VLOOKUP(R241,[47]conductor_pz_summary_hftd_23_re!$B$2:$Q$3636,13,FALSE),0)</f>
        <v>4.0282231617335601E-2</v>
      </c>
      <c r="X241" s="73">
        <f>IFERROR(VLOOKUP(R241,conductor_pz_summary_hftd_23_re!$B$2:$N$3636,13,FALSE),0)</f>
        <v>1128</v>
      </c>
      <c r="Y241" s="182">
        <f t="shared" si="48"/>
        <v>0.90608432999390709</v>
      </c>
      <c r="Z241" s="182"/>
      <c r="AA241" s="183" t="s">
        <v>4871</v>
      </c>
      <c r="AB241" s="183" t="s">
        <v>5171</v>
      </c>
      <c r="AC241" s="94" t="s">
        <v>5455</v>
      </c>
      <c r="AD241" s="94" t="s">
        <v>5215</v>
      </c>
      <c r="AE241" s="94" t="s">
        <v>5210</v>
      </c>
      <c r="AF241" s="94" t="s">
        <v>4875</v>
      </c>
      <c r="AG241" s="183">
        <v>5793918</v>
      </c>
      <c r="AH241" s="183" t="s">
        <v>5589</v>
      </c>
      <c r="AI241" s="183">
        <v>120255982</v>
      </c>
      <c r="AJ241" s="183">
        <v>35223345</v>
      </c>
      <c r="AK241" s="183" t="s">
        <v>6061</v>
      </c>
      <c r="AL241" s="161">
        <v>0</v>
      </c>
      <c r="AM241" s="161">
        <v>13147.2</v>
      </c>
      <c r="AN241" s="161">
        <v>0</v>
      </c>
      <c r="AO241" s="161">
        <v>0</v>
      </c>
      <c r="AP241" s="182"/>
      <c r="AQ241" s="39" t="s">
        <v>6060</v>
      </c>
      <c r="AR241" s="182">
        <f t="shared" si="57"/>
        <v>13147.2</v>
      </c>
      <c r="AS241" s="183">
        <v>2.4900000000000002</v>
      </c>
      <c r="AT241" s="92">
        <v>4312040</v>
      </c>
      <c r="AU241" s="182"/>
      <c r="AV241" s="182"/>
      <c r="AW241" s="182"/>
      <c r="AX241" s="182"/>
      <c r="AY241" s="23"/>
      <c r="AZ241" s="40"/>
      <c r="BA241" s="173"/>
      <c r="BB241" s="188"/>
      <c r="BC241" s="189"/>
      <c r="BD241" s="191">
        <f t="shared" si="53"/>
        <v>0</v>
      </c>
      <c r="BE241" s="48" t="s">
        <v>6377</v>
      </c>
      <c r="BF241" s="210" t="s">
        <v>6568</v>
      </c>
      <c r="BG241" s="182"/>
      <c r="BH241" s="182"/>
      <c r="BI241" s="182"/>
      <c r="BJ241" s="182"/>
      <c r="BK241" s="182"/>
      <c r="BL241" s="182"/>
      <c r="BM241" s="182"/>
      <c r="BN241" s="182"/>
      <c r="BO241" s="182"/>
      <c r="BP241" s="182"/>
      <c r="BQ241" s="182"/>
      <c r="BR241" s="182"/>
      <c r="BS241" s="182"/>
      <c r="BT241" s="182"/>
    </row>
    <row r="242" spans="1:72" s="19" customFormat="1" x14ac:dyDescent="0.25">
      <c r="A242" s="218">
        <v>35225821</v>
      </c>
      <c r="B242" s="116" t="s">
        <v>5505</v>
      </c>
      <c r="C242" s="183">
        <v>14</v>
      </c>
      <c r="D242" s="23" t="str" cm="1">
        <f t="array" ref="D242">IFERROR(_xlfn.IFS(U242&lt;727,"MEET", AB242="FRRB","MEET", AB242="PSPS","MEET"),"No")</f>
        <v>MEET</v>
      </c>
      <c r="E242" s="23" t="str" cm="1">
        <f t="array" ref="E242">IFERROR(_xlfn.IFS(AM242&gt;0,"MEET", AN242&gt;0,"MEET"),"No")</f>
        <v>MEET</v>
      </c>
      <c r="F242" s="100">
        <v>2021183</v>
      </c>
      <c r="G242" s="168"/>
      <c r="H242" s="37">
        <f t="shared" si="56"/>
        <v>0.95</v>
      </c>
      <c r="I242" s="37">
        <f t="shared" si="50"/>
        <v>0.95</v>
      </c>
      <c r="J242" s="93">
        <v>2021</v>
      </c>
      <c r="K242" s="182"/>
      <c r="L242" s="182"/>
      <c r="M242" s="37">
        <v>0</v>
      </c>
      <c r="N242" s="21">
        <v>43823.92</v>
      </c>
      <c r="O242" s="183" t="s">
        <v>4870</v>
      </c>
      <c r="P242" s="22">
        <v>103751102</v>
      </c>
      <c r="Q242" s="94" t="s">
        <v>354</v>
      </c>
      <c r="R242" s="74" t="s">
        <v>353</v>
      </c>
      <c r="S242" s="38">
        <f>IFERROR(VLOOKUP(R242,[47]conductor_pz_summary_hftd_23_re!$B$2:$Q$3636,8,FALSE),0)</f>
        <v>177</v>
      </c>
      <c r="T242" s="38">
        <f>IFERROR(VLOOKUP(R242,[48]conductor_pz_summary_hftd_23_re!$B$2:$H$3636,7,0),0)/1609</f>
        <v>21.29644667592169</v>
      </c>
      <c r="U242" s="23">
        <f>IFERROR(VLOOKUP(R242,[47]conductor_pz_summary_hftd_23_re!$B$2:$Q$3636,14,FALSE),0)</f>
        <v>1288</v>
      </c>
      <c r="V242" s="23">
        <f t="shared" si="47"/>
        <v>7.2500155067644982</v>
      </c>
      <c r="W242" s="23">
        <f>IFERROR(VLOOKUP(R242,[47]conductor_pz_summary_hftd_23_re!$B$2:$Q$3636,13,FALSE),0)</f>
        <v>4.0960539586240102E-2</v>
      </c>
      <c r="X242" s="73">
        <f>IFERROR(VLOOKUP(R242,conductor_pz_summary_hftd_23_re!$B$2:$N$3636,13,FALSE),0)</f>
        <v>1326</v>
      </c>
      <c r="Y242" s="182">
        <f t="shared" si="48"/>
        <v>0.32017733699309281</v>
      </c>
      <c r="Z242" s="182"/>
      <c r="AA242" s="182"/>
      <c r="AB242" s="183" t="s">
        <v>5171</v>
      </c>
      <c r="AC242" s="94" t="s">
        <v>5455</v>
      </c>
      <c r="AD242" s="94" t="s">
        <v>5215</v>
      </c>
      <c r="AE242" s="94" t="s">
        <v>5210</v>
      </c>
      <c r="AF242" s="94" t="s">
        <v>4875</v>
      </c>
      <c r="AG242" s="183">
        <v>5793918</v>
      </c>
      <c r="AH242" s="183" t="s">
        <v>6044</v>
      </c>
      <c r="AI242" s="183">
        <v>120424578</v>
      </c>
      <c r="AJ242" s="183">
        <v>35225821</v>
      </c>
      <c r="AK242" s="183" t="s">
        <v>6071</v>
      </c>
      <c r="AL242" s="161">
        <v>0</v>
      </c>
      <c r="AM242" s="161">
        <v>5016</v>
      </c>
      <c r="AN242" s="161">
        <v>0</v>
      </c>
      <c r="AO242" s="161">
        <v>0</v>
      </c>
      <c r="AP242" s="182"/>
      <c r="AQ242" s="39" t="s">
        <v>6070</v>
      </c>
      <c r="AR242" s="182">
        <f t="shared" si="57"/>
        <v>5016</v>
      </c>
      <c r="AS242" s="183">
        <v>0.95</v>
      </c>
      <c r="AT242" s="92">
        <v>1638720</v>
      </c>
      <c r="AU242" s="182"/>
      <c r="AV242" s="182"/>
      <c r="AW242" s="182"/>
      <c r="AX242" s="182"/>
      <c r="AY242" s="23"/>
      <c r="AZ242" s="40"/>
      <c r="BA242" s="173"/>
      <c r="BB242" s="188"/>
      <c r="BC242" s="189"/>
      <c r="BD242" s="191">
        <f t="shared" si="53"/>
        <v>0</v>
      </c>
      <c r="BE242" s="182"/>
      <c r="BF242" s="182"/>
      <c r="BG242" s="182"/>
      <c r="BH242" s="182"/>
      <c r="BI242" s="182"/>
      <c r="BJ242" s="182"/>
      <c r="BK242" s="182"/>
      <c r="BL242" s="182"/>
      <c r="BM242" s="182"/>
      <c r="BN242" s="182"/>
      <c r="BO242" s="182"/>
      <c r="BP242" s="182"/>
      <c r="BQ242" s="182"/>
      <c r="BR242" s="182"/>
      <c r="BS242" s="182"/>
      <c r="BT242" s="182"/>
    </row>
    <row r="243" spans="1:72" s="19" customFormat="1" x14ac:dyDescent="0.25">
      <c r="A243" s="220">
        <v>35225822</v>
      </c>
      <c r="B243" s="116" t="s">
        <v>5505</v>
      </c>
      <c r="C243" s="183">
        <v>14</v>
      </c>
      <c r="D243" s="23" t="str" cm="1">
        <f t="array" ref="D243">IFERROR(_xlfn.IFS(U243&lt;727,"MEET", AB243="FRRB","MEET", AB243="PSPS","MEET"),"No")</f>
        <v>MEET</v>
      </c>
      <c r="E243" s="23" t="str" cm="1">
        <f t="array" ref="E243">IFERROR(_xlfn.IFS(AM243&gt;0,"MEET", AN243&gt;0,"MEET"),"No")</f>
        <v>MEET</v>
      </c>
      <c r="F243" s="100">
        <v>2021184</v>
      </c>
      <c r="G243" s="168"/>
      <c r="H243" s="37">
        <f t="shared" si="56"/>
        <v>1.0899999999999999</v>
      </c>
      <c r="I243" s="37">
        <f t="shared" si="50"/>
        <v>1.0899999999999999</v>
      </c>
      <c r="J243" s="93">
        <v>2021</v>
      </c>
      <c r="K243" s="182"/>
      <c r="L243" s="182"/>
      <c r="M243" s="37">
        <v>0</v>
      </c>
      <c r="N243" s="21">
        <v>61032.84</v>
      </c>
      <c r="O243" s="183" t="s">
        <v>5321</v>
      </c>
      <c r="P243" s="22">
        <v>102911103</v>
      </c>
      <c r="Q243" s="94" t="s">
        <v>4762</v>
      </c>
      <c r="R243" s="74" t="s">
        <v>4765</v>
      </c>
      <c r="S243" s="38">
        <f>IFERROR(VLOOKUP(R243,[47]conductor_pz_summary_hftd_23_re!$B$2:$Q$3636,8,FALSE),0)</f>
        <v>259</v>
      </c>
      <c r="T243" s="38">
        <f>IFERROR(VLOOKUP(R243,[48]conductor_pz_summary_hftd_23_re!$B$2:$H$3636,7,0),0)/1609</f>
        <v>22.416802532658608</v>
      </c>
      <c r="U243" s="23">
        <f>IFERROR(VLOOKUP(R243,[47]conductor_pz_summary_hftd_23_re!$B$2:$Q$3636,14,FALSE),0)</f>
        <v>1849</v>
      </c>
      <c r="V243" s="23">
        <f t="shared" si="47"/>
        <v>3.3188150936835816</v>
      </c>
      <c r="W243" s="23">
        <f>IFERROR(VLOOKUP(R243,[47]conductor_pz_summary_hftd_23_re!$B$2:$Q$3636,13,FALSE),0)</f>
        <v>1.28139578906702E-2</v>
      </c>
      <c r="X243" s="73">
        <f>IFERROR(VLOOKUP(R243,conductor_pz_summary_hftd_23_re!$B$2:$N$3636,13,FALSE),0)</f>
        <v>1756</v>
      </c>
      <c r="Y243" s="182">
        <f t="shared" si="48"/>
        <v>0.15976111501077717</v>
      </c>
      <c r="Z243" s="182"/>
      <c r="AA243" s="183" t="s">
        <v>4871</v>
      </c>
      <c r="AB243" s="183" t="s">
        <v>5171</v>
      </c>
      <c r="AC243" s="94" t="s">
        <v>5455</v>
      </c>
      <c r="AD243" s="94" t="s">
        <v>5215</v>
      </c>
      <c r="AE243" s="94" t="s">
        <v>5210</v>
      </c>
      <c r="AF243" s="94" t="s">
        <v>4875</v>
      </c>
      <c r="AG243" s="183">
        <v>5793918</v>
      </c>
      <c r="AH243" s="183" t="s">
        <v>6045</v>
      </c>
      <c r="AI243" s="183">
        <v>120424579</v>
      </c>
      <c r="AJ243" s="183">
        <v>35225822</v>
      </c>
      <c r="AK243" s="183" t="s">
        <v>6064</v>
      </c>
      <c r="AL243" s="161">
        <v>0</v>
      </c>
      <c r="AM243" s="161">
        <v>5755.2</v>
      </c>
      <c r="AN243" s="161">
        <v>0</v>
      </c>
      <c r="AO243" s="161">
        <v>0</v>
      </c>
      <c r="AP243" s="182"/>
      <c r="AQ243" s="39" t="s">
        <v>6065</v>
      </c>
      <c r="AR243" s="182">
        <f t="shared" si="57"/>
        <v>5755.2000000000007</v>
      </c>
      <c r="AS243" s="183">
        <v>1.0900000000000001</v>
      </c>
      <c r="AT243" s="92">
        <v>1954920</v>
      </c>
      <c r="AU243" s="182"/>
      <c r="AV243" s="182"/>
      <c r="AW243" s="182"/>
      <c r="AX243" s="182"/>
      <c r="AY243" s="23"/>
      <c r="AZ243" s="40"/>
      <c r="BA243" s="173"/>
      <c r="BB243" s="188"/>
      <c r="BC243" s="189"/>
      <c r="BD243" s="191">
        <f t="shared" si="53"/>
        <v>0</v>
      </c>
      <c r="BE243" s="182"/>
      <c r="BF243" s="182"/>
      <c r="BG243" s="182"/>
      <c r="BH243" s="182"/>
      <c r="BI243" s="182"/>
      <c r="BJ243" s="182"/>
      <c r="BK243" s="182"/>
      <c r="BL243" s="182"/>
      <c r="BM243" s="182"/>
      <c r="BN243" s="182"/>
      <c r="BO243" s="182"/>
      <c r="BP243" s="182"/>
      <c r="BQ243" s="182"/>
      <c r="BR243" s="182"/>
      <c r="BS243" s="182"/>
      <c r="BT243" s="182"/>
    </row>
    <row r="244" spans="1:72" s="19" customFormat="1" x14ac:dyDescent="0.25">
      <c r="A244" s="218">
        <v>35225823</v>
      </c>
      <c r="B244" s="116" t="s">
        <v>5505</v>
      </c>
      <c r="C244" s="183">
        <v>19</v>
      </c>
      <c r="D244" s="23" t="str" cm="1">
        <f t="array" ref="D244">IFERROR(_xlfn.IFS(U244&lt;727,"MEET", AB244="FRRB","MEET", AB244="PSPS","MEET"),"No")</f>
        <v>MEET</v>
      </c>
      <c r="E244" s="23" t="str" cm="1">
        <f t="array" ref="E244">IFERROR(_xlfn.IFS(AM244&gt;0,"MEET", AN244&gt;0,"MEET"),"No")</f>
        <v>MEET</v>
      </c>
      <c r="F244" s="100">
        <v>2021185</v>
      </c>
      <c r="G244" s="168"/>
      <c r="H244" s="37">
        <f t="shared" si="56"/>
        <v>1.72</v>
      </c>
      <c r="I244" s="37">
        <f t="shared" si="50"/>
        <v>1.72</v>
      </c>
      <c r="J244" s="93">
        <v>2021</v>
      </c>
      <c r="K244" s="182"/>
      <c r="L244" s="182"/>
      <c r="M244" s="37">
        <v>0</v>
      </c>
      <c r="N244" s="21">
        <v>76747.3</v>
      </c>
      <c r="O244" s="183" t="s">
        <v>5321</v>
      </c>
      <c r="P244" s="22">
        <v>102911103</v>
      </c>
      <c r="Q244" s="94" t="s">
        <v>4762</v>
      </c>
      <c r="R244" s="74" t="s">
        <v>4766</v>
      </c>
      <c r="S244" s="38">
        <f>IFERROR(VLOOKUP(R244,[47]conductor_pz_summary_hftd_23_re!$B$2:$Q$3636,8,FALSE),0)</f>
        <v>217</v>
      </c>
      <c r="T244" s="38">
        <f>IFERROR(VLOOKUP(R244,[48]conductor_pz_summary_hftd_23_re!$B$2:$H$3636,7,0),0)/1609</f>
        <v>23.781496395420383</v>
      </c>
      <c r="U244" s="23">
        <f>IFERROR(VLOOKUP(R244,[47]conductor_pz_summary_hftd_23_re!$B$2:$Q$3636,14,FALSE),0)</f>
        <v>1299</v>
      </c>
      <c r="V244" s="23">
        <f t="shared" si="47"/>
        <v>8.7412442609618246</v>
      </c>
      <c r="W244" s="23">
        <f>IFERROR(VLOOKUP(R244,[47]conductor_pz_summary_hftd_23_re!$B$2:$Q$3636,13,FALSE),0)</f>
        <v>4.0282231617335601E-2</v>
      </c>
      <c r="X244" s="73">
        <f>IFERROR(VLOOKUP(R244,conductor_pz_summary_hftd_23_re!$B$2:$N$3636,13,FALSE),0)</f>
        <v>1128</v>
      </c>
      <c r="Y244" s="182">
        <f t="shared" si="48"/>
        <v>0.6258895773451888</v>
      </c>
      <c r="Z244" s="182"/>
      <c r="AA244" s="182"/>
      <c r="AB244" s="183" t="s">
        <v>5171</v>
      </c>
      <c r="AC244" s="94" t="s">
        <v>5455</v>
      </c>
      <c r="AD244" s="94" t="s">
        <v>5215</v>
      </c>
      <c r="AE244" s="94" t="s">
        <v>5210</v>
      </c>
      <c r="AF244" s="94" t="s">
        <v>4875</v>
      </c>
      <c r="AG244" s="183">
        <v>5793918</v>
      </c>
      <c r="AH244" s="183" t="s">
        <v>6046</v>
      </c>
      <c r="AI244" s="183">
        <v>120424672</v>
      </c>
      <c r="AJ244" s="183">
        <v>35225823</v>
      </c>
      <c r="AK244" s="183" t="s">
        <v>6067</v>
      </c>
      <c r="AL244" s="161">
        <v>0</v>
      </c>
      <c r="AM244" s="161">
        <v>9081.6</v>
      </c>
      <c r="AN244" s="161">
        <v>0</v>
      </c>
      <c r="AO244" s="161">
        <v>0</v>
      </c>
      <c r="AP244" s="182"/>
      <c r="AQ244" s="39" t="s">
        <v>6066</v>
      </c>
      <c r="AR244" s="182">
        <f t="shared" si="57"/>
        <v>9081.6</v>
      </c>
      <c r="AS244" s="183">
        <v>1.72</v>
      </c>
      <c r="AT244" s="92">
        <v>3005800</v>
      </c>
      <c r="AU244" s="182"/>
      <c r="AV244" s="182"/>
      <c r="AW244" s="182"/>
      <c r="AX244" s="182"/>
      <c r="AY244" s="23"/>
      <c r="AZ244" s="40"/>
      <c r="BA244" s="173"/>
      <c r="BB244" s="188"/>
      <c r="BC244" s="189"/>
      <c r="BD244" s="191">
        <f t="shared" si="53"/>
        <v>0</v>
      </c>
      <c r="BE244" s="182"/>
      <c r="BF244" s="182"/>
      <c r="BG244" s="182"/>
      <c r="BH244" s="182"/>
      <c r="BI244" s="182"/>
      <c r="BJ244" s="182"/>
      <c r="BK244" s="182"/>
      <c r="BL244" s="182"/>
      <c r="BM244" s="182"/>
      <c r="BN244" s="182"/>
      <c r="BO244" s="182"/>
      <c r="BP244" s="182"/>
      <c r="BQ244" s="182"/>
      <c r="BR244" s="182"/>
      <c r="BS244" s="182"/>
      <c r="BT244" s="182"/>
    </row>
    <row r="245" spans="1:72" s="19" customFormat="1" x14ac:dyDescent="0.25">
      <c r="A245" s="218">
        <v>35225824</v>
      </c>
      <c r="B245" s="116" t="s">
        <v>5505</v>
      </c>
      <c r="C245" s="183">
        <v>19</v>
      </c>
      <c r="D245" s="23" t="str" cm="1">
        <f t="array" ref="D245">IFERROR(_xlfn.IFS(U245&lt;727,"MEET", AB245="FRRB","MEET", AB245="PSPS","MEET"),"No")</f>
        <v>MEET</v>
      </c>
      <c r="E245" s="23" t="str" cm="1">
        <f t="array" ref="E245">IFERROR(_xlfn.IFS(AM245&gt;0,"MEET", AN245&gt;0,"MEET"),"No")</f>
        <v>MEET</v>
      </c>
      <c r="F245" s="100">
        <v>2021186</v>
      </c>
      <c r="G245" s="168"/>
      <c r="H245" s="37">
        <f t="shared" si="56"/>
        <v>2.5499999999999998</v>
      </c>
      <c r="I245" s="37">
        <f t="shared" si="50"/>
        <v>2.5499999999999998</v>
      </c>
      <c r="J245" s="93">
        <v>2021</v>
      </c>
      <c r="K245" s="182"/>
      <c r="L245" s="182"/>
      <c r="M245" s="37">
        <v>0</v>
      </c>
      <c r="N245" s="21">
        <v>550379.42000000004</v>
      </c>
      <c r="O245" s="183" t="s">
        <v>5321</v>
      </c>
      <c r="P245" s="22">
        <v>102911103</v>
      </c>
      <c r="Q245" s="94" t="s">
        <v>4762</v>
      </c>
      <c r="R245" s="74" t="s">
        <v>4764</v>
      </c>
      <c r="S245" s="38">
        <f>IFERROR(VLOOKUP(R245,[47]conductor_pz_summary_hftd_23_re!$B$2:$Q$3636,8,FALSE),0)</f>
        <v>249</v>
      </c>
      <c r="T245" s="38">
        <f>IFERROR(VLOOKUP(R245,[48]conductor_pz_summary_hftd_23_re!$B$2:$H$3636,7,0),0)/1609</f>
        <v>27.217261193432378</v>
      </c>
      <c r="U245" s="23">
        <f>IFERROR(VLOOKUP(R245,[47]conductor_pz_summary_hftd_23_re!$B$2:$Q$3636,14,FALSE),0)</f>
        <v>1176</v>
      </c>
      <c r="V245" s="23">
        <f t="shared" si="47"/>
        <v>12.465553341185188</v>
      </c>
      <c r="W245" s="23">
        <f>IFERROR(VLOOKUP(R245,[47]conductor_pz_summary_hftd_23_re!$B$2:$Q$3636,13,FALSE),0)</f>
        <v>5.0062463217611201E-2</v>
      </c>
      <c r="X245" s="73">
        <f>IFERROR(VLOOKUP(R245,conductor_pz_summary_hftd_23_re!$B$2:$N$3636,13,FALSE),0)</f>
        <v>1498</v>
      </c>
      <c r="Y245" s="182">
        <f t="shared" si="48"/>
        <v>1.156225425702115</v>
      </c>
      <c r="Z245" s="182"/>
      <c r="AA245" s="182"/>
      <c r="AB245" s="183" t="s">
        <v>5171</v>
      </c>
      <c r="AC245" s="94" t="s">
        <v>5455</v>
      </c>
      <c r="AD245" s="94" t="s">
        <v>5215</v>
      </c>
      <c r="AE245" s="94" t="s">
        <v>5210</v>
      </c>
      <c r="AF245" s="94" t="s">
        <v>4875</v>
      </c>
      <c r="AG245" s="183">
        <v>5793918</v>
      </c>
      <c r="AH245" s="183" t="s">
        <v>6047</v>
      </c>
      <c r="AI245" s="183">
        <v>120424703</v>
      </c>
      <c r="AJ245" s="183">
        <v>35225824</v>
      </c>
      <c r="AK245" s="183" t="s">
        <v>6069</v>
      </c>
      <c r="AL245" s="161">
        <v>0</v>
      </c>
      <c r="AM245" s="161">
        <v>13464</v>
      </c>
      <c r="AN245" s="161">
        <v>0</v>
      </c>
      <c r="AO245" s="161">
        <v>0</v>
      </c>
      <c r="AP245" s="182"/>
      <c r="AQ245" s="39" t="s">
        <v>6068</v>
      </c>
      <c r="AR245" s="182">
        <f t="shared" si="57"/>
        <v>13463.999999999998</v>
      </c>
      <c r="AS245" s="183">
        <v>2.5499999999999998</v>
      </c>
      <c r="AT245" s="92">
        <v>4213480</v>
      </c>
      <c r="AU245" s="182"/>
      <c r="AV245" s="182"/>
      <c r="AW245" s="182"/>
      <c r="AX245" s="182"/>
      <c r="AY245" s="23"/>
      <c r="AZ245" s="40"/>
      <c r="BA245" s="173"/>
      <c r="BB245" s="188"/>
      <c r="BC245" s="189"/>
      <c r="BD245" s="191">
        <f t="shared" si="53"/>
        <v>0</v>
      </c>
      <c r="BE245" s="182"/>
      <c r="BF245" s="182"/>
      <c r="BG245" s="182"/>
      <c r="BH245" s="182"/>
      <c r="BI245" s="182"/>
      <c r="BJ245" s="182"/>
      <c r="BK245" s="182"/>
      <c r="BL245" s="182"/>
      <c r="BM245" s="182"/>
      <c r="BN245" s="182"/>
      <c r="BO245" s="182"/>
      <c r="BP245" s="182"/>
      <c r="BQ245" s="182"/>
      <c r="BR245" s="182"/>
      <c r="BS245" s="182"/>
      <c r="BT245" s="182"/>
    </row>
    <row r="246" spans="1:72" s="19" customFormat="1" x14ac:dyDescent="0.25">
      <c r="A246" s="218">
        <v>35222234</v>
      </c>
      <c r="B246" s="116" t="s">
        <v>5503</v>
      </c>
      <c r="C246" s="183">
        <v>7</v>
      </c>
      <c r="D246" s="23" t="str" cm="1">
        <f t="array" ref="D246">IFERROR(_xlfn.IFS(U246&lt;727,"MEET", AB246="FRRB","MEET", AB246="PSPS","MEET"),"No")</f>
        <v>MEET</v>
      </c>
      <c r="E246" s="23" t="str" cm="1">
        <f t="array" ref="E246">IFERROR(_xlfn.IFS(AM246&gt;0,"MEET", AN246&gt;0,"MEET"),"No")</f>
        <v>No</v>
      </c>
      <c r="F246" s="100">
        <v>2021187</v>
      </c>
      <c r="G246" s="37"/>
      <c r="H246" s="37">
        <f t="shared" si="56"/>
        <v>2.62</v>
      </c>
      <c r="I246" s="96">
        <f t="shared" ref="I246" si="58">H246-M246</f>
        <v>2.62</v>
      </c>
      <c r="J246" s="93">
        <v>2021</v>
      </c>
      <c r="K246" s="182"/>
      <c r="L246" s="182"/>
      <c r="M246" s="37">
        <f>SUM(K246:L246)</f>
        <v>0</v>
      </c>
      <c r="N246" s="21">
        <v>0</v>
      </c>
      <c r="O246" s="74" t="s">
        <v>4878</v>
      </c>
      <c r="P246" s="98">
        <v>254421101</v>
      </c>
      <c r="Q246" s="182" t="s">
        <v>2764</v>
      </c>
      <c r="R246" s="183" t="s">
        <v>2763</v>
      </c>
      <c r="S246" s="38">
        <f>IFERROR(VLOOKUP(R246,[47]conductor_pz_summary_hftd_23_re!$B$2:$Q$3636,8,FALSE),0)</f>
        <v>435</v>
      </c>
      <c r="T246" s="201">
        <f>IFERROR(VLOOKUP(R246,[48]conductor_pz_summary_hftd_23_re!$B$2:$H$3636,7,0),0)/1609</f>
        <v>44.088589532269609</v>
      </c>
      <c r="U246" s="23">
        <f>IFERROR(VLOOKUP(R246,[47]conductor_pz_summary_hftd_23_re!$B$2:$Q$3636,14,FALSE),0)</f>
        <v>421</v>
      </c>
      <c r="V246" s="37">
        <f t="shared" si="47"/>
        <v>75.850565774570683</v>
      </c>
      <c r="W246" s="202">
        <f>IFERROR(VLOOKUP(R246,[47]conductor_pz_summary_hftd_23_re!$B$2:$Q$3636,13,FALSE),0)</f>
        <v>0.174369116723151</v>
      </c>
      <c r="X246" s="183">
        <f>IFERROR(VLOOKUP(R246,conductor_pz_summary_hftd_23_re!$B$2:$N$3636,13,FALSE),0)</f>
        <v>167</v>
      </c>
      <c r="Y246" s="203">
        <f t="shared" si="48"/>
        <v>4.462406250535218</v>
      </c>
      <c r="Z246" s="182"/>
      <c r="AA246" s="182"/>
      <c r="AB246" s="183" t="s">
        <v>5576</v>
      </c>
      <c r="AC246" s="94" t="s">
        <v>5577</v>
      </c>
      <c r="AD246" s="94" t="s">
        <v>5417</v>
      </c>
      <c r="AE246" s="94" t="s">
        <v>4944</v>
      </c>
      <c r="AF246" s="94" t="s">
        <v>4939</v>
      </c>
      <c r="AG246" s="183">
        <v>5543982</v>
      </c>
      <c r="AH246" s="183" t="s">
        <v>5575</v>
      </c>
      <c r="AI246" s="183">
        <v>120237130</v>
      </c>
      <c r="AJ246" s="183">
        <v>35222234</v>
      </c>
      <c r="AK246" s="183" t="s">
        <v>5547</v>
      </c>
      <c r="AL246" s="205">
        <v>0</v>
      </c>
      <c r="AM246" s="205">
        <v>0</v>
      </c>
      <c r="AN246" s="205">
        <v>0</v>
      </c>
      <c r="AO246" s="205">
        <f>2.62*5280</f>
        <v>13833.6</v>
      </c>
      <c r="AP246" s="182"/>
      <c r="AQ246" s="39" t="s">
        <v>5585</v>
      </c>
      <c r="AR246" s="183">
        <f t="shared" si="57"/>
        <v>13833.6</v>
      </c>
      <c r="AS246" s="183">
        <v>2.62</v>
      </c>
      <c r="AT246" s="92">
        <v>4816500</v>
      </c>
      <c r="AU246" s="182"/>
      <c r="AV246" s="182"/>
      <c r="AW246" s="182"/>
      <c r="AX246" s="182"/>
      <c r="AY246" s="23">
        <f>SUM(AV246:AX246)</f>
        <v>0</v>
      </c>
      <c r="AZ246" s="182"/>
      <c r="BA246" s="173"/>
      <c r="BB246" s="188"/>
      <c r="BC246" s="189"/>
      <c r="BD246" s="191">
        <f t="shared" si="53"/>
        <v>0</v>
      </c>
      <c r="BE246" s="182"/>
      <c r="BF246" s="182"/>
      <c r="BG246" s="182"/>
      <c r="BH246" s="182"/>
      <c r="BI246" s="182"/>
      <c r="BJ246" s="182"/>
      <c r="BK246" s="182"/>
      <c r="BL246" s="182"/>
      <c r="BM246" s="182"/>
      <c r="BN246" s="182"/>
      <c r="BO246" s="182"/>
      <c r="BP246" s="182"/>
      <c r="BQ246" s="182"/>
      <c r="BR246" s="182"/>
      <c r="BS246" s="182"/>
      <c r="BT246" s="182"/>
    </row>
    <row r="247" spans="1:72" s="19" customFormat="1" x14ac:dyDescent="0.25">
      <c r="A247" s="218">
        <v>35232298</v>
      </c>
      <c r="B247" s="116" t="s">
        <v>5505</v>
      </c>
      <c r="C247" s="183">
        <v>19</v>
      </c>
      <c r="D247" s="23" t="str" cm="1">
        <f t="array" ref="D247">IFERROR(_xlfn.IFS(U247&lt;727,"MEET", AB247="FRRB","MEET", AB247="PSPS","MEET"),"No")</f>
        <v>MEET</v>
      </c>
      <c r="E247" s="23" t="str" cm="1">
        <f t="array" ref="E247">IFERROR(_xlfn.IFS(AM247&gt;0,"MEET", AN247&gt;0,"MEET"),"No")</f>
        <v>MEET</v>
      </c>
      <c r="F247" s="100">
        <v>2021188</v>
      </c>
      <c r="G247" s="168"/>
      <c r="H247" s="37">
        <v>0.24</v>
      </c>
      <c r="I247" s="37">
        <v>0.24</v>
      </c>
      <c r="J247" s="93">
        <v>2021</v>
      </c>
      <c r="K247" s="182"/>
      <c r="L247" s="182"/>
      <c r="M247" s="37">
        <v>0</v>
      </c>
      <c r="N247" s="21"/>
      <c r="O247" s="74" t="s">
        <v>5321</v>
      </c>
      <c r="P247" s="22">
        <v>102911103</v>
      </c>
      <c r="Q247" s="94" t="s">
        <v>4762</v>
      </c>
      <c r="R247" s="74" t="s">
        <v>4765</v>
      </c>
      <c r="S247" s="38">
        <f>IFERROR(VLOOKUP(R247,[47]conductor_pz_summary_hftd_23_re!$B$2:$Q$3636,8,FALSE),0)</f>
        <v>259</v>
      </c>
      <c r="T247" s="38">
        <f>IFERROR(VLOOKUP(R247,[48]conductor_pz_summary_hftd_23_re!$B$2:$H$3636,7,0),0)/1609</f>
        <v>22.416802532658608</v>
      </c>
      <c r="U247" s="23">
        <f>IFERROR(VLOOKUP(R247,[47]conductor_pz_summary_hftd_23_re!$B$2:$Q$3636,14,FALSE),0)</f>
        <v>1849</v>
      </c>
      <c r="V247" s="23">
        <f t="shared" si="47"/>
        <v>3.3188150936835816</v>
      </c>
      <c r="W247" s="23">
        <f>IFERROR(VLOOKUP(R247,[47]conductor_pz_summary_hftd_23_re!$B$2:$Q$3636,13,FALSE),0)</f>
        <v>1.28139578906702E-2</v>
      </c>
      <c r="X247" s="183">
        <f>IFERROR(VLOOKUP(R247,conductor_pz_summary_hftd_23_re!$B$2:$N$3636,13,FALSE),0)</f>
        <v>1756</v>
      </c>
      <c r="Y247" s="182">
        <f t="shared" si="48"/>
        <v>3.5176759268427997E-2</v>
      </c>
      <c r="Z247" s="182"/>
      <c r="AA247" s="182"/>
      <c r="AB247" s="183" t="s">
        <v>5171</v>
      </c>
      <c r="AC247" s="94" t="s">
        <v>5455</v>
      </c>
      <c r="AD247" s="94" t="s">
        <v>5215</v>
      </c>
      <c r="AE247" s="94" t="s">
        <v>5210</v>
      </c>
      <c r="AF247" s="94" t="s">
        <v>4875</v>
      </c>
      <c r="AG247" s="183">
        <v>5795419</v>
      </c>
      <c r="AH247" s="183" t="s">
        <v>6588</v>
      </c>
      <c r="AI247" s="183">
        <v>120532441</v>
      </c>
      <c r="AJ247" s="183">
        <v>35232298</v>
      </c>
      <c r="AK247" s="183" t="s">
        <v>6606</v>
      </c>
      <c r="AL247" s="161"/>
      <c r="AM247" s="161">
        <f>0.24*5280</f>
        <v>1267.2</v>
      </c>
      <c r="AN247" s="161"/>
      <c r="AO247" s="161"/>
      <c r="AP247" s="182"/>
      <c r="AQ247" s="169" t="s">
        <v>6624</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x14ac:dyDescent="0.25">
      <c r="A248" s="218">
        <v>35233038</v>
      </c>
      <c r="B248" s="116" t="s">
        <v>5505</v>
      </c>
      <c r="C248" s="183">
        <v>19</v>
      </c>
      <c r="D248" s="23" t="str" cm="1">
        <f t="array" ref="D248">IFERROR(_xlfn.IFS(U248&lt;727,"MEET", AB248="FRRB","MEET", AB248="PSPS","MEET"),"No")</f>
        <v>MEET</v>
      </c>
      <c r="E248" s="23" t="str" cm="1">
        <f t="array" ref="E248">IFERROR(_xlfn.IFS(AM248&gt;0,"MEET", AN248&gt;0,"MEET"),"No")</f>
        <v>MEET</v>
      </c>
      <c r="F248" s="100">
        <v>2021189</v>
      </c>
      <c r="G248" s="168"/>
      <c r="H248" s="37">
        <v>0.23</v>
      </c>
      <c r="I248" s="37">
        <v>0.23</v>
      </c>
      <c r="J248" s="93">
        <v>2021</v>
      </c>
      <c r="K248" s="182"/>
      <c r="L248" s="182"/>
      <c r="M248" s="37">
        <v>0</v>
      </c>
      <c r="N248" s="21"/>
      <c r="O248" s="74" t="s">
        <v>5321</v>
      </c>
      <c r="P248" s="22">
        <v>102911103</v>
      </c>
      <c r="Q248" s="94" t="s">
        <v>4762</v>
      </c>
      <c r="R248" s="74" t="s">
        <v>4765</v>
      </c>
      <c r="S248" s="38">
        <f>IFERROR(VLOOKUP(R248,[47]conductor_pz_summary_hftd_23_re!$B$2:$Q$3636,8,FALSE),0)</f>
        <v>259</v>
      </c>
      <c r="T248" s="38">
        <f>IFERROR(VLOOKUP(R248,[48]conductor_pz_summary_hftd_23_re!$B$2:$H$3636,7,0),0)/1609</f>
        <v>22.416802532658608</v>
      </c>
      <c r="U248" s="23">
        <f>IFERROR(VLOOKUP(R248,[47]conductor_pz_summary_hftd_23_re!$B$2:$Q$3636,14,FALSE),0)</f>
        <v>1849</v>
      </c>
      <c r="V248" s="23">
        <f t="shared" si="47"/>
        <v>3.3188150936835816</v>
      </c>
      <c r="W248" s="23">
        <f>IFERROR(VLOOKUP(R248,[47]conductor_pz_summary_hftd_23_re!$B$2:$Q$3636,13,FALSE),0)</f>
        <v>1.28139578906702E-2</v>
      </c>
      <c r="X248" s="183">
        <f>IFERROR(VLOOKUP(R248,conductor_pz_summary_hftd_23_re!$B$2:$N$3636,13,FALSE),0)</f>
        <v>1756</v>
      </c>
      <c r="Y248" s="182">
        <f t="shared" si="48"/>
        <v>3.3711060965576835E-2</v>
      </c>
      <c r="Z248" s="182"/>
      <c r="AA248" s="182"/>
      <c r="AB248" s="183" t="s">
        <v>5171</v>
      </c>
      <c r="AC248" s="94" t="s">
        <v>5455</v>
      </c>
      <c r="AD248" s="94" t="s">
        <v>5215</v>
      </c>
      <c r="AE248" s="94" t="s">
        <v>5210</v>
      </c>
      <c r="AF248" s="94" t="s">
        <v>4875</v>
      </c>
      <c r="AG248" s="183">
        <v>5795419</v>
      </c>
      <c r="AH248" s="183" t="s">
        <v>6589</v>
      </c>
      <c r="AI248" s="183">
        <v>120542278</v>
      </c>
      <c r="AJ248" s="183">
        <v>35233038</v>
      </c>
      <c r="AK248" s="183" t="s">
        <v>6607</v>
      </c>
      <c r="AL248" s="161"/>
      <c r="AM248" s="161">
        <f>0.23*5280</f>
        <v>1214.4000000000001</v>
      </c>
      <c r="AN248" s="161"/>
      <c r="AO248" s="161"/>
      <c r="AP248" s="182"/>
      <c r="AQ248" s="169" t="s">
        <v>6624</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x14ac:dyDescent="0.25">
      <c r="A249" s="218">
        <v>35233039</v>
      </c>
      <c r="B249" s="116" t="s">
        <v>5505</v>
      </c>
      <c r="C249" s="183">
        <v>19</v>
      </c>
      <c r="D249" s="23" t="str" cm="1">
        <f t="array" ref="D249">IFERROR(_xlfn.IFS(U249&lt;727,"MEET", AB249="FRRB","MEET", AB249="PSPS","MEET"),"No")</f>
        <v>MEET</v>
      </c>
      <c r="E249" s="23" t="str" cm="1">
        <f t="array" ref="E249">IFERROR(_xlfn.IFS(AM249&gt;0,"MEET", AN249&gt;0,"MEET"),"No")</f>
        <v>MEET</v>
      </c>
      <c r="F249" s="100">
        <v>2021190</v>
      </c>
      <c r="G249" s="168"/>
      <c r="H249" s="37">
        <v>0.37</v>
      </c>
      <c r="I249" s="37">
        <v>0.37</v>
      </c>
      <c r="J249" s="93">
        <v>2021</v>
      </c>
      <c r="K249" s="182"/>
      <c r="L249" s="182"/>
      <c r="M249" s="37">
        <v>0</v>
      </c>
      <c r="N249" s="21"/>
      <c r="O249" s="74" t="s">
        <v>5321</v>
      </c>
      <c r="P249" s="22">
        <v>102911103</v>
      </c>
      <c r="Q249" s="94" t="s">
        <v>4762</v>
      </c>
      <c r="R249" s="74" t="s">
        <v>4765</v>
      </c>
      <c r="S249" s="38">
        <f>IFERROR(VLOOKUP(R249,[47]conductor_pz_summary_hftd_23_re!$B$2:$Q$3636,8,FALSE),0)</f>
        <v>259</v>
      </c>
      <c r="T249" s="38">
        <f>IFERROR(VLOOKUP(R249,[48]conductor_pz_summary_hftd_23_re!$B$2:$H$3636,7,0),0)/1609</f>
        <v>22.416802532658608</v>
      </c>
      <c r="U249" s="23">
        <f>IFERROR(VLOOKUP(R249,[47]conductor_pz_summary_hftd_23_re!$B$2:$Q$3636,14,FALSE),0)</f>
        <v>1849</v>
      </c>
      <c r="V249" s="23">
        <f t="shared" si="47"/>
        <v>3.3188150936835816</v>
      </c>
      <c r="W249" s="23">
        <f>IFERROR(VLOOKUP(R249,[47]conductor_pz_summary_hftd_23_re!$B$2:$Q$3636,13,FALSE),0)</f>
        <v>1.28139578906702E-2</v>
      </c>
      <c r="X249" s="183">
        <f>IFERROR(VLOOKUP(R249,conductor_pz_summary_hftd_23_re!$B$2:$N$3636,13,FALSE),0)</f>
        <v>1756</v>
      </c>
      <c r="Y249" s="182">
        <f t="shared" si="48"/>
        <v>5.4230837205493175E-2</v>
      </c>
      <c r="Z249" s="182"/>
      <c r="AA249" s="182"/>
      <c r="AB249" s="183" t="s">
        <v>5171</v>
      </c>
      <c r="AC249" s="94" t="s">
        <v>5455</v>
      </c>
      <c r="AD249" s="94" t="s">
        <v>5215</v>
      </c>
      <c r="AE249" s="94" t="s">
        <v>5210</v>
      </c>
      <c r="AF249" s="94" t="s">
        <v>4875</v>
      </c>
      <c r="AG249" s="183">
        <v>5795419</v>
      </c>
      <c r="AH249" s="183" t="s">
        <v>6590</v>
      </c>
      <c r="AI249" s="183">
        <v>120542500</v>
      </c>
      <c r="AJ249" s="183">
        <v>35233039</v>
      </c>
      <c r="AK249" s="183" t="s">
        <v>6608</v>
      </c>
      <c r="AL249" s="161"/>
      <c r="AM249" s="161">
        <f>0.37*5280</f>
        <v>1953.6</v>
      </c>
      <c r="AN249" s="161"/>
      <c r="AO249" s="161"/>
      <c r="AP249" s="182"/>
      <c r="AQ249" s="169" t="s">
        <v>6624</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x14ac:dyDescent="0.25">
      <c r="A250" s="218">
        <v>35233300</v>
      </c>
      <c r="B250" s="116" t="s">
        <v>5505</v>
      </c>
      <c r="C250" s="183">
        <v>19</v>
      </c>
      <c r="D250" s="23" t="str" cm="1">
        <f t="array" ref="D250">IFERROR(_xlfn.IFS(U250&lt;727,"MEET", AB250="FRRB","MEET", AB250="PSPS","MEET"),"No")</f>
        <v>MEET</v>
      </c>
      <c r="E250" s="23" t="str" cm="1">
        <f t="array" ref="E250">IFERROR(_xlfn.IFS(AM250&gt;0,"MEET", AN250&gt;0,"MEET"),"No")</f>
        <v>MEET</v>
      </c>
      <c r="F250" s="100">
        <v>2021191</v>
      </c>
      <c r="G250" s="168"/>
      <c r="H250" s="37">
        <v>0.32</v>
      </c>
      <c r="I250" s="37">
        <v>0.32</v>
      </c>
      <c r="J250" s="93">
        <v>2021</v>
      </c>
      <c r="K250" s="182"/>
      <c r="L250" s="182"/>
      <c r="M250" s="37">
        <v>0</v>
      </c>
      <c r="N250" s="21"/>
      <c r="O250" s="74" t="s">
        <v>5321</v>
      </c>
      <c r="P250" s="22">
        <v>102911103</v>
      </c>
      <c r="Q250" s="94" t="s">
        <v>4762</v>
      </c>
      <c r="R250" s="74" t="s">
        <v>4765</v>
      </c>
      <c r="S250" s="38">
        <f>IFERROR(VLOOKUP(R250,[47]conductor_pz_summary_hftd_23_re!$B$2:$Q$3636,8,FALSE),0)</f>
        <v>259</v>
      </c>
      <c r="T250" s="38">
        <f>IFERROR(VLOOKUP(R250,[48]conductor_pz_summary_hftd_23_re!$B$2:$H$3636,7,0),0)/1609</f>
        <v>22.416802532658608</v>
      </c>
      <c r="U250" s="23">
        <f>IFERROR(VLOOKUP(R250,[47]conductor_pz_summary_hftd_23_re!$B$2:$Q$3636,14,FALSE),0)</f>
        <v>1849</v>
      </c>
      <c r="V250" s="23">
        <f t="shared" si="47"/>
        <v>3.3188150936835816</v>
      </c>
      <c r="W250" s="23">
        <f>IFERROR(VLOOKUP(R250,[47]conductor_pz_summary_hftd_23_re!$B$2:$Q$3636,13,FALSE),0)</f>
        <v>1.28139578906702E-2</v>
      </c>
      <c r="X250" s="183">
        <f>IFERROR(VLOOKUP(R250,conductor_pz_summary_hftd_23_re!$B$2:$N$3636,13,FALSE),0)</f>
        <v>1756</v>
      </c>
      <c r="Y250" s="182">
        <f t="shared" si="48"/>
        <v>4.6902345691237336E-2</v>
      </c>
      <c r="Z250" s="182"/>
      <c r="AA250" s="182"/>
      <c r="AB250" s="183" t="s">
        <v>5171</v>
      </c>
      <c r="AC250" s="94" t="s">
        <v>5455</v>
      </c>
      <c r="AD250" s="94" t="s">
        <v>5215</v>
      </c>
      <c r="AE250" s="94" t="s">
        <v>5210</v>
      </c>
      <c r="AF250" s="94" t="s">
        <v>4875</v>
      </c>
      <c r="AG250" s="183">
        <v>5795419</v>
      </c>
      <c r="AH250" s="183" t="s">
        <v>6591</v>
      </c>
      <c r="AI250" s="183">
        <v>120542502</v>
      </c>
      <c r="AJ250" s="183">
        <v>35233300</v>
      </c>
      <c r="AK250" s="183" t="s">
        <v>6609</v>
      </c>
      <c r="AL250" s="161"/>
      <c r="AM250" s="161">
        <f>0.32*5280</f>
        <v>1689.6000000000001</v>
      </c>
      <c r="AN250" s="161"/>
      <c r="AO250" s="161"/>
      <c r="AP250" s="182"/>
      <c r="AQ250" s="169" t="s">
        <v>6624</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x14ac:dyDescent="0.25">
      <c r="A251" s="218">
        <v>35233301</v>
      </c>
      <c r="B251" s="116" t="s">
        <v>5505</v>
      </c>
      <c r="C251" s="183">
        <v>19</v>
      </c>
      <c r="D251" s="23" t="str" cm="1">
        <f t="array" ref="D251">IFERROR(_xlfn.IFS(U251&lt;727,"MEET", AB251="FRRB","MEET", AB251="PSPS","MEET"),"No")</f>
        <v>MEET</v>
      </c>
      <c r="E251" s="23" t="str" cm="1">
        <f t="array" ref="E251">IFERROR(_xlfn.IFS(AM251&gt;0,"MEET", AN251&gt;0,"MEET"),"No")</f>
        <v>MEET</v>
      </c>
      <c r="F251" s="100">
        <v>2021192</v>
      </c>
      <c r="G251" s="168"/>
      <c r="H251" s="37">
        <v>0.36</v>
      </c>
      <c r="I251" s="37">
        <v>0.36</v>
      </c>
      <c r="J251" s="93">
        <v>2021</v>
      </c>
      <c r="K251" s="182"/>
      <c r="L251" s="182"/>
      <c r="M251" s="37">
        <v>0</v>
      </c>
      <c r="N251" s="21"/>
      <c r="O251" s="74" t="s">
        <v>5321</v>
      </c>
      <c r="P251" s="22">
        <v>102911103</v>
      </c>
      <c r="Q251" s="94" t="s">
        <v>4762</v>
      </c>
      <c r="R251" s="74" t="s">
        <v>4765</v>
      </c>
      <c r="S251" s="38">
        <f>IFERROR(VLOOKUP(R251,[47]conductor_pz_summary_hftd_23_re!$B$2:$Q$3636,8,FALSE),0)</f>
        <v>259</v>
      </c>
      <c r="T251" s="38">
        <f>IFERROR(VLOOKUP(R251,[48]conductor_pz_summary_hftd_23_re!$B$2:$H$3636,7,0),0)/1609</f>
        <v>22.416802532658608</v>
      </c>
      <c r="U251" s="23">
        <f>IFERROR(VLOOKUP(R251,[47]conductor_pz_summary_hftd_23_re!$B$2:$Q$3636,14,FALSE),0)</f>
        <v>1849</v>
      </c>
      <c r="V251" s="23">
        <f t="shared" si="47"/>
        <v>3.3188150936835816</v>
      </c>
      <c r="W251" s="23">
        <f>IFERROR(VLOOKUP(R251,[47]conductor_pz_summary_hftd_23_re!$B$2:$Q$3636,13,FALSE),0)</f>
        <v>1.28139578906702E-2</v>
      </c>
      <c r="X251" s="183">
        <f>IFERROR(VLOOKUP(R251,conductor_pz_summary_hftd_23_re!$B$2:$N$3636,13,FALSE),0)</f>
        <v>1756</v>
      </c>
      <c r="Y251" s="182">
        <f t="shared" si="48"/>
        <v>5.2765138902642006E-2</v>
      </c>
      <c r="Z251" s="182"/>
      <c r="AA251" s="182"/>
      <c r="AB251" s="183" t="s">
        <v>5171</v>
      </c>
      <c r="AC251" s="94" t="s">
        <v>5455</v>
      </c>
      <c r="AD251" s="94" t="s">
        <v>5215</v>
      </c>
      <c r="AE251" s="94" t="s">
        <v>5210</v>
      </c>
      <c r="AF251" s="94" t="s">
        <v>4875</v>
      </c>
      <c r="AG251" s="183">
        <v>5795419</v>
      </c>
      <c r="AH251" s="183" t="s">
        <v>6592</v>
      </c>
      <c r="AI251" s="183">
        <v>120542503</v>
      </c>
      <c r="AJ251" s="183">
        <v>35233301</v>
      </c>
      <c r="AK251" s="183" t="s">
        <v>6610</v>
      </c>
      <c r="AL251" s="161"/>
      <c r="AM251" s="161">
        <f>0.36*5280</f>
        <v>1900.8</v>
      </c>
      <c r="AN251" s="161"/>
      <c r="AO251" s="161"/>
      <c r="AP251" s="182"/>
      <c r="AQ251" s="169" t="s">
        <v>6624</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x14ac:dyDescent="0.25">
      <c r="A252" s="218">
        <v>35233302</v>
      </c>
      <c r="B252" s="116" t="s">
        <v>5505</v>
      </c>
      <c r="C252" s="183">
        <v>19</v>
      </c>
      <c r="D252" s="23" t="str" cm="1">
        <f t="array" ref="D252">IFERROR(_xlfn.IFS(U252&lt;727,"MEET", AB252="FRRB","MEET", AB252="PSPS","MEET"),"No")</f>
        <v>MEET</v>
      </c>
      <c r="E252" s="23" t="str" cm="1">
        <f t="array" ref="E252">IFERROR(_xlfn.IFS(AM252&gt;0,"MEET", AN252&gt;0,"MEET"),"No")</f>
        <v>MEET</v>
      </c>
      <c r="F252" s="100">
        <v>2021193</v>
      </c>
      <c r="G252" s="168"/>
      <c r="H252" s="37">
        <v>0.12</v>
      </c>
      <c r="I252" s="37">
        <v>0.12</v>
      </c>
      <c r="J252" s="93">
        <v>2021</v>
      </c>
      <c r="K252" s="182"/>
      <c r="L252" s="182"/>
      <c r="M252" s="37">
        <v>0</v>
      </c>
      <c r="N252" s="21"/>
      <c r="O252" s="74" t="s">
        <v>5321</v>
      </c>
      <c r="P252" s="22">
        <v>102911103</v>
      </c>
      <c r="Q252" s="94" t="s">
        <v>4762</v>
      </c>
      <c r="R252" s="74" t="s">
        <v>4765</v>
      </c>
      <c r="S252" s="38">
        <f>IFERROR(VLOOKUP(R252,[47]conductor_pz_summary_hftd_23_re!$B$2:$Q$3636,8,FALSE),0)</f>
        <v>259</v>
      </c>
      <c r="T252" s="38">
        <f>IFERROR(VLOOKUP(R252,[48]conductor_pz_summary_hftd_23_re!$B$2:$H$3636,7,0),0)/1609</f>
        <v>22.416802532658608</v>
      </c>
      <c r="U252" s="23">
        <f>IFERROR(VLOOKUP(R252,[47]conductor_pz_summary_hftd_23_re!$B$2:$Q$3636,14,FALSE),0)</f>
        <v>1849</v>
      </c>
      <c r="V252" s="23">
        <f t="shared" ref="V252:V315" si="59">IFERROR(W252*S252,0)</f>
        <v>3.3188150936835816</v>
      </c>
      <c r="W252" s="23">
        <f>IFERROR(VLOOKUP(R252,[47]conductor_pz_summary_hftd_23_re!$B$2:$Q$3636,13,FALSE),0)</f>
        <v>1.28139578906702E-2</v>
      </c>
      <c r="X252" s="183">
        <f>IFERROR(VLOOKUP(R252,conductor_pz_summary_hftd_23_re!$B$2:$N$3636,13,FALSE),0)</f>
        <v>1756</v>
      </c>
      <c r="Y252" s="182">
        <f t="shared" ref="Y252:Y315" si="60">(AL252*0.62+AM252*0.99+AN252+AO252*0.99)/(SUM(AL252:AO252))*V252*(H252/T252)</f>
        <v>1.7588379634213998E-2</v>
      </c>
      <c r="Z252" s="182"/>
      <c r="AA252" s="182"/>
      <c r="AB252" s="183" t="s">
        <v>5171</v>
      </c>
      <c r="AC252" s="94" t="s">
        <v>5455</v>
      </c>
      <c r="AD252" s="94" t="s">
        <v>5215</v>
      </c>
      <c r="AE252" s="94" t="s">
        <v>5210</v>
      </c>
      <c r="AF252" s="94" t="s">
        <v>4875</v>
      </c>
      <c r="AG252" s="183">
        <v>5795419</v>
      </c>
      <c r="AH252" s="183" t="s">
        <v>6593</v>
      </c>
      <c r="AI252" s="183">
        <v>120542504</v>
      </c>
      <c r="AJ252" s="183">
        <v>35233302</v>
      </c>
      <c r="AK252" s="183" t="s">
        <v>6611</v>
      </c>
      <c r="AL252" s="161"/>
      <c r="AM252" s="161">
        <f>0.12*5280</f>
        <v>633.6</v>
      </c>
      <c r="AN252" s="161"/>
      <c r="AO252" s="161"/>
      <c r="AP252" s="182"/>
      <c r="AQ252" s="169" t="s">
        <v>6624</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x14ac:dyDescent="0.25">
      <c r="A253" s="218">
        <v>35233303</v>
      </c>
      <c r="B253" s="116" t="s">
        <v>5505</v>
      </c>
      <c r="C253" s="183">
        <v>19</v>
      </c>
      <c r="D253" s="23" t="str" cm="1">
        <f t="array" ref="D253">IFERROR(_xlfn.IFS(U253&lt;727,"MEET", AB253="FRRB","MEET", AB253="PSPS","MEET"),"No")</f>
        <v>MEET</v>
      </c>
      <c r="E253" s="23" t="str" cm="1">
        <f t="array" ref="E253">IFERROR(_xlfn.IFS(AM253&gt;0,"MEET", AN253&gt;0,"MEET"),"No")</f>
        <v>MEET</v>
      </c>
      <c r="F253" s="100">
        <v>2021194</v>
      </c>
      <c r="G253" s="168"/>
      <c r="H253" s="37">
        <v>0.09</v>
      </c>
      <c r="I253" s="37">
        <v>0.09</v>
      </c>
      <c r="J253" s="93">
        <v>2021</v>
      </c>
      <c r="K253" s="182"/>
      <c r="L253" s="182"/>
      <c r="M253" s="37">
        <v>0</v>
      </c>
      <c r="N253" s="21"/>
      <c r="O253" s="74" t="s">
        <v>5321</v>
      </c>
      <c r="P253" s="22">
        <v>102911103</v>
      </c>
      <c r="Q253" s="94" t="s">
        <v>4762</v>
      </c>
      <c r="R253" s="74" t="s">
        <v>4765</v>
      </c>
      <c r="S253" s="38">
        <f>IFERROR(VLOOKUP(R253,[47]conductor_pz_summary_hftd_23_re!$B$2:$Q$3636,8,FALSE),0)</f>
        <v>259</v>
      </c>
      <c r="T253" s="38">
        <f>IFERROR(VLOOKUP(R253,[48]conductor_pz_summary_hftd_23_re!$B$2:$H$3636,7,0),0)/1609</f>
        <v>22.416802532658608</v>
      </c>
      <c r="U253" s="23">
        <f>IFERROR(VLOOKUP(R253,[47]conductor_pz_summary_hftd_23_re!$B$2:$Q$3636,14,FALSE),0)</f>
        <v>1849</v>
      </c>
      <c r="V253" s="23">
        <f t="shared" si="59"/>
        <v>3.3188150936835816</v>
      </c>
      <c r="W253" s="23">
        <f>IFERROR(VLOOKUP(R253,[47]conductor_pz_summary_hftd_23_re!$B$2:$Q$3636,13,FALSE),0)</f>
        <v>1.28139578906702E-2</v>
      </c>
      <c r="X253" s="183">
        <f>IFERROR(VLOOKUP(R253,conductor_pz_summary_hftd_23_re!$B$2:$N$3636,13,FALSE),0)</f>
        <v>1756</v>
      </c>
      <c r="Y253" s="182">
        <f t="shared" si="60"/>
        <v>1.3191284725660501E-2</v>
      </c>
      <c r="Z253" s="182"/>
      <c r="AA253" s="182"/>
      <c r="AB253" s="183" t="s">
        <v>5171</v>
      </c>
      <c r="AC253" s="94" t="s">
        <v>5455</v>
      </c>
      <c r="AD253" s="94" t="s">
        <v>5215</v>
      </c>
      <c r="AE253" s="94" t="s">
        <v>5210</v>
      </c>
      <c r="AF253" s="94" t="s">
        <v>4875</v>
      </c>
      <c r="AG253" s="183">
        <v>5795419</v>
      </c>
      <c r="AH253" s="183" t="s">
        <v>6594</v>
      </c>
      <c r="AI253" s="183">
        <v>120542505</v>
      </c>
      <c r="AJ253" s="183">
        <v>35233303</v>
      </c>
      <c r="AK253" s="183" t="s">
        <v>6612</v>
      </c>
      <c r="AL253" s="161"/>
      <c r="AM253" s="161">
        <f>0.09*5280</f>
        <v>475.2</v>
      </c>
      <c r="AN253" s="161"/>
      <c r="AO253" s="161"/>
      <c r="AP253" s="182"/>
      <c r="AQ253" s="169" t="s">
        <v>6624</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x14ac:dyDescent="0.25">
      <c r="A254" s="218">
        <v>35233304</v>
      </c>
      <c r="B254" s="116" t="s">
        <v>5505</v>
      </c>
      <c r="C254" s="183">
        <v>19</v>
      </c>
      <c r="D254" s="23" t="str" cm="1">
        <f t="array" ref="D254">IFERROR(_xlfn.IFS(U254&lt;727,"MEET", AB254="FRRB","MEET", AB254="PSPS","MEET"),"No")</f>
        <v>MEET</v>
      </c>
      <c r="E254" s="23" t="str" cm="1">
        <f t="array" ref="E254">IFERROR(_xlfn.IFS(AM254&gt;0,"MEET", AN254&gt;0,"MEET"),"No")</f>
        <v>MEET</v>
      </c>
      <c r="F254" s="100">
        <v>2021195</v>
      </c>
      <c r="G254" s="168"/>
      <c r="H254" s="37">
        <v>0.3</v>
      </c>
      <c r="I254" s="37">
        <v>0.3</v>
      </c>
      <c r="J254" s="93">
        <v>2021</v>
      </c>
      <c r="K254" s="182"/>
      <c r="L254" s="182"/>
      <c r="M254" s="37">
        <v>0</v>
      </c>
      <c r="N254" s="21"/>
      <c r="O254" s="74" t="s">
        <v>5321</v>
      </c>
      <c r="P254" s="22">
        <v>102911103</v>
      </c>
      <c r="Q254" s="94" t="s">
        <v>4762</v>
      </c>
      <c r="R254" s="74" t="s">
        <v>4765</v>
      </c>
      <c r="S254" s="38">
        <f>IFERROR(VLOOKUP(R254,[47]conductor_pz_summary_hftd_23_re!$B$2:$Q$3636,8,FALSE),0)</f>
        <v>259</v>
      </c>
      <c r="T254" s="38">
        <f>IFERROR(VLOOKUP(R254,[48]conductor_pz_summary_hftd_23_re!$B$2:$H$3636,7,0),0)/1609</f>
        <v>22.416802532658608</v>
      </c>
      <c r="U254" s="23">
        <f>IFERROR(VLOOKUP(R254,[47]conductor_pz_summary_hftd_23_re!$B$2:$Q$3636,14,FALSE),0)</f>
        <v>1849</v>
      </c>
      <c r="V254" s="23">
        <f t="shared" si="59"/>
        <v>3.3188150936835816</v>
      </c>
      <c r="W254" s="23">
        <f>IFERROR(VLOOKUP(R254,[47]conductor_pz_summary_hftd_23_re!$B$2:$Q$3636,13,FALSE),0)</f>
        <v>1.28139578906702E-2</v>
      </c>
      <c r="X254" s="183">
        <f>IFERROR(VLOOKUP(R254,conductor_pz_summary_hftd_23_re!$B$2:$N$3636,13,FALSE),0)</f>
        <v>1756</v>
      </c>
      <c r="Y254" s="182">
        <f t="shared" si="60"/>
        <v>4.3970949085535005E-2</v>
      </c>
      <c r="Z254" s="182"/>
      <c r="AA254" s="182"/>
      <c r="AB254" s="183" t="s">
        <v>5171</v>
      </c>
      <c r="AC254" s="94" t="s">
        <v>5455</v>
      </c>
      <c r="AD254" s="94" t="s">
        <v>5215</v>
      </c>
      <c r="AE254" s="94" t="s">
        <v>5210</v>
      </c>
      <c r="AF254" s="94" t="s">
        <v>4875</v>
      </c>
      <c r="AG254" s="183">
        <v>5795419</v>
      </c>
      <c r="AH254" s="183" t="s">
        <v>6595</v>
      </c>
      <c r="AI254" s="183">
        <v>120542506</v>
      </c>
      <c r="AJ254" s="183">
        <v>35233304</v>
      </c>
      <c r="AK254" s="183" t="s">
        <v>6613</v>
      </c>
      <c r="AL254" s="161"/>
      <c r="AM254" s="161">
        <f>0.3*5280</f>
        <v>1584</v>
      </c>
      <c r="AN254" s="161"/>
      <c r="AO254" s="161"/>
      <c r="AP254" s="182"/>
      <c r="AQ254" s="169" t="s">
        <v>6624</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x14ac:dyDescent="0.25">
      <c r="A255" s="218">
        <v>35233305</v>
      </c>
      <c r="B255" s="116" t="s">
        <v>5505</v>
      </c>
      <c r="C255" s="183">
        <v>19</v>
      </c>
      <c r="D255" s="23" t="str" cm="1">
        <f t="array" ref="D255">IFERROR(_xlfn.IFS(U255&lt;727,"MEET", AB255="FRRB","MEET", AB255="PSPS","MEET"),"No")</f>
        <v>MEET</v>
      </c>
      <c r="E255" s="23" t="str" cm="1">
        <f t="array" ref="E255">IFERROR(_xlfn.IFS(AM255&gt;0,"MEET", AN255&gt;0,"MEET"),"No")</f>
        <v>MEET</v>
      </c>
      <c r="F255" s="100">
        <v>2021196</v>
      </c>
      <c r="G255" s="168"/>
      <c r="H255" s="37">
        <v>0.28999999999999998</v>
      </c>
      <c r="I255" s="37">
        <v>0.28999999999999998</v>
      </c>
      <c r="J255" s="93">
        <v>2021</v>
      </c>
      <c r="K255" s="182"/>
      <c r="L255" s="182"/>
      <c r="M255" s="37">
        <v>0</v>
      </c>
      <c r="N255" s="21"/>
      <c r="O255" s="74" t="s">
        <v>5321</v>
      </c>
      <c r="P255" s="22">
        <v>102911103</v>
      </c>
      <c r="Q255" s="94" t="s">
        <v>4762</v>
      </c>
      <c r="R255" s="74" t="s">
        <v>4765</v>
      </c>
      <c r="S255" s="38">
        <f>IFERROR(VLOOKUP(R255,[47]conductor_pz_summary_hftd_23_re!$B$2:$Q$3636,8,FALSE),0)</f>
        <v>259</v>
      </c>
      <c r="T255" s="38">
        <f>IFERROR(VLOOKUP(R255,[48]conductor_pz_summary_hftd_23_re!$B$2:$H$3636,7,0),0)/1609</f>
        <v>22.416802532658608</v>
      </c>
      <c r="U255" s="23">
        <f>IFERROR(VLOOKUP(R255,[47]conductor_pz_summary_hftd_23_re!$B$2:$Q$3636,14,FALSE),0)</f>
        <v>1849</v>
      </c>
      <c r="V255" s="23">
        <f t="shared" si="59"/>
        <v>3.3188150936835816</v>
      </c>
      <c r="W255" s="23">
        <f>IFERROR(VLOOKUP(R255,[47]conductor_pz_summary_hftd_23_re!$B$2:$Q$3636,13,FALSE),0)</f>
        <v>1.28139578906702E-2</v>
      </c>
      <c r="X255" s="183">
        <f>IFERROR(VLOOKUP(R255,conductor_pz_summary_hftd_23_re!$B$2:$N$3636,13,FALSE),0)</f>
        <v>1756</v>
      </c>
      <c r="Y255" s="182">
        <f t="shared" si="60"/>
        <v>4.2505250782683843E-2</v>
      </c>
      <c r="Z255" s="182"/>
      <c r="AA255" s="182"/>
      <c r="AB255" s="183" t="s">
        <v>5171</v>
      </c>
      <c r="AC255" s="94" t="s">
        <v>5455</v>
      </c>
      <c r="AD255" s="94" t="s">
        <v>5215</v>
      </c>
      <c r="AE255" s="94" t="s">
        <v>5210</v>
      </c>
      <c r="AF255" s="94" t="s">
        <v>4875</v>
      </c>
      <c r="AG255" s="183">
        <v>5795419</v>
      </c>
      <c r="AH255" s="183" t="s">
        <v>6596</v>
      </c>
      <c r="AI255" s="183">
        <v>120542507</v>
      </c>
      <c r="AJ255" s="183">
        <v>35233305</v>
      </c>
      <c r="AK255" s="183" t="s">
        <v>6614</v>
      </c>
      <c r="AL255" s="161"/>
      <c r="AM255" s="161">
        <f>0.29*5280</f>
        <v>1531.1999999999998</v>
      </c>
      <c r="AN255" s="161"/>
      <c r="AO255" s="161"/>
      <c r="AP255" s="182"/>
      <c r="AQ255" s="169" t="s">
        <v>6624</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x14ac:dyDescent="0.25">
      <c r="A256" s="218">
        <v>35233306</v>
      </c>
      <c r="B256" s="116" t="s">
        <v>5505</v>
      </c>
      <c r="C256" s="183">
        <v>19</v>
      </c>
      <c r="D256" s="23" t="str" cm="1">
        <f t="array" ref="D256">IFERROR(_xlfn.IFS(U256&lt;727,"MEET", AB256="FRRB","MEET", AB256="PSPS","MEET"),"No")</f>
        <v>MEET</v>
      </c>
      <c r="E256" s="23" t="str" cm="1">
        <f t="array" ref="E256">IFERROR(_xlfn.IFS(AM256&gt;0,"MEET", AN256&gt;0,"MEET"),"No")</f>
        <v>MEET</v>
      </c>
      <c r="F256" s="100">
        <v>2021197</v>
      </c>
      <c r="G256" s="168"/>
      <c r="H256" s="37">
        <v>0.26</v>
      </c>
      <c r="I256" s="37">
        <v>0.26</v>
      </c>
      <c r="J256" s="93">
        <v>2021</v>
      </c>
      <c r="K256" s="182"/>
      <c r="L256" s="182"/>
      <c r="M256" s="37">
        <v>0</v>
      </c>
      <c r="N256" s="21"/>
      <c r="O256" s="74" t="s">
        <v>5321</v>
      </c>
      <c r="P256" s="22">
        <v>102911103</v>
      </c>
      <c r="Q256" s="94" t="s">
        <v>4762</v>
      </c>
      <c r="R256" s="74" t="s">
        <v>4765</v>
      </c>
      <c r="S256" s="38">
        <f>IFERROR(VLOOKUP(R256,[47]conductor_pz_summary_hftd_23_re!$B$2:$Q$3636,8,FALSE),0)</f>
        <v>259</v>
      </c>
      <c r="T256" s="38">
        <f>IFERROR(VLOOKUP(R256,[48]conductor_pz_summary_hftd_23_re!$B$2:$H$3636,7,0),0)/1609</f>
        <v>22.416802532658608</v>
      </c>
      <c r="U256" s="23">
        <f>IFERROR(VLOOKUP(R256,[47]conductor_pz_summary_hftd_23_re!$B$2:$Q$3636,14,FALSE),0)</f>
        <v>1849</v>
      </c>
      <c r="V256" s="23">
        <f t="shared" si="59"/>
        <v>3.3188150936835816</v>
      </c>
      <c r="W256" s="23">
        <f>IFERROR(VLOOKUP(R256,[47]conductor_pz_summary_hftd_23_re!$B$2:$Q$3636,13,FALSE),0)</f>
        <v>1.28139578906702E-2</v>
      </c>
      <c r="X256" s="183">
        <f>IFERROR(VLOOKUP(R256,conductor_pz_summary_hftd_23_re!$B$2:$N$3636,13,FALSE),0)</f>
        <v>1756</v>
      </c>
      <c r="Y256" s="182">
        <f t="shared" si="60"/>
        <v>3.8108155874130335E-2</v>
      </c>
      <c r="Z256" s="182"/>
      <c r="AA256" s="182"/>
      <c r="AB256" s="183" t="s">
        <v>5171</v>
      </c>
      <c r="AC256" s="94" t="s">
        <v>5455</v>
      </c>
      <c r="AD256" s="94" t="s">
        <v>5215</v>
      </c>
      <c r="AE256" s="94" t="s">
        <v>5210</v>
      </c>
      <c r="AF256" s="94" t="s">
        <v>4875</v>
      </c>
      <c r="AG256" s="183">
        <v>5795419</v>
      </c>
      <c r="AH256" s="183" t="s">
        <v>6597</v>
      </c>
      <c r="AI256" s="183">
        <v>120541535</v>
      </c>
      <c r="AJ256" s="183">
        <v>35233306</v>
      </c>
      <c r="AK256" s="183" t="s">
        <v>6615</v>
      </c>
      <c r="AL256" s="161"/>
      <c r="AM256" s="161">
        <f>0.26*5280</f>
        <v>1372.8</v>
      </c>
      <c r="AN256" s="161"/>
      <c r="AO256" s="161"/>
      <c r="AP256" s="182"/>
      <c r="AQ256" s="169" t="s">
        <v>6624</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x14ac:dyDescent="0.25">
      <c r="A257" s="218">
        <v>35233307</v>
      </c>
      <c r="B257" s="116" t="s">
        <v>5505</v>
      </c>
      <c r="C257" s="183">
        <v>19</v>
      </c>
      <c r="D257" s="23" t="str" cm="1">
        <f t="array" ref="D257">IFERROR(_xlfn.IFS(U257&lt;727,"MEET", AB257="FRRB","MEET", AB257="PSPS","MEET"),"No")</f>
        <v>MEET</v>
      </c>
      <c r="E257" s="23" t="str" cm="1">
        <f t="array" ref="E257">IFERROR(_xlfn.IFS(AM257&gt;0,"MEET", AN257&gt;0,"MEET"),"No")</f>
        <v>MEET</v>
      </c>
      <c r="F257" s="100">
        <v>2021198</v>
      </c>
      <c r="G257" s="168"/>
      <c r="H257" s="37">
        <v>0.6</v>
      </c>
      <c r="I257" s="37">
        <v>0.6</v>
      </c>
      <c r="J257" s="93">
        <v>2021</v>
      </c>
      <c r="K257" s="182"/>
      <c r="L257" s="182"/>
      <c r="M257" s="37">
        <v>0</v>
      </c>
      <c r="N257" s="21"/>
      <c r="O257" s="74" t="s">
        <v>5321</v>
      </c>
      <c r="P257" s="22">
        <v>102911103</v>
      </c>
      <c r="Q257" s="94" t="s">
        <v>4762</v>
      </c>
      <c r="R257" s="74" t="s">
        <v>4765</v>
      </c>
      <c r="S257" s="38">
        <f>IFERROR(VLOOKUP(R257,[47]conductor_pz_summary_hftd_23_re!$B$2:$Q$3636,8,FALSE),0)</f>
        <v>259</v>
      </c>
      <c r="T257" s="38">
        <f>IFERROR(VLOOKUP(R257,[48]conductor_pz_summary_hftd_23_re!$B$2:$H$3636,7,0),0)/1609</f>
        <v>22.416802532658608</v>
      </c>
      <c r="U257" s="23">
        <f>IFERROR(VLOOKUP(R257,[47]conductor_pz_summary_hftd_23_re!$B$2:$Q$3636,14,FALSE),0)</f>
        <v>1849</v>
      </c>
      <c r="V257" s="23">
        <f t="shared" si="59"/>
        <v>3.3188150936835816</v>
      </c>
      <c r="W257" s="23">
        <f>IFERROR(VLOOKUP(R257,[47]conductor_pz_summary_hftd_23_re!$B$2:$Q$3636,13,FALSE),0)</f>
        <v>1.28139578906702E-2</v>
      </c>
      <c r="X257" s="183">
        <f>IFERROR(VLOOKUP(R257,conductor_pz_summary_hftd_23_re!$B$2:$N$3636,13,FALSE),0)</f>
        <v>1756</v>
      </c>
      <c r="Y257" s="182">
        <f t="shared" si="60"/>
        <v>8.794189817107001E-2</v>
      </c>
      <c r="Z257" s="182"/>
      <c r="AA257" s="182"/>
      <c r="AB257" s="183" t="s">
        <v>5171</v>
      </c>
      <c r="AC257" s="94" t="s">
        <v>5455</v>
      </c>
      <c r="AD257" s="94" t="s">
        <v>5215</v>
      </c>
      <c r="AE257" s="94" t="s">
        <v>5210</v>
      </c>
      <c r="AF257" s="94" t="s">
        <v>4875</v>
      </c>
      <c r="AG257" s="183">
        <v>5795419</v>
      </c>
      <c r="AH257" s="183" t="s">
        <v>6598</v>
      </c>
      <c r="AI257" s="183">
        <v>120541538</v>
      </c>
      <c r="AJ257" s="183">
        <v>35233307</v>
      </c>
      <c r="AK257" s="183" t="s">
        <v>6616</v>
      </c>
      <c r="AL257" s="161"/>
      <c r="AM257" s="161">
        <f>0.6*5280</f>
        <v>3168</v>
      </c>
      <c r="AN257" s="161"/>
      <c r="AO257" s="161"/>
      <c r="AP257" s="182"/>
      <c r="AQ257" s="169" t="s">
        <v>6624</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x14ac:dyDescent="0.25">
      <c r="A258" s="218">
        <v>35233308</v>
      </c>
      <c r="B258" s="116" t="s">
        <v>5505</v>
      </c>
      <c r="C258" s="183">
        <v>19</v>
      </c>
      <c r="D258" s="23" t="str" cm="1">
        <f t="array" ref="D258">IFERROR(_xlfn.IFS(U258&lt;727,"MEET", AB258="FRRB","MEET", AB258="PSPS","MEET"),"No")</f>
        <v>MEET</v>
      </c>
      <c r="E258" s="23" t="str" cm="1">
        <f t="array" ref="E258">IFERROR(_xlfn.IFS(AM258&gt;0,"MEET", AN258&gt;0,"MEET"),"No")</f>
        <v>MEET</v>
      </c>
      <c r="F258" s="100">
        <v>2021199</v>
      </c>
      <c r="G258" s="168"/>
      <c r="H258" s="37">
        <v>0.93</v>
      </c>
      <c r="I258" s="37">
        <v>0.93</v>
      </c>
      <c r="J258" s="93">
        <v>2021</v>
      </c>
      <c r="K258" s="182"/>
      <c r="L258" s="182"/>
      <c r="M258" s="37">
        <v>0</v>
      </c>
      <c r="N258" s="21"/>
      <c r="O258" s="74" t="s">
        <v>5321</v>
      </c>
      <c r="P258" s="22">
        <v>102911103</v>
      </c>
      <c r="Q258" s="94" t="s">
        <v>4762</v>
      </c>
      <c r="R258" s="74" t="s">
        <v>4765</v>
      </c>
      <c r="S258" s="38">
        <f>IFERROR(VLOOKUP(R258,[47]conductor_pz_summary_hftd_23_re!$B$2:$Q$3636,8,FALSE),0)</f>
        <v>259</v>
      </c>
      <c r="T258" s="38">
        <f>IFERROR(VLOOKUP(R258,[48]conductor_pz_summary_hftd_23_re!$B$2:$H$3636,7,0),0)/1609</f>
        <v>22.416802532658608</v>
      </c>
      <c r="U258" s="23">
        <f>IFERROR(VLOOKUP(R258,[47]conductor_pz_summary_hftd_23_re!$B$2:$Q$3636,14,FALSE),0)</f>
        <v>1849</v>
      </c>
      <c r="V258" s="23">
        <f t="shared" si="59"/>
        <v>3.3188150936835816</v>
      </c>
      <c r="W258" s="23">
        <f>IFERROR(VLOOKUP(R258,[47]conductor_pz_summary_hftd_23_re!$B$2:$Q$3636,13,FALSE),0)</f>
        <v>1.28139578906702E-2</v>
      </c>
      <c r="X258" s="183">
        <f>IFERROR(VLOOKUP(R258,conductor_pz_summary_hftd_23_re!$B$2:$N$3636,13,FALSE),0)</f>
        <v>1756</v>
      </c>
      <c r="Y258" s="182">
        <f t="shared" si="60"/>
        <v>0.13630994216515852</v>
      </c>
      <c r="Z258" s="182"/>
      <c r="AA258" s="182"/>
      <c r="AB258" s="183" t="s">
        <v>5171</v>
      </c>
      <c r="AC258" s="94" t="s">
        <v>5455</v>
      </c>
      <c r="AD258" s="94" t="s">
        <v>5215</v>
      </c>
      <c r="AE258" s="94" t="s">
        <v>5210</v>
      </c>
      <c r="AF258" s="94" t="s">
        <v>4875</v>
      </c>
      <c r="AG258" s="183">
        <v>5795419</v>
      </c>
      <c r="AH258" s="183" t="s">
        <v>6599</v>
      </c>
      <c r="AI258" s="183">
        <v>120541539</v>
      </c>
      <c r="AJ258" s="183">
        <v>35233308</v>
      </c>
      <c r="AK258" s="183" t="s">
        <v>6617</v>
      </c>
      <c r="AL258" s="161"/>
      <c r="AM258" s="161">
        <f>0.93*5280</f>
        <v>4910.4000000000005</v>
      </c>
      <c r="AN258" s="161"/>
      <c r="AO258" s="161"/>
      <c r="AP258" s="182"/>
      <c r="AQ258" s="169" t="s">
        <v>6624</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x14ac:dyDescent="0.25">
      <c r="A259" s="218">
        <v>35233309</v>
      </c>
      <c r="B259" s="116" t="s">
        <v>5505</v>
      </c>
      <c r="C259" s="183">
        <v>19</v>
      </c>
      <c r="D259" s="23" t="str" cm="1">
        <f t="array" ref="D259">IFERROR(_xlfn.IFS(U259&lt;727,"MEET", AB259="FRRB","MEET", AB259="PSPS","MEET"),"No")</f>
        <v>MEET</v>
      </c>
      <c r="E259" s="23" t="str" cm="1">
        <f t="array" ref="E259">IFERROR(_xlfn.IFS(AM259&gt;0,"MEET", AN259&gt;0,"MEET"),"No")</f>
        <v>MEET</v>
      </c>
      <c r="F259" s="100">
        <v>2021200</v>
      </c>
      <c r="G259" s="168"/>
      <c r="H259" s="37">
        <v>0.37</v>
      </c>
      <c r="I259" s="37">
        <v>0.37</v>
      </c>
      <c r="J259" s="93">
        <v>2021</v>
      </c>
      <c r="K259" s="182"/>
      <c r="L259" s="182"/>
      <c r="M259" s="37">
        <v>0</v>
      </c>
      <c r="N259" s="21"/>
      <c r="O259" s="74" t="s">
        <v>5321</v>
      </c>
      <c r="P259" s="22">
        <v>102911103</v>
      </c>
      <c r="Q259" s="94" t="s">
        <v>4762</v>
      </c>
      <c r="R259" s="74" t="s">
        <v>4765</v>
      </c>
      <c r="S259" s="38">
        <f>IFERROR(VLOOKUP(R259,[47]conductor_pz_summary_hftd_23_re!$B$2:$Q$3636,8,FALSE),0)</f>
        <v>259</v>
      </c>
      <c r="T259" s="38">
        <f>IFERROR(VLOOKUP(R259,[48]conductor_pz_summary_hftd_23_re!$B$2:$H$3636,7,0),0)/1609</f>
        <v>22.416802532658608</v>
      </c>
      <c r="U259" s="23">
        <f>IFERROR(VLOOKUP(R259,[47]conductor_pz_summary_hftd_23_re!$B$2:$Q$3636,14,FALSE),0)</f>
        <v>1849</v>
      </c>
      <c r="V259" s="23">
        <f t="shared" si="59"/>
        <v>3.3188150936835816</v>
      </c>
      <c r="W259" s="23">
        <f>IFERROR(VLOOKUP(R259,[47]conductor_pz_summary_hftd_23_re!$B$2:$Q$3636,13,FALSE),0)</f>
        <v>1.28139578906702E-2</v>
      </c>
      <c r="X259" s="183">
        <f>IFERROR(VLOOKUP(R259,conductor_pz_summary_hftd_23_re!$B$2:$N$3636,13,FALSE),0)</f>
        <v>1756</v>
      </c>
      <c r="Y259" s="182">
        <f t="shared" si="60"/>
        <v>5.4230837205493175E-2</v>
      </c>
      <c r="Z259" s="182"/>
      <c r="AA259" s="182"/>
      <c r="AB259" s="183" t="s">
        <v>5171</v>
      </c>
      <c r="AC259" s="94" t="s">
        <v>5455</v>
      </c>
      <c r="AD259" s="94" t="s">
        <v>5215</v>
      </c>
      <c r="AE259" s="94" t="s">
        <v>5210</v>
      </c>
      <c r="AF259" s="94" t="s">
        <v>4875</v>
      </c>
      <c r="AG259" s="183">
        <v>5795419</v>
      </c>
      <c r="AH259" s="183" t="s">
        <v>6600</v>
      </c>
      <c r="AI259" s="183">
        <v>120541630</v>
      </c>
      <c r="AJ259" s="183">
        <v>35233309</v>
      </c>
      <c r="AK259" s="183" t="s">
        <v>6618</v>
      </c>
      <c r="AL259" s="161"/>
      <c r="AM259" s="161">
        <f>0.37*5280</f>
        <v>1953.6</v>
      </c>
      <c r="AN259" s="161"/>
      <c r="AO259" s="161"/>
      <c r="AP259" s="182"/>
      <c r="AQ259" s="169" t="s">
        <v>6624</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x14ac:dyDescent="0.25">
      <c r="A260" s="218">
        <v>35233310</v>
      </c>
      <c r="B260" s="116" t="s">
        <v>5505</v>
      </c>
      <c r="C260" s="183">
        <v>19</v>
      </c>
      <c r="D260" s="23" t="str" cm="1">
        <f t="array" ref="D260">IFERROR(_xlfn.IFS(U260&lt;727,"MEET", AB260="FRRB","MEET", AB260="PSPS","MEET"),"No")</f>
        <v>MEET</v>
      </c>
      <c r="E260" s="23" t="str" cm="1">
        <f t="array" ref="E260">IFERROR(_xlfn.IFS(AM260&gt;0,"MEET", AN260&gt;0,"MEET"),"No")</f>
        <v>MEET</v>
      </c>
      <c r="F260" s="100">
        <v>2021201</v>
      </c>
      <c r="G260" s="168"/>
      <c r="H260" s="37">
        <v>0.15</v>
      </c>
      <c r="I260" s="37">
        <v>0.15</v>
      </c>
      <c r="J260" s="93">
        <v>2021</v>
      </c>
      <c r="K260" s="182"/>
      <c r="L260" s="182"/>
      <c r="M260" s="37">
        <v>0</v>
      </c>
      <c r="N260" s="21"/>
      <c r="O260" s="74" t="s">
        <v>5321</v>
      </c>
      <c r="P260" s="22">
        <v>102911103</v>
      </c>
      <c r="Q260" s="94" t="s">
        <v>4762</v>
      </c>
      <c r="R260" s="74" t="s">
        <v>4765</v>
      </c>
      <c r="S260" s="38">
        <f>IFERROR(VLOOKUP(R260,[47]conductor_pz_summary_hftd_23_re!$B$2:$Q$3636,8,FALSE),0)</f>
        <v>259</v>
      </c>
      <c r="T260" s="38">
        <f>IFERROR(VLOOKUP(R260,[48]conductor_pz_summary_hftd_23_re!$B$2:$H$3636,7,0),0)/1609</f>
        <v>22.416802532658608</v>
      </c>
      <c r="U260" s="23">
        <f>IFERROR(VLOOKUP(R260,[47]conductor_pz_summary_hftd_23_re!$B$2:$Q$3636,14,FALSE),0)</f>
        <v>1849</v>
      </c>
      <c r="V260" s="23">
        <f t="shared" si="59"/>
        <v>3.3188150936835816</v>
      </c>
      <c r="W260" s="23">
        <f>IFERROR(VLOOKUP(R260,[47]conductor_pz_summary_hftd_23_re!$B$2:$Q$3636,13,FALSE),0)</f>
        <v>1.28139578906702E-2</v>
      </c>
      <c r="X260" s="183">
        <f>IFERROR(VLOOKUP(R260,conductor_pz_summary_hftd_23_re!$B$2:$N$3636,13,FALSE),0)</f>
        <v>1756</v>
      </c>
      <c r="Y260" s="182">
        <f t="shared" si="60"/>
        <v>2.1985474542767502E-2</v>
      </c>
      <c r="Z260" s="182"/>
      <c r="AA260" s="182"/>
      <c r="AB260" s="183" t="s">
        <v>5171</v>
      </c>
      <c r="AC260" s="94" t="s">
        <v>5455</v>
      </c>
      <c r="AD260" s="94" t="s">
        <v>5215</v>
      </c>
      <c r="AE260" s="94" t="s">
        <v>5210</v>
      </c>
      <c r="AF260" s="94" t="s">
        <v>4875</v>
      </c>
      <c r="AG260" s="183">
        <v>5795419</v>
      </c>
      <c r="AH260" s="183" t="s">
        <v>6601</v>
      </c>
      <c r="AI260" s="183">
        <v>120541632</v>
      </c>
      <c r="AJ260" s="183">
        <v>35233310</v>
      </c>
      <c r="AK260" s="183" t="s">
        <v>6619</v>
      </c>
      <c r="AL260" s="161"/>
      <c r="AM260" s="161">
        <f>0.15*5280</f>
        <v>792</v>
      </c>
      <c r="AN260" s="161"/>
      <c r="AO260" s="161"/>
      <c r="AP260" s="182"/>
      <c r="AQ260" s="169" t="s">
        <v>6624</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x14ac:dyDescent="0.25">
      <c r="A261" s="218">
        <v>35233311</v>
      </c>
      <c r="B261" s="116" t="s">
        <v>5505</v>
      </c>
      <c r="C261" s="183">
        <v>19</v>
      </c>
      <c r="D261" s="23" t="str" cm="1">
        <f t="array" ref="D261">IFERROR(_xlfn.IFS(U261&lt;727,"MEET", AB261="FRRB","MEET", AB261="PSPS","MEET"),"No")</f>
        <v>MEET</v>
      </c>
      <c r="E261" s="23" t="str" cm="1">
        <f t="array" ref="E261">IFERROR(_xlfn.IFS(AM261&gt;0,"MEET", AN261&gt;0,"MEET"),"No")</f>
        <v>No</v>
      </c>
      <c r="F261" s="100">
        <v>2021202</v>
      </c>
      <c r="G261" s="168"/>
      <c r="H261" s="37"/>
      <c r="I261" s="37"/>
      <c r="J261" s="93">
        <v>2021</v>
      </c>
      <c r="K261" s="182"/>
      <c r="L261" s="182"/>
      <c r="M261" s="37">
        <v>0</v>
      </c>
      <c r="N261" s="21"/>
      <c r="O261" s="74" t="s">
        <v>5321</v>
      </c>
      <c r="P261" s="22">
        <v>102911103</v>
      </c>
      <c r="Q261" s="94" t="s">
        <v>4762</v>
      </c>
      <c r="R261" s="74" t="s">
        <v>4765</v>
      </c>
      <c r="S261" s="38">
        <f>IFERROR(VLOOKUP(R261,[47]conductor_pz_summary_hftd_23_re!$B$2:$Q$3636,8,FALSE),0)</f>
        <v>259</v>
      </c>
      <c r="T261" s="38">
        <f>IFERROR(VLOOKUP(R261,[48]conductor_pz_summary_hftd_23_re!$B$2:$H$3636,7,0),0)/1609</f>
        <v>22.416802532658608</v>
      </c>
      <c r="U261" s="23">
        <f>IFERROR(VLOOKUP(R261,[47]conductor_pz_summary_hftd_23_re!$B$2:$Q$3636,14,FALSE),0)</f>
        <v>1849</v>
      </c>
      <c r="V261" s="23">
        <f t="shared" si="59"/>
        <v>3.3188150936835816</v>
      </c>
      <c r="W261" s="23">
        <f>IFERROR(VLOOKUP(R261,[47]conductor_pz_summary_hftd_23_re!$B$2:$Q$3636,13,FALSE),0)</f>
        <v>1.28139578906702E-2</v>
      </c>
      <c r="X261" s="183">
        <f>IFERROR(VLOOKUP(R261,conductor_pz_summary_hftd_23_re!$B$2:$N$3636,13,FALSE),0)</f>
        <v>1756</v>
      </c>
      <c r="Y261" s="182" t="e">
        <f t="shared" si="60"/>
        <v>#DIV/0!</v>
      </c>
      <c r="Z261" s="182"/>
      <c r="AA261" s="182"/>
      <c r="AB261" s="183" t="s">
        <v>5171</v>
      </c>
      <c r="AC261" s="94" t="s">
        <v>5455</v>
      </c>
      <c r="AD261" s="94" t="s">
        <v>5215</v>
      </c>
      <c r="AE261" s="94" t="s">
        <v>5210</v>
      </c>
      <c r="AF261" s="94" t="s">
        <v>4875</v>
      </c>
      <c r="AG261" s="183">
        <v>5795419</v>
      </c>
      <c r="AH261" s="183" t="s">
        <v>6602</v>
      </c>
      <c r="AI261" s="183">
        <v>120541633</v>
      </c>
      <c r="AJ261" s="183">
        <v>35233311</v>
      </c>
      <c r="AK261" s="183" t="s">
        <v>6620</v>
      </c>
      <c r="AL261" s="161"/>
      <c r="AM261" s="161"/>
      <c r="AN261" s="161"/>
      <c r="AO261" s="161"/>
      <c r="AP261" s="182"/>
      <c r="AQ261" s="169" t="s">
        <v>6624</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x14ac:dyDescent="0.25">
      <c r="A262" s="218">
        <v>35233312</v>
      </c>
      <c r="B262" s="116" t="s">
        <v>5505</v>
      </c>
      <c r="C262" s="183">
        <v>19</v>
      </c>
      <c r="D262" s="23" t="str" cm="1">
        <f t="array" ref="D262">IFERROR(_xlfn.IFS(U262&lt;727,"MEET", AB262="FRRB","MEET", AB262="PSPS","MEET"),"No")</f>
        <v>MEET</v>
      </c>
      <c r="E262" s="23" t="str" cm="1">
        <f t="array" ref="E262">IFERROR(_xlfn.IFS(AM262&gt;0,"MEET", AN262&gt;0,"MEET"),"No")</f>
        <v>No</v>
      </c>
      <c r="F262" s="100">
        <v>2021203</v>
      </c>
      <c r="G262" s="168"/>
      <c r="H262" s="37"/>
      <c r="I262" s="37"/>
      <c r="J262" s="93">
        <v>2021</v>
      </c>
      <c r="K262" s="182"/>
      <c r="L262" s="182"/>
      <c r="M262" s="37">
        <v>0</v>
      </c>
      <c r="N262" s="21"/>
      <c r="O262" s="74" t="s">
        <v>5321</v>
      </c>
      <c r="P262" s="22">
        <v>102911103</v>
      </c>
      <c r="Q262" s="94" t="s">
        <v>4762</v>
      </c>
      <c r="R262" s="74" t="s">
        <v>4765</v>
      </c>
      <c r="S262" s="38">
        <f>IFERROR(VLOOKUP(R262,[47]conductor_pz_summary_hftd_23_re!$B$2:$Q$3636,8,FALSE),0)</f>
        <v>259</v>
      </c>
      <c r="T262" s="38">
        <f>IFERROR(VLOOKUP(R262,[48]conductor_pz_summary_hftd_23_re!$B$2:$H$3636,7,0),0)/1609</f>
        <v>22.416802532658608</v>
      </c>
      <c r="U262" s="23">
        <f>IFERROR(VLOOKUP(R262,[47]conductor_pz_summary_hftd_23_re!$B$2:$Q$3636,14,FALSE),0)</f>
        <v>1849</v>
      </c>
      <c r="V262" s="23">
        <f t="shared" si="59"/>
        <v>3.3188150936835816</v>
      </c>
      <c r="W262" s="23">
        <f>IFERROR(VLOOKUP(R262,[47]conductor_pz_summary_hftd_23_re!$B$2:$Q$3636,13,FALSE),0)</f>
        <v>1.28139578906702E-2</v>
      </c>
      <c r="X262" s="183">
        <f>IFERROR(VLOOKUP(R262,conductor_pz_summary_hftd_23_re!$B$2:$N$3636,13,FALSE),0)</f>
        <v>1756</v>
      </c>
      <c r="Y262" s="182" t="e">
        <f t="shared" si="60"/>
        <v>#DIV/0!</v>
      </c>
      <c r="Z262" s="182"/>
      <c r="AA262" s="182"/>
      <c r="AB262" s="183" t="s">
        <v>5171</v>
      </c>
      <c r="AC262" s="94" t="s">
        <v>5455</v>
      </c>
      <c r="AD262" s="94" t="s">
        <v>5215</v>
      </c>
      <c r="AE262" s="94" t="s">
        <v>5210</v>
      </c>
      <c r="AF262" s="94" t="s">
        <v>4875</v>
      </c>
      <c r="AG262" s="183">
        <v>5795419</v>
      </c>
      <c r="AH262" s="183" t="s">
        <v>6603</v>
      </c>
      <c r="AI262" s="183">
        <v>120541634</v>
      </c>
      <c r="AJ262" s="183">
        <v>35233312</v>
      </c>
      <c r="AK262" s="183" t="s">
        <v>6621</v>
      </c>
      <c r="AL262" s="161"/>
      <c r="AM262" s="161"/>
      <c r="AN262" s="161"/>
      <c r="AO262" s="161"/>
      <c r="AP262" s="182"/>
      <c r="AQ262" s="169" t="s">
        <v>6624</v>
      </c>
      <c r="AR262" s="182"/>
      <c r="AS262" s="183"/>
      <c r="AT262" s="92"/>
      <c r="AU262" s="182"/>
      <c r="AV262" s="182"/>
      <c r="AW262" s="182"/>
      <c r="AX262" s="182"/>
      <c r="AY262" s="23"/>
      <c r="AZ262" s="40"/>
      <c r="BA262" s="173"/>
      <c r="BB262" s="188"/>
      <c r="BC262" s="189"/>
      <c r="BD262" s="191"/>
      <c r="BE262" s="182"/>
      <c r="BF262" s="182"/>
      <c r="BG262" s="182"/>
      <c r="BH262" s="182"/>
      <c r="BI262" s="182"/>
      <c r="BJ262" s="182"/>
      <c r="BK262" s="182"/>
      <c r="BL262" s="182"/>
      <c r="BM262" s="182"/>
      <c r="BN262" s="182"/>
      <c r="BO262" s="182"/>
      <c r="BP262" s="182"/>
      <c r="BQ262" s="182"/>
      <c r="BR262" s="182"/>
      <c r="BS262" s="182"/>
      <c r="BT262" s="182"/>
    </row>
    <row r="263" spans="1:72" s="19" customFormat="1" x14ac:dyDescent="0.25">
      <c r="A263" s="218">
        <v>35233314</v>
      </c>
      <c r="B263" s="116" t="s">
        <v>5505</v>
      </c>
      <c r="C263" s="183">
        <v>19</v>
      </c>
      <c r="D263" s="23" t="str" cm="1">
        <f t="array" ref="D263">IFERROR(_xlfn.IFS(U263&lt;727,"MEET", AB263="FRRB","MEET", AB263="PSPS","MEET"),"No")</f>
        <v>MEET</v>
      </c>
      <c r="E263" s="23" t="str" cm="1">
        <f t="array" ref="E263">IFERROR(_xlfn.IFS(AM263&gt;0,"MEET", AN263&gt;0,"MEET"),"No")</f>
        <v>No</v>
      </c>
      <c r="F263" s="100">
        <v>2021204</v>
      </c>
      <c r="G263" s="168"/>
      <c r="H263" s="37"/>
      <c r="I263" s="37"/>
      <c r="J263" s="93">
        <v>2021</v>
      </c>
      <c r="K263" s="182"/>
      <c r="L263" s="182"/>
      <c r="M263" s="37">
        <v>0</v>
      </c>
      <c r="N263" s="21"/>
      <c r="O263" s="74" t="s">
        <v>5321</v>
      </c>
      <c r="P263" s="22">
        <v>102911103</v>
      </c>
      <c r="Q263" s="94" t="s">
        <v>4762</v>
      </c>
      <c r="R263" s="74" t="s">
        <v>4765</v>
      </c>
      <c r="S263" s="38">
        <f>IFERROR(VLOOKUP(R263,[47]conductor_pz_summary_hftd_23_re!$B$2:$Q$3636,8,FALSE),0)</f>
        <v>259</v>
      </c>
      <c r="T263" s="38">
        <f>IFERROR(VLOOKUP(R263,[48]conductor_pz_summary_hftd_23_re!$B$2:$H$3636,7,0),0)/1609</f>
        <v>22.416802532658608</v>
      </c>
      <c r="U263" s="23">
        <f>IFERROR(VLOOKUP(R263,[47]conductor_pz_summary_hftd_23_re!$B$2:$Q$3636,14,FALSE),0)</f>
        <v>1849</v>
      </c>
      <c r="V263" s="23">
        <f t="shared" si="59"/>
        <v>3.3188150936835816</v>
      </c>
      <c r="W263" s="23">
        <f>IFERROR(VLOOKUP(R263,[47]conductor_pz_summary_hftd_23_re!$B$2:$Q$3636,13,FALSE),0)</f>
        <v>1.28139578906702E-2</v>
      </c>
      <c r="X263" s="183">
        <f>IFERROR(VLOOKUP(R263,conductor_pz_summary_hftd_23_re!$B$2:$N$3636,13,FALSE),0)</f>
        <v>1756</v>
      </c>
      <c r="Y263" s="182" t="e">
        <f t="shared" si="60"/>
        <v>#DIV/0!</v>
      </c>
      <c r="Z263" s="182"/>
      <c r="AA263" s="182"/>
      <c r="AB263" s="183" t="s">
        <v>5171</v>
      </c>
      <c r="AC263" s="94" t="s">
        <v>5455</v>
      </c>
      <c r="AD263" s="94" t="s">
        <v>5215</v>
      </c>
      <c r="AE263" s="94" t="s">
        <v>5210</v>
      </c>
      <c r="AF263" s="94" t="s">
        <v>4875</v>
      </c>
      <c r="AG263" s="183">
        <v>5795419</v>
      </c>
      <c r="AH263" s="183" t="s">
        <v>6604</v>
      </c>
      <c r="AI263" s="183">
        <v>120541635</v>
      </c>
      <c r="AJ263" s="183">
        <v>35233314</v>
      </c>
      <c r="AK263" s="183" t="s">
        <v>6622</v>
      </c>
      <c r="AL263" s="161"/>
      <c r="AM263" s="161"/>
      <c r="AN263" s="161"/>
      <c r="AO263" s="161"/>
      <c r="AP263" s="182"/>
      <c r="AQ263" s="169" t="s">
        <v>6624</v>
      </c>
      <c r="AR263" s="182"/>
      <c r="AS263" s="183"/>
      <c r="AT263" s="92"/>
      <c r="AU263" s="182"/>
      <c r="AV263" s="182"/>
      <c r="AW263" s="182"/>
      <c r="AX263" s="182"/>
      <c r="AY263" s="23"/>
      <c r="AZ263" s="40"/>
      <c r="BA263" s="173"/>
      <c r="BB263" s="188"/>
      <c r="BC263" s="189"/>
      <c r="BD263" s="191"/>
      <c r="BE263" s="182"/>
      <c r="BF263" s="182"/>
      <c r="BG263" s="182"/>
      <c r="BH263" s="182"/>
      <c r="BI263" s="182"/>
      <c r="BJ263" s="182"/>
      <c r="BK263" s="182"/>
      <c r="BL263" s="182"/>
      <c r="BM263" s="182"/>
      <c r="BN263" s="182"/>
      <c r="BO263" s="182"/>
      <c r="BP263" s="182"/>
      <c r="BQ263" s="182"/>
      <c r="BR263" s="182"/>
      <c r="BS263" s="182"/>
      <c r="BT263" s="182"/>
    </row>
    <row r="264" spans="1:72" s="19" customFormat="1" x14ac:dyDescent="0.25">
      <c r="A264" s="218">
        <v>35233315</v>
      </c>
      <c r="B264" s="116" t="s">
        <v>5505</v>
      </c>
      <c r="C264" s="183">
        <v>19</v>
      </c>
      <c r="D264" s="23" t="str" cm="1">
        <f t="array" ref="D264">IFERROR(_xlfn.IFS(U264&lt;727,"MEET", AB264="FRRB","MEET", AB264="PSPS","MEET"),"No")</f>
        <v>MEET</v>
      </c>
      <c r="E264" s="23" t="str" cm="1">
        <f t="array" ref="E264">IFERROR(_xlfn.IFS(AM264&gt;0,"MEET", AN264&gt;0,"MEET"),"No")</f>
        <v>No</v>
      </c>
      <c r="F264" s="100">
        <v>2021205</v>
      </c>
      <c r="G264" s="168"/>
      <c r="H264" s="37"/>
      <c r="I264" s="37"/>
      <c r="J264" s="93">
        <v>2021</v>
      </c>
      <c r="K264" s="182"/>
      <c r="L264" s="182"/>
      <c r="M264" s="37">
        <v>0</v>
      </c>
      <c r="N264" s="21"/>
      <c r="O264" s="74" t="s">
        <v>5321</v>
      </c>
      <c r="P264" s="22">
        <v>102911103</v>
      </c>
      <c r="Q264" s="94" t="s">
        <v>4762</v>
      </c>
      <c r="R264" s="74" t="s">
        <v>4765</v>
      </c>
      <c r="S264" s="38">
        <f>IFERROR(VLOOKUP(R264,[47]conductor_pz_summary_hftd_23_re!$B$2:$Q$3636,8,FALSE),0)</f>
        <v>259</v>
      </c>
      <c r="T264" s="38">
        <f>IFERROR(VLOOKUP(R264,[48]conductor_pz_summary_hftd_23_re!$B$2:$H$3636,7,0),0)/1609</f>
        <v>22.416802532658608</v>
      </c>
      <c r="U264" s="23">
        <f>IFERROR(VLOOKUP(R264,[47]conductor_pz_summary_hftd_23_re!$B$2:$Q$3636,14,FALSE),0)</f>
        <v>1849</v>
      </c>
      <c r="V264" s="23">
        <f t="shared" si="59"/>
        <v>3.3188150936835816</v>
      </c>
      <c r="W264" s="23">
        <f>IFERROR(VLOOKUP(R264,[47]conductor_pz_summary_hftd_23_re!$B$2:$Q$3636,13,FALSE),0)</f>
        <v>1.28139578906702E-2</v>
      </c>
      <c r="X264" s="183">
        <f>IFERROR(VLOOKUP(R264,conductor_pz_summary_hftd_23_re!$B$2:$N$3636,13,FALSE),0)</f>
        <v>1756</v>
      </c>
      <c r="Y264" s="182" t="e">
        <f t="shared" si="60"/>
        <v>#DIV/0!</v>
      </c>
      <c r="Z264" s="182"/>
      <c r="AA264" s="182"/>
      <c r="AB264" s="183" t="s">
        <v>5171</v>
      </c>
      <c r="AC264" s="94" t="s">
        <v>5455</v>
      </c>
      <c r="AD264" s="94" t="s">
        <v>5215</v>
      </c>
      <c r="AE264" s="94" t="s">
        <v>5210</v>
      </c>
      <c r="AF264" s="94" t="s">
        <v>4875</v>
      </c>
      <c r="AG264" s="183">
        <v>5795419</v>
      </c>
      <c r="AH264" s="183" t="s">
        <v>6605</v>
      </c>
      <c r="AI264" s="183">
        <v>120541636</v>
      </c>
      <c r="AJ264" s="183">
        <v>35233315</v>
      </c>
      <c r="AK264" s="183" t="s">
        <v>6623</v>
      </c>
      <c r="AL264" s="161"/>
      <c r="AM264" s="161"/>
      <c r="AN264" s="161"/>
      <c r="AO264" s="161"/>
      <c r="AP264" s="182"/>
      <c r="AQ264" s="169" t="s">
        <v>6624</v>
      </c>
      <c r="AR264" s="182"/>
      <c r="AS264" s="183"/>
      <c r="AT264" s="92"/>
      <c r="AU264" s="182"/>
      <c r="AV264" s="182"/>
      <c r="AW264" s="182"/>
      <c r="AX264" s="182"/>
      <c r="AY264" s="23"/>
      <c r="AZ264" s="40"/>
      <c r="BA264" s="173"/>
      <c r="BB264" s="188"/>
      <c r="BC264" s="189"/>
      <c r="BD264" s="191"/>
      <c r="BE264" s="182"/>
      <c r="BF264" s="182"/>
      <c r="BG264" s="182"/>
      <c r="BH264" s="182"/>
      <c r="BI264" s="182"/>
      <c r="BJ264" s="182"/>
      <c r="BK264" s="182"/>
      <c r="BL264" s="182"/>
      <c r="BM264" s="182"/>
      <c r="BN264" s="182"/>
      <c r="BO264" s="182"/>
      <c r="BP264" s="182"/>
      <c r="BQ264" s="182"/>
      <c r="BR264" s="182"/>
      <c r="BS264" s="182"/>
      <c r="BT264" s="182"/>
    </row>
    <row r="265" spans="1:72" s="19" customFormat="1" x14ac:dyDescent="0.25">
      <c r="A265" s="218">
        <v>35232718</v>
      </c>
      <c r="B265" s="116" t="s">
        <v>5505</v>
      </c>
      <c r="C265" s="183">
        <v>14</v>
      </c>
      <c r="D265" s="23" t="str" cm="1">
        <f t="array" ref="D265">IFERROR(_xlfn.IFS(U265&lt;727,"MEET", AB265="FRRB","MEET", AB265="PSPS","MEET"),"No")</f>
        <v>MEET</v>
      </c>
      <c r="E265" s="23" t="str" cm="1">
        <f t="array" ref="E265">IFERROR(_xlfn.IFS(AM265&gt;0,"MEET", AN265&gt;0,"MEET"),"No")</f>
        <v>No</v>
      </c>
      <c r="F265" s="100">
        <v>2021206</v>
      </c>
      <c r="G265" s="168"/>
      <c r="H265" s="37"/>
      <c r="I265" s="37"/>
      <c r="J265" s="93">
        <v>2021</v>
      </c>
      <c r="K265" s="182"/>
      <c r="L265" s="182"/>
      <c r="M265" s="37">
        <v>0</v>
      </c>
      <c r="N265" s="21"/>
      <c r="O265" s="74" t="s">
        <v>4878</v>
      </c>
      <c r="P265" s="22">
        <v>102911103</v>
      </c>
      <c r="Q265" s="94" t="s">
        <v>4762</v>
      </c>
      <c r="R265" s="74" t="s">
        <v>4765</v>
      </c>
      <c r="S265" s="38">
        <f>IFERROR(VLOOKUP(R265,[47]conductor_pz_summary_hftd_23_re!$B$2:$Q$3636,8,FALSE),0)</f>
        <v>259</v>
      </c>
      <c r="T265" s="38">
        <f>IFERROR(VLOOKUP(R265,[48]conductor_pz_summary_hftd_23_re!$B$2:$H$3636,7,0),0)/1609</f>
        <v>22.416802532658608</v>
      </c>
      <c r="U265" s="23">
        <f>IFERROR(VLOOKUP(R265,[47]conductor_pz_summary_hftd_23_re!$B$2:$Q$3636,14,FALSE),0)</f>
        <v>1849</v>
      </c>
      <c r="V265" s="23">
        <f t="shared" si="59"/>
        <v>3.3188150936835816</v>
      </c>
      <c r="W265" s="23">
        <f>IFERROR(VLOOKUP(R265,[47]conductor_pz_summary_hftd_23_re!$B$2:$Q$3636,13,FALSE),0)</f>
        <v>1.28139578906702E-2</v>
      </c>
      <c r="X265" s="183">
        <f>IFERROR(VLOOKUP(R265,conductor_pz_summary_hftd_23_re!$B$2:$N$3636,13,FALSE),0)</f>
        <v>1756</v>
      </c>
      <c r="Y265" s="182" t="e">
        <f t="shared" si="60"/>
        <v>#DIV/0!</v>
      </c>
      <c r="Z265" s="182"/>
      <c r="AA265" s="182"/>
      <c r="AB265" s="183" t="s">
        <v>5171</v>
      </c>
      <c r="AC265" s="94" t="s">
        <v>5455</v>
      </c>
      <c r="AD265" s="94" t="s">
        <v>5215</v>
      </c>
      <c r="AE265" s="94" t="s">
        <v>5210</v>
      </c>
      <c r="AF265" s="94" t="s">
        <v>4875</v>
      </c>
      <c r="AG265" s="183">
        <v>5795419</v>
      </c>
      <c r="AH265" s="183" t="s">
        <v>6469</v>
      </c>
      <c r="AI265" s="183">
        <v>120538803</v>
      </c>
      <c r="AJ265" s="183">
        <v>35232718</v>
      </c>
      <c r="AK265" s="183" t="s">
        <v>6470</v>
      </c>
      <c r="AL265" s="161"/>
      <c r="AM265" s="161"/>
      <c r="AN265" s="161"/>
      <c r="AO265" s="161"/>
      <c r="AP265" s="182"/>
      <c r="AQ265" s="169" t="s">
        <v>6624</v>
      </c>
      <c r="AR265" s="182"/>
      <c r="AS265" s="183"/>
      <c r="AT265" s="92"/>
      <c r="AU265" s="182"/>
      <c r="AV265" s="182"/>
      <c r="AW265" s="182"/>
      <c r="AX265" s="182"/>
      <c r="AY265" s="23"/>
      <c r="AZ265" s="40"/>
      <c r="BA265" s="173"/>
      <c r="BB265" s="188"/>
      <c r="BC265" s="189"/>
      <c r="BD265" s="191"/>
      <c r="BE265" s="182"/>
      <c r="BF265" s="182"/>
      <c r="BG265" s="182"/>
      <c r="BH265" s="182"/>
      <c r="BI265" s="182"/>
      <c r="BJ265" s="182"/>
      <c r="BK265" s="182"/>
      <c r="BL265" s="182"/>
      <c r="BM265" s="182"/>
      <c r="BN265" s="182"/>
      <c r="BO265" s="182"/>
      <c r="BP265" s="182"/>
      <c r="BQ265" s="182"/>
      <c r="BR265" s="182"/>
      <c r="BS265" s="182"/>
      <c r="BT265" s="182"/>
    </row>
    <row r="266" spans="1:72" s="19" customFormat="1" x14ac:dyDescent="0.25">
      <c r="A266" s="218">
        <v>35222236</v>
      </c>
      <c r="B266" s="116" t="s">
        <v>5503</v>
      </c>
      <c r="C266" s="183">
        <v>7</v>
      </c>
      <c r="D266" s="23" t="str" cm="1">
        <f t="array" ref="D266">IFERROR(_xlfn.IFS(U266&lt;727,"MEET", AB266="FRRB","MEET", AB266="PSPS","MEET"),"No")</f>
        <v>MEET</v>
      </c>
      <c r="E266" s="23" t="str" cm="1">
        <f t="array" ref="E266">IFERROR(_xlfn.IFS(AM266&gt;0,"MEET", AN266&gt;0,"MEET"),"No")</f>
        <v>No</v>
      </c>
      <c r="F266" s="100">
        <v>2021207</v>
      </c>
      <c r="G266" s="37"/>
      <c r="H266" s="37">
        <f t="shared" ref="H266:H274" si="61">SUM(AL266:AO266)/5280</f>
        <v>0.99</v>
      </c>
      <c r="I266" s="96">
        <f t="shared" ref="I266:I274" si="62">H266-M266</f>
        <v>0.99</v>
      </c>
      <c r="J266" s="93">
        <v>2021</v>
      </c>
      <c r="K266" s="182"/>
      <c r="L266" s="182"/>
      <c r="M266" s="37">
        <f t="shared" ref="M266:M297" si="63">SUM(K266:L266)</f>
        <v>0</v>
      </c>
      <c r="N266" s="21">
        <v>0</v>
      </c>
      <c r="O266" s="74" t="s">
        <v>4878</v>
      </c>
      <c r="P266" s="98">
        <v>254452101</v>
      </c>
      <c r="Q266" s="182" t="s">
        <v>2304</v>
      </c>
      <c r="R266" s="183" t="s">
        <v>2309</v>
      </c>
      <c r="S266" s="38">
        <f>IFERROR(VLOOKUP(R266,[47]conductor_pz_summary_hftd_23_re!$B$2:$Q$3636,8,FALSE),0)</f>
        <v>146</v>
      </c>
      <c r="T266" s="201">
        <f>IFERROR(VLOOKUP(R266,[48]conductor_pz_summary_hftd_23_re!$B$2:$H$3636,7,0),0)/1609</f>
        <v>17.463498213538905</v>
      </c>
      <c r="U266" s="23">
        <f>IFERROR(VLOOKUP(R266,[47]conductor_pz_summary_hftd_23_re!$B$2:$Q$3636,14,FALSE),0)</f>
        <v>428</v>
      </c>
      <c r="V266" s="37">
        <f t="shared" si="59"/>
        <v>25.236967640747515</v>
      </c>
      <c r="W266" s="202">
        <f>IFERROR(VLOOKUP(R266,[47]conductor_pz_summary_hftd_23_re!$B$2:$Q$3636,13,FALSE),0)</f>
        <v>0.172855942744846</v>
      </c>
      <c r="X266" s="73">
        <f>IFERROR(VLOOKUP(R266,conductor_pz_summary_hftd_23_re!$B$2:$N$3636,13,FALSE),0)</f>
        <v>468</v>
      </c>
      <c r="Y266" s="203">
        <f t="shared" si="60"/>
        <v>1.4163686841116723</v>
      </c>
      <c r="Z266" s="182"/>
      <c r="AA266" s="182"/>
      <c r="AB266" s="183" t="s">
        <v>5576</v>
      </c>
      <c r="AC266" s="94" t="s">
        <v>5451</v>
      </c>
      <c r="AD266" s="94" t="s">
        <v>5417</v>
      </c>
      <c r="AE266" s="94" t="s">
        <v>4944</v>
      </c>
      <c r="AF266" s="94" t="s">
        <v>4939</v>
      </c>
      <c r="AG266" s="183">
        <v>5543983</v>
      </c>
      <c r="AH266" s="183" t="s">
        <v>5578</v>
      </c>
      <c r="AI266" s="183">
        <v>120237131</v>
      </c>
      <c r="AJ266" s="183">
        <v>35222236</v>
      </c>
      <c r="AK266" s="183" t="s">
        <v>5546</v>
      </c>
      <c r="AL266" s="205">
        <v>0</v>
      </c>
      <c r="AM266" s="205">
        <v>0</v>
      </c>
      <c r="AN266" s="205">
        <v>0</v>
      </c>
      <c r="AO266" s="205">
        <f>0.99*5280</f>
        <v>5227.2</v>
      </c>
      <c r="AP266" s="182"/>
      <c r="AQ266" s="39" t="s">
        <v>5584</v>
      </c>
      <c r="AR266" s="183">
        <f>AS266*5280</f>
        <v>5227.2</v>
      </c>
      <c r="AS266" s="183">
        <v>0.99</v>
      </c>
      <c r="AT266" s="92">
        <v>780759</v>
      </c>
      <c r="AU266" s="182"/>
      <c r="AV266" s="182"/>
      <c r="AW266" s="182"/>
      <c r="AX266" s="182"/>
      <c r="AY266" s="23">
        <f>SUM(AV266:AX266)</f>
        <v>0</v>
      </c>
      <c r="AZ266" s="182"/>
      <c r="BA266" s="173"/>
      <c r="BB266" s="188"/>
      <c r="BC266" s="189"/>
      <c r="BD266" s="191">
        <f t="shared" ref="BD266:BD274" si="64">IFERROR(BC266/BB266,0)</f>
        <v>0</v>
      </c>
      <c r="BE266" s="182"/>
      <c r="BF266" s="182"/>
      <c r="BG266" s="182"/>
      <c r="BH266" s="182"/>
      <c r="BI266" s="182"/>
      <c r="BJ266" s="182"/>
      <c r="BK266" s="182"/>
      <c r="BL266" s="182"/>
      <c r="BM266" s="182"/>
      <c r="BN266" s="182"/>
      <c r="BO266" s="182"/>
      <c r="BP266" s="182"/>
      <c r="BQ266" s="182"/>
      <c r="BR266" s="182"/>
      <c r="BS266" s="182"/>
      <c r="BT266" s="182"/>
    </row>
    <row r="267" spans="1:72" s="19" customFormat="1" x14ac:dyDescent="0.25">
      <c r="A267" s="218">
        <v>35175853</v>
      </c>
      <c r="B267" s="116" t="s">
        <v>5503</v>
      </c>
      <c r="C267" s="183">
        <v>13</v>
      </c>
      <c r="D267" s="23" t="str" cm="1">
        <f t="array" ref="D267">IFERROR(_xlfn.IFS(U267&lt;727,"MEET", AB267="FRRB","MEET", AB267="PSPS","MEET"),"No")</f>
        <v>No</v>
      </c>
      <c r="E267" s="23" t="str" cm="1">
        <f t="array" ref="E267">IFERROR(_xlfn.IFS(AM267&gt;0,"MEET", AN267&gt;0,"MEET"),"No")</f>
        <v>No</v>
      </c>
      <c r="F267" s="100">
        <v>2021208</v>
      </c>
      <c r="G267" s="37"/>
      <c r="H267" s="37">
        <f t="shared" si="61"/>
        <v>0.7</v>
      </c>
      <c r="I267" s="96">
        <f t="shared" si="62"/>
        <v>0.7</v>
      </c>
      <c r="J267" s="93">
        <v>2021</v>
      </c>
      <c r="K267" s="182"/>
      <c r="L267" s="182"/>
      <c r="M267" s="37">
        <f t="shared" si="63"/>
        <v>0</v>
      </c>
      <c r="N267" s="21">
        <v>1787.6</v>
      </c>
      <c r="O267" s="217" t="s">
        <v>4878</v>
      </c>
      <c r="P267" s="98">
        <v>153082106</v>
      </c>
      <c r="Q267" s="182" t="s">
        <v>3366</v>
      </c>
      <c r="R267" s="183" t="s">
        <v>3365</v>
      </c>
      <c r="S267" s="38">
        <f>IFERROR(VLOOKUP(R267,[47]conductor_pz_summary_hftd_23_re!$B$2:$Q$3636,8,FALSE),0)</f>
        <v>462</v>
      </c>
      <c r="T267" s="201">
        <f>IFERROR(VLOOKUP(R267,[48]conductor_pz_summary_hftd_23_re!$B$2:$H$3636,7,0),0)/1609</f>
        <v>49.498871370804096</v>
      </c>
      <c r="U267" s="23">
        <f>IFERROR(VLOOKUP(R267,[47]conductor_pz_summary_hftd_23_re!$B$2:$Q$3636,14,FALSE),0)</f>
        <v>2131</v>
      </c>
      <c r="V267" s="37">
        <f t="shared" si="59"/>
        <v>2.9784752846565303</v>
      </c>
      <c r="W267" s="202">
        <f>IFERROR(VLOOKUP(R267,[47]conductor_pz_summary_hftd_23_re!$B$2:$Q$3636,13,FALSE),0)</f>
        <v>6.4469162005552604E-3</v>
      </c>
      <c r="X267" s="73">
        <f>IFERROR(VLOOKUP(R267,conductor_pz_summary_hftd_23_re!$B$2:$N$3636,13,FALSE),0)</f>
        <v>2171</v>
      </c>
      <c r="Y267" s="203">
        <f t="shared" si="60"/>
        <v>4.1699604760775069E-2</v>
      </c>
      <c r="Z267" s="182"/>
      <c r="AA267" s="182"/>
      <c r="AB267" s="183" t="s">
        <v>5576</v>
      </c>
      <c r="AC267" s="94" t="s">
        <v>5580</v>
      </c>
      <c r="AD267" s="94" t="s">
        <v>4886</v>
      </c>
      <c r="AE267" s="94" t="s">
        <v>4887</v>
      </c>
      <c r="AF267" s="94" t="s">
        <v>4875</v>
      </c>
      <c r="AG267" s="183">
        <v>5790554</v>
      </c>
      <c r="AH267" s="183" t="s">
        <v>5579</v>
      </c>
      <c r="AI267" s="183">
        <v>118981960</v>
      </c>
      <c r="AJ267" s="183">
        <v>35175853</v>
      </c>
      <c r="AK267" s="183" t="s">
        <v>5545</v>
      </c>
      <c r="AL267" s="205">
        <v>0</v>
      </c>
      <c r="AM267" s="205">
        <v>0</v>
      </c>
      <c r="AN267" s="205">
        <v>0</v>
      </c>
      <c r="AO267" s="205">
        <f>0.7*5280</f>
        <v>3695.9999999999995</v>
      </c>
      <c r="AP267" s="182"/>
      <c r="AQ267" s="197" t="s">
        <v>6468</v>
      </c>
      <c r="AR267" s="183">
        <f>AS267*5280</f>
        <v>45935.999999999993</v>
      </c>
      <c r="AS267" s="183">
        <v>8.6999999999999993</v>
      </c>
      <c r="AT267" s="92">
        <v>9322600</v>
      </c>
      <c r="AU267" s="182"/>
      <c r="AV267" s="182"/>
      <c r="AW267" s="182"/>
      <c r="AX267" s="182"/>
      <c r="AY267" s="23">
        <f>SUM(AV267:AX267)</f>
        <v>0</v>
      </c>
      <c r="AZ267" s="182"/>
      <c r="BA267" s="173"/>
      <c r="BB267" s="188"/>
      <c r="BC267" s="189"/>
      <c r="BD267" s="191">
        <f t="shared" si="64"/>
        <v>0</v>
      </c>
      <c r="BE267" s="182"/>
      <c r="BF267" s="182"/>
      <c r="BG267" s="182"/>
      <c r="BH267" s="182"/>
      <c r="BI267" s="182"/>
      <c r="BJ267" s="182"/>
      <c r="BK267" s="182"/>
      <c r="BL267" s="182"/>
      <c r="BM267" s="182"/>
      <c r="BN267" s="182"/>
      <c r="BO267" s="182"/>
      <c r="BP267" s="182"/>
      <c r="BQ267" s="182"/>
      <c r="BR267" s="182"/>
      <c r="BS267" s="182"/>
      <c r="BT267" s="182"/>
    </row>
    <row r="268" spans="1:72" s="19" customFormat="1" x14ac:dyDescent="0.25">
      <c r="A268" s="218">
        <v>35222235</v>
      </c>
      <c r="B268" s="116" t="s">
        <v>5503</v>
      </c>
      <c r="C268" s="183">
        <v>7</v>
      </c>
      <c r="D268" s="23" t="str" cm="1">
        <f t="array" ref="D268">IFERROR(_xlfn.IFS(U268&lt;727,"MEET", AB268="FRRB","MEET", AB268="PSPS","MEET"),"No")</f>
        <v>No</v>
      </c>
      <c r="E268" s="23" t="str" cm="1">
        <f t="array" ref="E268">IFERROR(_xlfn.IFS(AM268&gt;0,"MEET", AN268&gt;0,"MEET"),"No")</f>
        <v>No</v>
      </c>
      <c r="F268" s="100">
        <v>2021209</v>
      </c>
      <c r="G268" s="37"/>
      <c r="H268" s="37">
        <f t="shared" si="61"/>
        <v>2.6</v>
      </c>
      <c r="I268" s="96">
        <f t="shared" si="62"/>
        <v>2.6</v>
      </c>
      <c r="J268" s="93">
        <v>2021</v>
      </c>
      <c r="K268" s="182"/>
      <c r="L268" s="182"/>
      <c r="M268" s="37">
        <f t="shared" si="63"/>
        <v>0</v>
      </c>
      <c r="N268" s="21">
        <v>5790.29</v>
      </c>
      <c r="O268" s="74" t="s">
        <v>4878</v>
      </c>
      <c r="P268" s="98">
        <v>254061102</v>
      </c>
      <c r="Q268" s="182" t="s">
        <v>1218</v>
      </c>
      <c r="R268" s="183" t="s">
        <v>1223</v>
      </c>
      <c r="S268" s="38">
        <f>IFERROR(VLOOKUP(R268,[47]conductor_pz_summary_hftd_23_re!$B$2:$Q$3636,8,FALSE),0)</f>
        <v>5</v>
      </c>
      <c r="T268" s="201">
        <f>IFERROR(VLOOKUP(R268,[48]conductor_pz_summary_hftd_23_re!$B$2:$H$3636,7,0),0)/1609</f>
        <v>2.6028618167108015</v>
      </c>
      <c r="U268" s="23">
        <f>IFERROR(VLOOKUP(R268,[47]conductor_pz_summary_hftd_23_re!$B$2:$Q$3636,14,FALSE),0)</f>
        <v>2738</v>
      </c>
      <c r="V268" s="37">
        <f t="shared" si="59"/>
        <v>2.4545144651744351E-3</v>
      </c>
      <c r="W268" s="202">
        <f>IFERROR(VLOOKUP(R268,[47]conductor_pz_summary_hftd_23_re!$B$2:$Q$3636,13,FALSE),0)</f>
        <v>4.9090289303488702E-4</v>
      </c>
      <c r="X268" s="73">
        <f>IFERROR(VLOOKUP(R268,conductor_pz_summary_hftd_23_re!$B$2:$N$3636,13,FALSE),0)</f>
        <v>2461</v>
      </c>
      <c r="Y268" s="203">
        <f t="shared" si="60"/>
        <v>2.427297597128248E-3</v>
      </c>
      <c r="Z268" s="182"/>
      <c r="AA268" s="182"/>
      <c r="AB268" s="183" t="s">
        <v>5576</v>
      </c>
      <c r="AC268" s="94" t="s">
        <v>5582</v>
      </c>
      <c r="AD268" s="94" t="s">
        <v>5583</v>
      </c>
      <c r="AE268" s="94" t="s">
        <v>5477</v>
      </c>
      <c r="AF268" s="94" t="s">
        <v>4939</v>
      </c>
      <c r="AG268" s="183">
        <v>5794900</v>
      </c>
      <c r="AH268" s="183" t="s">
        <v>5581</v>
      </c>
      <c r="AI268" s="183">
        <v>120236988</v>
      </c>
      <c r="AJ268" s="183">
        <v>35222235</v>
      </c>
      <c r="AK268" s="183" t="s">
        <v>5544</v>
      </c>
      <c r="AL268" s="205">
        <v>0</v>
      </c>
      <c r="AM268" s="205">
        <v>0</v>
      </c>
      <c r="AN268" s="205">
        <v>0</v>
      </c>
      <c r="AO268" s="205">
        <f>2.6*5280</f>
        <v>13728</v>
      </c>
      <c r="AP268" s="182"/>
      <c r="AQ268" s="39" t="s">
        <v>5586</v>
      </c>
      <c r="AR268" s="183">
        <f>AS268*5280</f>
        <v>13728</v>
      </c>
      <c r="AS268" s="183">
        <v>2.6</v>
      </c>
      <c r="AT268" s="92">
        <v>613214</v>
      </c>
      <c r="AU268" s="182"/>
      <c r="AV268" s="182"/>
      <c r="AW268" s="182"/>
      <c r="AX268" s="182"/>
      <c r="AY268" s="23">
        <f>SUM(AV268:AX268)</f>
        <v>0</v>
      </c>
      <c r="AZ268" s="182"/>
      <c r="BA268" s="173"/>
      <c r="BB268" s="188"/>
      <c r="BC268" s="189"/>
      <c r="BD268" s="191">
        <f t="shared" si="64"/>
        <v>0</v>
      </c>
      <c r="BE268" s="182"/>
      <c r="BF268" s="182"/>
      <c r="BG268" s="182"/>
      <c r="BH268" s="182"/>
      <c r="BI268" s="182"/>
      <c r="BJ268" s="182"/>
      <c r="BK268" s="182"/>
      <c r="BL268" s="182"/>
      <c r="BM268" s="182"/>
      <c r="BN268" s="182"/>
      <c r="BO268" s="182"/>
      <c r="BP268" s="182"/>
      <c r="BQ268" s="182"/>
      <c r="BR268" s="182"/>
      <c r="BS268" s="182"/>
      <c r="BT268" s="182"/>
    </row>
    <row r="269" spans="1:72" s="19" customFormat="1" x14ac:dyDescent="0.25">
      <c r="A269" s="221">
        <v>35229051</v>
      </c>
      <c r="B269" s="116" t="s">
        <v>5503</v>
      </c>
      <c r="C269" s="183">
        <v>7</v>
      </c>
      <c r="D269" s="23" t="str" cm="1">
        <f t="array" ref="D269">IFERROR(_xlfn.IFS(U269&lt;727,"MEET", AB269="FRRB","MEET", AB269="PSPS","MEET"),"No")</f>
        <v>MEET</v>
      </c>
      <c r="E269" s="23" t="str" cm="1">
        <f t="array" ref="E269">IFERROR(_xlfn.IFS(AM269&gt;0,"MEET", AN269&gt;0,"MEET"),"No")</f>
        <v>No</v>
      </c>
      <c r="F269" s="100">
        <v>2021210</v>
      </c>
      <c r="G269" s="188"/>
      <c r="H269" s="37">
        <f t="shared" si="61"/>
        <v>3.0399621212121213</v>
      </c>
      <c r="I269" s="96">
        <f t="shared" si="62"/>
        <v>3.0399621212121213</v>
      </c>
      <c r="J269" s="183">
        <v>2021</v>
      </c>
      <c r="K269" s="182"/>
      <c r="L269" s="182"/>
      <c r="M269" s="37">
        <f t="shared" si="63"/>
        <v>0</v>
      </c>
      <c r="N269" s="21">
        <v>395.6</v>
      </c>
      <c r="O269" s="183" t="s">
        <v>4878</v>
      </c>
      <c r="P269" s="182">
        <v>103331102</v>
      </c>
      <c r="Q269" s="182" t="s">
        <v>949</v>
      </c>
      <c r="R269" s="183" t="s">
        <v>950</v>
      </c>
      <c r="S269" s="38">
        <f>IFERROR(VLOOKUP(R269,[47]conductor_pz_summary_hftd_23_re!$B$2:$Q$3636,8,FALSE),0)</f>
        <v>123</v>
      </c>
      <c r="T269" s="201">
        <f>IFERROR(VLOOKUP(R269,[48]conductor_pz_summary_hftd_23_re!$B$2:$H$3636,7,0),0)/1609</f>
        <v>31.823898492015537</v>
      </c>
      <c r="U269" s="23">
        <f>IFERROR(VLOOKUP(R269,[47]conductor_pz_summary_hftd_23_re!$B$2:$Q$3636,14,FALSE),0)</f>
        <v>413</v>
      </c>
      <c r="V269" s="37">
        <f t="shared" si="59"/>
        <v>21.579057590738369</v>
      </c>
      <c r="W269" s="202">
        <f>IFERROR(VLOOKUP(R269,[47]conductor_pz_summary_hftd_23_re!$B$2:$Q$3636,13,FALSE),0)</f>
        <v>0.17543949260762901</v>
      </c>
      <c r="X269" s="73">
        <f>IFERROR(VLOOKUP(R269,conductor_pz_summary_hftd_23_re!$B$2:$N$3636,13,FALSE),0)</f>
        <v>106</v>
      </c>
      <c r="Y269" s="203">
        <f t="shared" si="60"/>
        <v>2.0407154870331352</v>
      </c>
      <c r="Z269" s="182"/>
      <c r="AA269" s="182"/>
      <c r="AB269" s="183" t="s">
        <v>5576</v>
      </c>
      <c r="AC269" s="182" t="s">
        <v>6314</v>
      </c>
      <c r="AD269" s="182" t="s">
        <v>5465</v>
      </c>
      <c r="AE269" s="182" t="s">
        <v>5210</v>
      </c>
      <c r="AF269" s="182" t="s">
        <v>4875</v>
      </c>
      <c r="AG269" s="183">
        <v>5795612</v>
      </c>
      <c r="AH269" s="182" t="s">
        <v>6315</v>
      </c>
      <c r="AI269" s="183">
        <v>120494134</v>
      </c>
      <c r="AJ269" s="183">
        <v>35229051</v>
      </c>
      <c r="AK269" s="183" t="s">
        <v>6316</v>
      </c>
      <c r="AL269" s="205">
        <v>0</v>
      </c>
      <c r="AM269" s="205">
        <v>0</v>
      </c>
      <c r="AN269" s="205">
        <v>0</v>
      </c>
      <c r="AO269" s="205">
        <v>16051</v>
      </c>
      <c r="AP269" s="182"/>
      <c r="AQ269" s="169" t="s">
        <v>6567</v>
      </c>
      <c r="AR269" s="182"/>
      <c r="AS269" s="182"/>
      <c r="AT269" s="92"/>
      <c r="AU269" s="182"/>
      <c r="AV269" s="182"/>
      <c r="AW269" s="182"/>
      <c r="AX269" s="182"/>
      <c r="AY269" s="182"/>
      <c r="AZ269" s="182"/>
      <c r="BA269" s="173"/>
      <c r="BB269" s="188"/>
      <c r="BC269" s="189"/>
      <c r="BD269" s="191">
        <f t="shared" si="64"/>
        <v>0</v>
      </c>
      <c r="BE269" s="182"/>
      <c r="BF269" s="182"/>
      <c r="BG269" s="182"/>
      <c r="BH269" s="182"/>
      <c r="BI269" s="182"/>
      <c r="BJ269" s="182"/>
      <c r="BK269" s="182"/>
      <c r="BL269" s="182"/>
      <c r="BM269" s="182"/>
      <c r="BN269" s="182"/>
      <c r="BO269" s="182"/>
      <c r="BP269" s="182"/>
      <c r="BQ269" s="182"/>
      <c r="BR269" s="182"/>
      <c r="BS269" s="182"/>
      <c r="BT269" s="182"/>
    </row>
    <row r="270" spans="1:72" s="19" customFormat="1" x14ac:dyDescent="0.25">
      <c r="A270" s="218">
        <v>35219543</v>
      </c>
      <c r="B270" s="116" t="s">
        <v>5502</v>
      </c>
      <c r="C270" s="23">
        <v>10</v>
      </c>
      <c r="D270" s="23" t="str" cm="1">
        <f t="array" ref="D270">IFERROR(_xlfn.IFS(U270&lt;727,"MEET", AB270="FRRB","MEET", AB270="PSPS","MEET"),"No")</f>
        <v>MEET</v>
      </c>
      <c r="E270" s="23" t="str" cm="1">
        <f t="array" ref="E270">IFERROR(_xlfn.IFS(AM270&gt;0,"MEET", AN270&gt;0,"MEET"),"No")</f>
        <v>MEET</v>
      </c>
      <c r="F270" s="100">
        <v>2021211</v>
      </c>
      <c r="G270" s="37"/>
      <c r="H270" s="37">
        <f t="shared" si="61"/>
        <v>0.24000000000000002</v>
      </c>
      <c r="I270" s="37">
        <f t="shared" si="62"/>
        <v>0.24000000000000002</v>
      </c>
      <c r="J270" s="20">
        <v>2021</v>
      </c>
      <c r="K270" s="37"/>
      <c r="L270" s="37"/>
      <c r="M270" s="37">
        <f t="shared" si="63"/>
        <v>0</v>
      </c>
      <c r="N270" s="21">
        <v>3904.85</v>
      </c>
      <c r="O270" s="23" t="s">
        <v>4878</v>
      </c>
      <c r="P270" s="22">
        <v>153081112</v>
      </c>
      <c r="Q270" s="19" t="s">
        <v>3362</v>
      </c>
      <c r="R270" s="23" t="s">
        <v>3364</v>
      </c>
      <c r="S270" s="38">
        <f>IFERROR(VLOOKUP(R270,[47]conductor_pz_summary_hftd_23_re!$B$2:$Q$3636,8,FALSE),0)</f>
        <v>117</v>
      </c>
      <c r="T270" s="201">
        <f>IFERROR(VLOOKUP(R270,[48]conductor_pz_summary_hftd_23_re!$B$2:$H$3636,7,0),0)/1609</f>
        <v>8.512969057158422</v>
      </c>
      <c r="U270" s="23">
        <f>IFERROR(VLOOKUP(R270,[47]conductor_pz_summary_hftd_23_re!$B$2:$Q$3636,14,FALSE),0)</f>
        <v>2123</v>
      </c>
      <c r="V270" s="37">
        <f t="shared" si="59"/>
        <v>0.76223238625060019</v>
      </c>
      <c r="W270" s="202">
        <f>IFERROR(VLOOKUP(R270,[47]conductor_pz_summary_hftd_23_re!$B$2:$Q$3636,13,FALSE),0)</f>
        <v>6.5148067200905997E-3</v>
      </c>
      <c r="X270" s="73">
        <f>IFERROR(VLOOKUP(R270,conductor_pz_summary_hftd_23_re!$B$2:$N$3636,13,FALSE),0)</f>
        <v>2310</v>
      </c>
      <c r="Y270" s="203">
        <f t="shared" si="60"/>
        <v>2.127417752339333E-2</v>
      </c>
      <c r="Z270" s="23"/>
      <c r="AA270" s="23" t="s">
        <v>4903</v>
      </c>
      <c r="AB270" s="23" t="s">
        <v>5102</v>
      </c>
      <c r="AC270" s="19" t="s">
        <v>5051</v>
      </c>
      <c r="AD270" s="19" t="s">
        <v>4886</v>
      </c>
      <c r="AE270" s="19" t="s">
        <v>4887</v>
      </c>
      <c r="AF270" s="19" t="s">
        <v>4875</v>
      </c>
      <c r="AG270" s="97">
        <v>5543321</v>
      </c>
      <c r="AH270" s="97" t="s">
        <v>5541</v>
      </c>
      <c r="AI270" s="115">
        <v>120135657</v>
      </c>
      <c r="AJ270" s="183">
        <v>35219543</v>
      </c>
      <c r="AK270" s="23" t="s">
        <v>6561</v>
      </c>
      <c r="AL270" s="20">
        <v>0</v>
      </c>
      <c r="AM270" s="20">
        <v>1267.2</v>
      </c>
      <c r="AN270" s="20">
        <v>0</v>
      </c>
      <c r="AO270" s="20">
        <v>0</v>
      </c>
      <c r="AQ270" s="39" t="s">
        <v>5638</v>
      </c>
      <c r="AR270" s="23">
        <f>AS270*5280</f>
        <v>1267.2</v>
      </c>
      <c r="AS270" s="40">
        <v>0.24</v>
      </c>
      <c r="AT270" s="41">
        <v>850440</v>
      </c>
      <c r="AU270" s="23"/>
      <c r="AY270" s="23">
        <f>SUM(AV270:AX270)</f>
        <v>0</v>
      </c>
      <c r="AZ270" s="40"/>
      <c r="BA270" s="172"/>
      <c r="BB270" s="190"/>
      <c r="BC270" s="191"/>
      <c r="BD270" s="191">
        <f t="shared" si="64"/>
        <v>0</v>
      </c>
      <c r="BE270" s="182"/>
      <c r="BF270" s="182"/>
      <c r="BG270" s="23"/>
      <c r="BH270" s="23"/>
      <c r="BI270" s="23"/>
      <c r="BJ270" s="23"/>
      <c r="BK270" s="40"/>
      <c r="BL270" s="44"/>
      <c r="BM270" s="41"/>
      <c r="BN270" s="45"/>
    </row>
    <row r="271" spans="1:72" s="19" customFormat="1" ht="14.45" customHeight="1" x14ac:dyDescent="0.25">
      <c r="A271" s="218">
        <v>35223036</v>
      </c>
      <c r="B271" s="116" t="s">
        <v>5502</v>
      </c>
      <c r="C271" s="23">
        <v>13</v>
      </c>
      <c r="D271" s="23" t="str" cm="1">
        <f t="array" ref="D271">IFERROR(_xlfn.IFS(U271&lt;727,"MEET", AB271="FRRB","MEET", AB271="PSPS","MEET"),"No")</f>
        <v>MEET</v>
      </c>
      <c r="E271" s="23" t="str" cm="1">
        <f t="array" ref="E271">IFERROR(_xlfn.IFS(AM271&gt;0,"MEET", AN271&gt;0,"MEET"),"No")</f>
        <v>MEET</v>
      </c>
      <c r="F271" s="100">
        <v>2021212</v>
      </c>
      <c r="G271" s="37"/>
      <c r="H271" s="37">
        <f t="shared" si="61"/>
        <v>5.587121212121212E-2</v>
      </c>
      <c r="I271" s="37">
        <f t="shared" si="62"/>
        <v>5.587121212121212E-2</v>
      </c>
      <c r="J271" s="20">
        <v>2021</v>
      </c>
      <c r="K271" s="37"/>
      <c r="L271" s="37"/>
      <c r="M271" s="37">
        <f t="shared" si="63"/>
        <v>0</v>
      </c>
      <c r="N271" s="21">
        <v>4821.78</v>
      </c>
      <c r="O271" s="23" t="s">
        <v>4878</v>
      </c>
      <c r="P271" s="22">
        <v>152481110</v>
      </c>
      <c r="Q271" s="19" t="s">
        <v>488</v>
      </c>
      <c r="R271" s="23" t="s">
        <v>494</v>
      </c>
      <c r="S271" s="38">
        <f>IFERROR(VLOOKUP(R271,[47]conductor_pz_summary_hftd_23_re!$B$2:$Q$3636,8,FALSE),0)</f>
        <v>26</v>
      </c>
      <c r="T271" s="201">
        <f>IFERROR(VLOOKUP(R271,[48]conductor_pz_summary_hftd_23_re!$B$2:$H$3636,7,0),0)/1609</f>
        <v>3.4177472988151649E-3</v>
      </c>
      <c r="U271" s="23">
        <f>IFERROR(VLOOKUP(R271,[47]conductor_pz_summary_hftd_23_re!$B$2:$Q$3636,14,FALSE),0)</f>
        <v>2134</v>
      </c>
      <c r="V271" s="37">
        <f t="shared" si="59"/>
        <v>0.1668530363138972</v>
      </c>
      <c r="W271" s="202">
        <f>IFERROR(VLOOKUP(R271,[47]conductor_pz_summary_hftd_23_re!$B$2:$Q$3636,13,FALSE),0)</f>
        <v>6.4174244736114302E-3</v>
      </c>
      <c r="X271" s="183">
        <f>IFERROR(VLOOKUP(R271,conductor_pz_summary_hftd_23_re!$B$2:$N$3636,13,FALSE),0)</f>
        <v>2454</v>
      </c>
      <c r="Y271" s="203">
        <f t="shared" si="60"/>
        <v>2.7003338059288025</v>
      </c>
      <c r="Z271" s="23"/>
      <c r="AA271" s="23"/>
      <c r="AB271" s="23" t="s">
        <v>5102</v>
      </c>
      <c r="AC271" s="19" t="s">
        <v>5620</v>
      </c>
      <c r="AD271" s="19" t="s">
        <v>4922</v>
      </c>
      <c r="AE271" s="19" t="s">
        <v>4887</v>
      </c>
      <c r="AF271" s="19" t="s">
        <v>4875</v>
      </c>
      <c r="AG271" s="23">
        <v>5794983</v>
      </c>
      <c r="AH271" s="23" t="s">
        <v>5610</v>
      </c>
      <c r="AI271" s="23">
        <v>120242599</v>
      </c>
      <c r="AJ271" s="183">
        <v>35223036</v>
      </c>
      <c r="AK271" s="23" t="s">
        <v>5548</v>
      </c>
      <c r="AL271" s="20">
        <v>0</v>
      </c>
      <c r="AM271" s="20">
        <v>295</v>
      </c>
      <c r="AN271" s="20">
        <v>0</v>
      </c>
      <c r="AO271" s="20">
        <v>0</v>
      </c>
      <c r="AQ271" s="39" t="s">
        <v>6040</v>
      </c>
      <c r="AR271" s="23">
        <f>AS271*5280</f>
        <v>264</v>
      </c>
      <c r="AS271" s="40">
        <v>0.05</v>
      </c>
      <c r="AT271" s="41">
        <v>88320</v>
      </c>
      <c r="AU271" s="39" t="s">
        <v>6384</v>
      </c>
      <c r="AY271" s="23">
        <f>SUM(AV271:AX271)</f>
        <v>0</v>
      </c>
      <c r="AZ271" s="40"/>
      <c r="BA271" s="172"/>
      <c r="BB271" s="190"/>
      <c r="BC271" s="191"/>
      <c r="BD271" s="191">
        <f t="shared" si="64"/>
        <v>0</v>
      </c>
      <c r="BE271" s="182"/>
      <c r="BF271" s="182"/>
      <c r="BG271" s="23"/>
      <c r="BH271" s="23"/>
      <c r="BI271" s="23"/>
      <c r="BJ271" s="23"/>
      <c r="BK271" s="40"/>
      <c r="BL271" s="44"/>
      <c r="BM271" s="41"/>
      <c r="BN271" s="45"/>
    </row>
    <row r="272" spans="1:72" s="19" customFormat="1" x14ac:dyDescent="0.25">
      <c r="A272" s="218">
        <v>35223030</v>
      </c>
      <c r="B272" s="116" t="s">
        <v>5502</v>
      </c>
      <c r="C272" s="23">
        <v>13</v>
      </c>
      <c r="D272" s="23" t="str" cm="1">
        <f t="array" ref="D272">IFERROR(_xlfn.IFS(U272&lt;727,"MEET", AB272="FRRB","MEET", AB272="PSPS","MEET"),"No")</f>
        <v>MEET</v>
      </c>
      <c r="E272" s="23" t="str" cm="1">
        <f t="array" ref="E272">IFERROR(_xlfn.IFS(AM272&gt;0,"MEET", AN272&gt;0,"MEET"),"No")</f>
        <v>MEET</v>
      </c>
      <c r="F272" s="100">
        <v>2021213</v>
      </c>
      <c r="G272" s="37"/>
      <c r="H272" s="37">
        <f t="shared" si="61"/>
        <v>0.85</v>
      </c>
      <c r="I272" s="37">
        <f t="shared" si="62"/>
        <v>0.85</v>
      </c>
      <c r="J272" s="20">
        <v>2021</v>
      </c>
      <c r="K272" s="37"/>
      <c r="L272" s="37"/>
      <c r="M272" s="37">
        <f t="shared" si="63"/>
        <v>0</v>
      </c>
      <c r="N272" s="21">
        <v>12822.92</v>
      </c>
      <c r="O272" s="23" t="s">
        <v>4878</v>
      </c>
      <c r="P272" s="22">
        <v>103191101</v>
      </c>
      <c r="Q272" s="19" t="s">
        <v>223</v>
      </c>
      <c r="R272" s="23" t="s">
        <v>234</v>
      </c>
      <c r="S272" s="38">
        <f>IFERROR(VLOOKUP(R272,[47]conductor_pz_summary_hftd_23_re!$B$2:$Q$3636,8,FALSE),0)</f>
        <v>171</v>
      </c>
      <c r="T272" s="201">
        <f>IFERROR(VLOOKUP(R272,[48]conductor_pz_summary_hftd_23_re!$B$2:$H$3636,7,0),0)/1609</f>
        <v>18.756098402348542</v>
      </c>
      <c r="U272" s="23">
        <f>IFERROR(VLOOKUP(R272,[47]conductor_pz_summary_hftd_23_re!$B$2:$Q$3636,14,FALSE),0)</f>
        <v>355</v>
      </c>
      <c r="V272" s="37">
        <f t="shared" si="59"/>
        <v>33.136580264241637</v>
      </c>
      <c r="W272" s="202">
        <f>IFERROR(VLOOKUP(R272,[47]conductor_pz_summary_hftd_23_re!$B$2:$Q$3636,13,FALSE),0)</f>
        <v>0.193781171135916</v>
      </c>
      <c r="X272" s="183">
        <f>IFERROR(VLOOKUP(R272,conductor_pz_summary_hftd_23_re!$B$2:$N$3636,13,FALSE),0)</f>
        <v>565</v>
      </c>
      <c r="Y272" s="203">
        <f t="shared" si="60"/>
        <v>1.4866861803661571</v>
      </c>
      <c r="Z272" s="23"/>
      <c r="AA272" s="23"/>
      <c r="AB272" s="23" t="s">
        <v>5102</v>
      </c>
      <c r="AC272" s="19" t="s">
        <v>5619</v>
      </c>
      <c r="AD272" s="19" t="s">
        <v>5215</v>
      </c>
      <c r="AE272" s="19" t="s">
        <v>4887</v>
      </c>
      <c r="AF272" s="19" t="s">
        <v>4875</v>
      </c>
      <c r="AG272" s="23">
        <v>5794981</v>
      </c>
      <c r="AH272" s="23" t="s">
        <v>5608</v>
      </c>
      <c r="AI272" s="23">
        <v>120242544</v>
      </c>
      <c r="AJ272" s="183">
        <v>35223030</v>
      </c>
      <c r="AK272" s="23" t="s">
        <v>5549</v>
      </c>
      <c r="AL272" s="20">
        <v>0</v>
      </c>
      <c r="AM272" s="20">
        <v>4488</v>
      </c>
      <c r="AN272" s="20">
        <v>0</v>
      </c>
      <c r="AO272" s="20">
        <v>0</v>
      </c>
      <c r="AQ272" s="39" t="s">
        <v>5626</v>
      </c>
      <c r="AR272" s="23">
        <f>AS272*5280</f>
        <v>3009.6</v>
      </c>
      <c r="AS272" s="40">
        <v>0.56999999999999995</v>
      </c>
      <c r="AT272" s="41">
        <v>1556240</v>
      </c>
      <c r="AU272" s="39" t="s">
        <v>6380</v>
      </c>
      <c r="AY272" s="23">
        <f>SUM(AV272:AX272)</f>
        <v>0</v>
      </c>
      <c r="AZ272" s="40"/>
      <c r="BA272" s="172"/>
      <c r="BB272" s="190"/>
      <c r="BC272" s="191"/>
      <c r="BD272" s="191">
        <f t="shared" si="64"/>
        <v>0</v>
      </c>
      <c r="BE272" s="182"/>
      <c r="BF272" s="182"/>
      <c r="BG272" s="23"/>
      <c r="BH272" s="23"/>
      <c r="BI272" s="23"/>
      <c r="BJ272" s="23"/>
      <c r="BK272" s="40"/>
      <c r="BL272" s="44"/>
      <c r="BM272" s="41"/>
      <c r="BN272" s="45"/>
    </row>
    <row r="273" spans="1:72" s="19" customFormat="1" x14ac:dyDescent="0.25">
      <c r="A273" s="218">
        <v>35223062</v>
      </c>
      <c r="B273" s="116" t="s">
        <v>5502</v>
      </c>
      <c r="C273" s="23">
        <v>10</v>
      </c>
      <c r="D273" s="23" t="str" cm="1">
        <f t="array" ref="D273">IFERROR(_xlfn.IFS(U273&lt;727,"MEET", AB273="FRRB","MEET", AB273="PSPS","MEET"),"No")</f>
        <v>MEET</v>
      </c>
      <c r="E273" s="23" t="str" cm="1">
        <f t="array" ref="E273">IFERROR(_xlfn.IFS(AM273&gt;0,"MEET", AN273&gt;0,"MEET"),"No")</f>
        <v>MEET</v>
      </c>
      <c r="F273" s="100">
        <v>2021214</v>
      </c>
      <c r="G273" s="37"/>
      <c r="H273" s="37">
        <f t="shared" si="61"/>
        <v>0.18</v>
      </c>
      <c r="I273" s="37">
        <f t="shared" si="62"/>
        <v>0.18</v>
      </c>
      <c r="J273" s="20">
        <v>2021</v>
      </c>
      <c r="K273" s="37"/>
      <c r="L273" s="37"/>
      <c r="M273" s="37">
        <f t="shared" si="63"/>
        <v>0</v>
      </c>
      <c r="N273" s="21">
        <v>6857.1</v>
      </c>
      <c r="O273" s="23" t="s">
        <v>4878</v>
      </c>
      <c r="P273" s="22">
        <v>42711102</v>
      </c>
      <c r="Q273" s="19" t="s">
        <v>579</v>
      </c>
      <c r="R273" s="23" t="s">
        <v>580</v>
      </c>
      <c r="S273" s="38">
        <f>IFERROR(VLOOKUP(R273,[47]conductor_pz_summary_hftd_23_re!$B$2:$Q$3636,8,FALSE),0)</f>
        <v>20</v>
      </c>
      <c r="T273" s="201">
        <f>IFERROR(VLOOKUP(R273,[48]conductor_pz_summary_hftd_23_re!$B$2:$H$3636,7,0),0)/1609</f>
        <v>0.42401803587081976</v>
      </c>
      <c r="U273" s="23">
        <f>IFERROR(VLOOKUP(R273,[47]conductor_pz_summary_hftd_23_re!$B$2:$Q$3636,14,FALSE),0)</f>
        <v>3098</v>
      </c>
      <c r="V273" s="37">
        <f t="shared" si="59"/>
        <v>1.74139894046229E-4</v>
      </c>
      <c r="W273" s="202">
        <f>IFERROR(VLOOKUP(R273,[47]conductor_pz_summary_hftd_23_re!$B$2:$Q$3636,13,FALSE),0)</f>
        <v>8.7069947023114492E-6</v>
      </c>
      <c r="X273" s="73">
        <f>IFERROR(VLOOKUP(R273,conductor_pz_summary_hftd_23_re!$B$2:$N$3636,13,FALSE),0)</f>
        <v>3379</v>
      </c>
      <c r="Y273" s="203">
        <f t="shared" si="60"/>
        <v>7.3184927276282298E-5</v>
      </c>
      <c r="Z273" s="23"/>
      <c r="AA273" s="23" t="s">
        <v>4903</v>
      </c>
      <c r="AB273" s="23" t="s">
        <v>5102</v>
      </c>
      <c r="AC273" s="19" t="s">
        <v>4935</v>
      </c>
      <c r="AD273" s="19" t="s">
        <v>4895</v>
      </c>
      <c r="AE273" s="19" t="s">
        <v>4881</v>
      </c>
      <c r="AF273" s="19" t="s">
        <v>4896</v>
      </c>
      <c r="AG273" s="23">
        <v>5794986</v>
      </c>
      <c r="AH273" s="23" t="s">
        <v>5621</v>
      </c>
      <c r="AI273" s="23">
        <v>120242676</v>
      </c>
      <c r="AJ273" s="183">
        <v>35223062</v>
      </c>
      <c r="AK273" s="23" t="s">
        <v>5550</v>
      </c>
      <c r="AL273" s="20">
        <v>0</v>
      </c>
      <c r="AM273" s="20">
        <v>950.4</v>
      </c>
      <c r="AN273" s="20">
        <v>0</v>
      </c>
      <c r="AO273" s="20">
        <v>0</v>
      </c>
      <c r="AQ273" s="39" t="s">
        <v>5633</v>
      </c>
      <c r="AR273" s="23">
        <f>AS273*5280</f>
        <v>950.4</v>
      </c>
      <c r="AS273" s="40">
        <v>0.18</v>
      </c>
      <c r="AT273" s="41">
        <v>579050</v>
      </c>
      <c r="AU273" s="48" t="s">
        <v>6387</v>
      </c>
      <c r="AY273" s="23">
        <f>SUM(AV273:AX273)</f>
        <v>0</v>
      </c>
      <c r="AZ273" s="40"/>
      <c r="BA273" s="172"/>
      <c r="BB273" s="190"/>
      <c r="BC273" s="191"/>
      <c r="BD273" s="191">
        <f t="shared" si="64"/>
        <v>0</v>
      </c>
      <c r="BE273" s="182"/>
      <c r="BF273" s="182"/>
      <c r="BG273" s="23"/>
      <c r="BH273" s="23"/>
      <c r="BI273" s="23"/>
      <c r="BJ273" s="23"/>
      <c r="BK273" s="40"/>
      <c r="BL273" s="44"/>
      <c r="BM273" s="41"/>
      <c r="BN273" s="45"/>
    </row>
    <row r="274" spans="1:72" x14ac:dyDescent="0.25">
      <c r="A274" s="218">
        <v>35223038</v>
      </c>
      <c r="B274" s="116" t="s">
        <v>5502</v>
      </c>
      <c r="C274" s="23">
        <v>10</v>
      </c>
      <c r="D274" s="23" t="str" cm="1">
        <f t="array" ref="D274">IFERROR(_xlfn.IFS(U274&lt;727,"MEET", AB274="FRRB","MEET", AB274="PSPS","MEET"),"No")</f>
        <v>MEET</v>
      </c>
      <c r="E274" s="23" t="str" cm="1">
        <f t="array" ref="E274">IFERROR(_xlfn.IFS(AM274&gt;0,"MEET", AN274&gt;0,"MEET"),"No")</f>
        <v>MEET</v>
      </c>
      <c r="F274" s="100">
        <v>2021215</v>
      </c>
      <c r="G274" s="37"/>
      <c r="H274" s="37">
        <f t="shared" si="61"/>
        <v>0.87000000000000011</v>
      </c>
      <c r="I274" s="37">
        <f t="shared" si="62"/>
        <v>0.87000000000000011</v>
      </c>
      <c r="J274" s="20">
        <v>2021</v>
      </c>
      <c r="K274" s="37"/>
      <c r="L274" s="37"/>
      <c r="M274" s="37">
        <f t="shared" si="63"/>
        <v>0</v>
      </c>
      <c r="N274" s="21">
        <v>8921.7199999999993</v>
      </c>
      <c r="O274" s="183" t="s">
        <v>4870</v>
      </c>
      <c r="P274" s="22">
        <v>163541101</v>
      </c>
      <c r="Q274" s="19" t="s">
        <v>2330</v>
      </c>
      <c r="R274" s="23" t="s">
        <v>2334</v>
      </c>
      <c r="S274" s="38">
        <f>IFERROR(VLOOKUP(R274,[47]conductor_pz_summary_hftd_23_re!$B$2:$Q$3636,8,FALSE),0)</f>
        <v>171</v>
      </c>
      <c r="T274" s="201">
        <f>IFERROR(VLOOKUP(R274,[48]conductor_pz_summary_hftd_23_re!$B$2:$H$3636,7,0),0)/1609</f>
        <v>5.8789709088814037</v>
      </c>
      <c r="U274" s="23">
        <f>IFERROR(VLOOKUP(R274,[47]conductor_pz_summary_hftd_23_re!$B$2:$Q$3636,14,FALSE),0)</f>
        <v>999</v>
      </c>
      <c r="V274" s="37">
        <f t="shared" si="59"/>
        <v>11.526304239796703</v>
      </c>
      <c r="W274" s="202">
        <f>IFERROR(VLOOKUP(R274,[47]conductor_pz_summary_hftd_23_re!$B$2:$Q$3636,13,FALSE),0)</f>
        <v>6.7405287952027507E-2</v>
      </c>
      <c r="X274" s="73">
        <f>IFERROR(VLOOKUP(R274,conductor_pz_summary_hftd_23_re!$B$2:$N$3636,13,FALSE),0)</f>
        <v>1314</v>
      </c>
      <c r="Y274" s="203">
        <f t="shared" si="60"/>
        <v>1.6886638827790756</v>
      </c>
      <c r="Z274" s="23"/>
      <c r="AA274" s="23" t="s">
        <v>4903</v>
      </c>
      <c r="AB274" s="23" t="s">
        <v>5102</v>
      </c>
      <c r="AC274" s="19" t="s">
        <v>5618</v>
      </c>
      <c r="AD274" s="19" t="s">
        <v>4999</v>
      </c>
      <c r="AE274" s="19" t="s">
        <v>4938</v>
      </c>
      <c r="AF274" s="19" t="s">
        <v>4939</v>
      </c>
      <c r="AG274" s="23">
        <v>5794988</v>
      </c>
      <c r="AH274" s="23" t="s">
        <v>5614</v>
      </c>
      <c r="AI274" s="23">
        <v>120242693</v>
      </c>
      <c r="AJ274" s="183">
        <v>35223038</v>
      </c>
      <c r="AK274" s="23" t="s">
        <v>6587</v>
      </c>
      <c r="AL274" s="20">
        <v>0</v>
      </c>
      <c r="AM274" s="20">
        <v>4593.6000000000004</v>
      </c>
      <c r="AN274" s="20">
        <v>0</v>
      </c>
      <c r="AO274" s="20">
        <v>0</v>
      </c>
      <c r="AP274" s="19"/>
      <c r="AQ274" s="39" t="s">
        <v>5634</v>
      </c>
      <c r="AR274" s="23">
        <f>AS274*5280</f>
        <v>4593.6000000000004</v>
      </c>
      <c r="AS274" s="40">
        <v>0.87</v>
      </c>
      <c r="AT274" s="41">
        <v>911350</v>
      </c>
      <c r="AU274" s="23"/>
      <c r="AV274" s="19"/>
      <c r="AW274" s="19"/>
      <c r="AX274" s="19"/>
      <c r="AY274" s="23">
        <f>SUM(AV274:AX274)</f>
        <v>0</v>
      </c>
      <c r="AZ274" s="40"/>
      <c r="BA274" s="172"/>
      <c r="BB274" s="190"/>
      <c r="BC274" s="191"/>
      <c r="BD274" s="191">
        <f t="shared" si="64"/>
        <v>0</v>
      </c>
      <c r="BE274" s="182"/>
      <c r="BF274" s="182"/>
      <c r="BG274" s="23"/>
      <c r="BH274" s="23"/>
      <c r="BI274" s="23"/>
      <c r="BJ274" s="23"/>
      <c r="BK274" s="40"/>
      <c r="BL274" s="44"/>
      <c r="BM274" s="41"/>
      <c r="BN274" s="45"/>
      <c r="BO274" s="19"/>
      <c r="BP274" s="19"/>
      <c r="BQ274" s="19"/>
      <c r="BR274" s="19"/>
      <c r="BS274" s="19"/>
      <c r="BT274" s="19"/>
    </row>
    <row r="275" spans="1:72" s="182" customFormat="1" x14ac:dyDescent="0.25">
      <c r="A275" s="205">
        <v>35234284</v>
      </c>
      <c r="B275" s="116" t="s">
        <v>5502</v>
      </c>
      <c r="C275" s="23">
        <v>10</v>
      </c>
      <c r="D275" s="23" t="str" cm="1">
        <f t="array" ref="D275">IFERROR(_xlfn.IFS(U275&lt;727,"MEET", AB275="FRRB","MEET", AB275="PSPS","MEET"),"No")</f>
        <v>MEET</v>
      </c>
      <c r="E275" s="23" t="str" cm="1">
        <f t="array" ref="E275">IFERROR(_xlfn.IFS(AM275&gt;0,"MEET", AN275&gt;0,"MEET"),"No")</f>
        <v>No</v>
      </c>
      <c r="F275" s="100">
        <v>2021216</v>
      </c>
      <c r="G275" s="37"/>
      <c r="H275" s="37"/>
      <c r="I275" s="37"/>
      <c r="J275" s="20">
        <v>2021</v>
      </c>
      <c r="K275" s="37"/>
      <c r="L275" s="37"/>
      <c r="M275" s="37">
        <f t="shared" si="63"/>
        <v>0</v>
      </c>
      <c r="N275" s="21"/>
      <c r="O275" s="183" t="s">
        <v>4870</v>
      </c>
      <c r="P275" s="22">
        <v>163541101</v>
      </c>
      <c r="Q275" s="19" t="s">
        <v>2330</v>
      </c>
      <c r="R275" s="23" t="s">
        <v>2334</v>
      </c>
      <c r="S275" s="38">
        <f>IFERROR(VLOOKUP(R275,[47]conductor_pz_summary_hftd_23_re!$B$2:$Q$3636,8,FALSE),0)</f>
        <v>171</v>
      </c>
      <c r="T275" s="201">
        <f>IFERROR(VLOOKUP(R275,[48]conductor_pz_summary_hftd_23_re!$B$2:$H$3636,7,0),0)/1609</f>
        <v>5.8789709088814037</v>
      </c>
      <c r="U275" s="23">
        <f>IFERROR(VLOOKUP(R275,[47]conductor_pz_summary_hftd_23_re!$B$2:$Q$3636,14,FALSE),0)</f>
        <v>999</v>
      </c>
      <c r="V275" s="37">
        <f t="shared" si="59"/>
        <v>11.526304239796703</v>
      </c>
      <c r="W275" s="202">
        <f>IFERROR(VLOOKUP(R275,[47]conductor_pz_summary_hftd_23_re!$B$2:$Q$3636,13,FALSE),0)</f>
        <v>6.7405287952027507E-2</v>
      </c>
      <c r="X275" s="183">
        <f>IFERROR(VLOOKUP(R275,conductor_pz_summary_hftd_23_re!$B$2:$N$3636,13,FALSE),0)</f>
        <v>1314</v>
      </c>
      <c r="Y275" s="203" t="e">
        <f t="shared" si="60"/>
        <v>#DIV/0!</v>
      </c>
      <c r="Z275" s="23"/>
      <c r="AA275" s="23" t="s">
        <v>4903</v>
      </c>
      <c r="AB275" s="23" t="s">
        <v>5102</v>
      </c>
      <c r="AC275" s="19" t="s">
        <v>5618</v>
      </c>
      <c r="AD275" s="19" t="s">
        <v>4999</v>
      </c>
      <c r="AE275" s="19" t="s">
        <v>4938</v>
      </c>
      <c r="AF275" s="19" t="s">
        <v>4939</v>
      </c>
      <c r="AG275" s="23">
        <v>5794988</v>
      </c>
      <c r="AH275" s="115" t="s">
        <v>6584</v>
      </c>
      <c r="AI275" s="115">
        <v>120539923</v>
      </c>
      <c r="AJ275" s="183">
        <v>35234284</v>
      </c>
      <c r="AK275" s="23" t="s">
        <v>6586</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x14ac:dyDescent="0.25">
      <c r="A276" s="205">
        <v>35234526</v>
      </c>
      <c r="B276" s="116" t="s">
        <v>5502</v>
      </c>
      <c r="C276" s="23">
        <v>10</v>
      </c>
      <c r="D276" s="23" t="str" cm="1">
        <f t="array" ref="D276">IFERROR(_xlfn.IFS(U276&lt;727,"MEET", AB276="FRRB","MEET", AB276="PSPS","MEET"),"No")</f>
        <v>MEET</v>
      </c>
      <c r="E276" s="23" t="str" cm="1">
        <f t="array" ref="E276">IFERROR(_xlfn.IFS(AM276&gt;0,"MEET", AN276&gt;0,"MEET"),"No")</f>
        <v>No</v>
      </c>
      <c r="F276" s="100">
        <v>2021217</v>
      </c>
      <c r="G276" s="37"/>
      <c r="H276" s="37"/>
      <c r="I276" s="37"/>
      <c r="J276" s="20">
        <v>2021</v>
      </c>
      <c r="K276" s="37"/>
      <c r="L276" s="37"/>
      <c r="M276" s="37">
        <f t="shared" si="63"/>
        <v>0</v>
      </c>
      <c r="N276" s="21"/>
      <c r="O276" s="183" t="s">
        <v>4870</v>
      </c>
      <c r="P276" s="22">
        <v>163541101</v>
      </c>
      <c r="Q276" s="19" t="s">
        <v>2330</v>
      </c>
      <c r="R276" s="23" t="s">
        <v>2334</v>
      </c>
      <c r="S276" s="38">
        <f>IFERROR(VLOOKUP(R276,[47]conductor_pz_summary_hftd_23_re!$B$2:$Q$3636,8,FALSE),0)</f>
        <v>171</v>
      </c>
      <c r="T276" s="201">
        <f>IFERROR(VLOOKUP(R276,[48]conductor_pz_summary_hftd_23_re!$B$2:$H$3636,7,0),0)/1609</f>
        <v>5.8789709088814037</v>
      </c>
      <c r="U276" s="23">
        <f>IFERROR(VLOOKUP(R276,[47]conductor_pz_summary_hftd_23_re!$B$2:$Q$3636,14,FALSE),0)</f>
        <v>999</v>
      </c>
      <c r="V276" s="37">
        <f t="shared" si="59"/>
        <v>11.526304239796703</v>
      </c>
      <c r="W276" s="202">
        <f>IFERROR(VLOOKUP(R276,[47]conductor_pz_summary_hftd_23_re!$B$2:$Q$3636,13,FALSE),0)</f>
        <v>6.7405287952027507E-2</v>
      </c>
      <c r="X276" s="183">
        <f>IFERROR(VLOOKUP(R276,conductor_pz_summary_hftd_23_re!$B$2:$N$3636,13,FALSE),0)</f>
        <v>1314</v>
      </c>
      <c r="Y276" s="203" t="e">
        <f t="shared" si="60"/>
        <v>#DIV/0!</v>
      </c>
      <c r="Z276" s="23"/>
      <c r="AA276" s="23" t="s">
        <v>4903</v>
      </c>
      <c r="AB276" s="23" t="s">
        <v>5102</v>
      </c>
      <c r="AC276" s="19" t="s">
        <v>5618</v>
      </c>
      <c r="AD276" s="19" t="s">
        <v>4999</v>
      </c>
      <c r="AE276" s="19" t="s">
        <v>4938</v>
      </c>
      <c r="AF276" s="19" t="s">
        <v>4939</v>
      </c>
      <c r="AG276" s="23">
        <v>5794988</v>
      </c>
      <c r="AH276" s="115" t="s">
        <v>6583</v>
      </c>
      <c r="AI276" s="115">
        <v>120574717</v>
      </c>
      <c r="AJ276" s="183">
        <v>35234526</v>
      </c>
      <c r="AK276" s="23" t="s">
        <v>6585</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x14ac:dyDescent="0.25">
      <c r="A277" s="218">
        <v>35223060</v>
      </c>
      <c r="B277" s="116" t="s">
        <v>5502</v>
      </c>
      <c r="C277" s="23">
        <v>9</v>
      </c>
      <c r="D277" s="23" t="str" cm="1">
        <f t="array" ref="D277">IFERROR(_xlfn.IFS(U277&lt;727,"MEET", AB277="FRRB","MEET", AB277="PSPS","MEET"),"No")</f>
        <v>MEET</v>
      </c>
      <c r="E277" s="23" t="str" cm="1">
        <f t="array" ref="E277">IFERROR(_xlfn.IFS(AM277&gt;0,"MEET", AN277&gt;0,"MEET"),"No")</f>
        <v>MEET</v>
      </c>
      <c r="F277" s="100">
        <v>2021218</v>
      </c>
      <c r="G277" s="37"/>
      <c r="H277" s="37">
        <f>SUM(AL277:AO277)/5280</f>
        <v>1.7400000000000002</v>
      </c>
      <c r="I277" s="37">
        <f>H277-M277</f>
        <v>1.7400000000000002</v>
      </c>
      <c r="J277" s="20">
        <v>2021</v>
      </c>
      <c r="K277" s="37"/>
      <c r="L277" s="37"/>
      <c r="M277" s="37">
        <f t="shared" si="63"/>
        <v>0</v>
      </c>
      <c r="N277" s="21">
        <v>5062.09</v>
      </c>
      <c r="O277" s="23" t="s">
        <v>4878</v>
      </c>
      <c r="P277" s="22">
        <v>152101101</v>
      </c>
      <c r="Q277" s="19" t="s">
        <v>30</v>
      </c>
      <c r="R277" s="23" t="s">
        <v>37</v>
      </c>
      <c r="S277" s="38">
        <f>IFERROR(VLOOKUP(R277,[47]conductor_pz_summary_hftd_23_re!$B$2:$Q$3636,8,FALSE),0)</f>
        <v>49</v>
      </c>
      <c r="T277" s="201">
        <f>IFERROR(VLOOKUP(R277,[48]conductor_pz_summary_hftd_23_re!$B$2:$H$3636,7,0),0)/1609</f>
        <v>4.1490947932397697</v>
      </c>
      <c r="U277" s="23">
        <f>IFERROR(VLOOKUP(R277,[47]conductor_pz_summary_hftd_23_re!$B$2:$Q$3636,14,FALSE),0)</f>
        <v>2010</v>
      </c>
      <c r="V277" s="37">
        <f t="shared" si="59"/>
        <v>0.43385097537113704</v>
      </c>
      <c r="W277" s="202">
        <f>IFERROR(VLOOKUP(R277,[47]conductor_pz_summary_hftd_23_re!$B$2:$Q$3636,13,FALSE),0)</f>
        <v>8.8541015381864707E-3</v>
      </c>
      <c r="X277" s="73">
        <f>IFERROR(VLOOKUP(R277,conductor_pz_summary_hftd_23_re!$B$2:$N$3636,13,FALSE),0)</f>
        <v>2312</v>
      </c>
      <c r="Y277" s="203">
        <f t="shared" si="60"/>
        <v>0.18012403365476268</v>
      </c>
      <c r="Z277" s="23"/>
      <c r="AA277" s="23"/>
      <c r="AB277" s="23" t="s">
        <v>5102</v>
      </c>
      <c r="AC277" s="19" t="s">
        <v>5617</v>
      </c>
      <c r="AD277" s="19" t="s">
        <v>4887</v>
      </c>
      <c r="AE277" s="19" t="s">
        <v>4887</v>
      </c>
      <c r="AF277" s="19" t="s">
        <v>4875</v>
      </c>
      <c r="AG277" s="23">
        <v>5794984</v>
      </c>
      <c r="AH277" s="23" t="s">
        <v>5611</v>
      </c>
      <c r="AI277" s="23">
        <v>120242671</v>
      </c>
      <c r="AJ277" s="183">
        <v>35223060</v>
      </c>
      <c r="AK277" s="23" t="s">
        <v>6582</v>
      </c>
      <c r="AL277" s="20">
        <v>0</v>
      </c>
      <c r="AM277" s="20">
        <v>9187.2000000000007</v>
      </c>
      <c r="AN277" s="20">
        <v>0</v>
      </c>
      <c r="AO277" s="20">
        <v>0</v>
      </c>
      <c r="AP277" s="19"/>
      <c r="AQ277" s="39" t="s">
        <v>5625</v>
      </c>
      <c r="AR277" s="23">
        <f>AS277*5280</f>
        <v>9187.2000000000007</v>
      </c>
      <c r="AS277" s="40">
        <v>1.74</v>
      </c>
      <c r="AT277" s="41">
        <v>4040000</v>
      </c>
      <c r="AU277" s="23"/>
      <c r="AV277" s="19"/>
      <c r="AW277" s="19"/>
      <c r="AX277" s="19"/>
      <c r="AY277" s="23">
        <f>SUM(AV277:AX277)</f>
        <v>0</v>
      </c>
      <c r="AZ277" s="40"/>
      <c r="BA277" s="172"/>
      <c r="BB277" s="190"/>
      <c r="BC277" s="191"/>
      <c r="BD277" s="191">
        <f>IFERROR(BC277/BB277,0)</f>
        <v>0</v>
      </c>
      <c r="BE277" s="182"/>
      <c r="BF277" s="182"/>
      <c r="BG277" s="23"/>
      <c r="BH277" s="23"/>
      <c r="BI277" s="23"/>
      <c r="BJ277" s="23"/>
      <c r="BK277" s="40"/>
      <c r="BL277" s="44"/>
      <c r="BM277" s="41"/>
      <c r="BN277" s="45"/>
      <c r="BO277" s="19"/>
      <c r="BP277" s="19"/>
      <c r="BQ277" s="19"/>
      <c r="BR277" s="19"/>
      <c r="BS277" s="19"/>
      <c r="BT277" s="19"/>
    </row>
    <row r="278" spans="1:72" x14ac:dyDescent="0.25">
      <c r="A278" s="218">
        <v>35234527</v>
      </c>
      <c r="B278" s="116" t="s">
        <v>5502</v>
      </c>
      <c r="C278" s="23">
        <v>9</v>
      </c>
      <c r="D278" s="23" t="str" cm="1">
        <f t="array" ref="D278">IFERROR(_xlfn.IFS(U278&lt;727,"MEET", AB278="FRRB","MEET", AB278="PSPS","MEET"),"No")</f>
        <v>MEET</v>
      </c>
      <c r="E278" s="23" t="str" cm="1">
        <f t="array" ref="E278">IFERROR(_xlfn.IFS(AM278&gt;0,"MEET", AN278&gt;0,"MEET"),"No")</f>
        <v>No</v>
      </c>
      <c r="F278" s="100">
        <v>2021219</v>
      </c>
      <c r="G278" s="37"/>
      <c r="H278" s="37"/>
      <c r="I278" s="37"/>
      <c r="J278" s="20">
        <v>2021</v>
      </c>
      <c r="K278" s="37"/>
      <c r="L278" s="37"/>
      <c r="M278" s="37">
        <f t="shared" si="63"/>
        <v>0</v>
      </c>
      <c r="N278" s="21">
        <v>0</v>
      </c>
      <c r="O278" s="23" t="s">
        <v>4878</v>
      </c>
      <c r="P278" s="22">
        <v>152101101</v>
      </c>
      <c r="Q278" s="19" t="s">
        <v>30</v>
      </c>
      <c r="R278" s="23" t="s">
        <v>37</v>
      </c>
      <c r="S278" s="38">
        <f>IFERROR(VLOOKUP(R278,[47]conductor_pz_summary_hftd_23_re!$B$2:$Q$3636,8,FALSE),0)</f>
        <v>49</v>
      </c>
      <c r="T278" s="201">
        <f>IFERROR(VLOOKUP(R278,[48]conductor_pz_summary_hftd_23_re!$B$2:$H$3636,7,0),0)/1609</f>
        <v>4.1490947932397697</v>
      </c>
      <c r="U278" s="23">
        <f>IFERROR(VLOOKUP(R278,[47]conductor_pz_summary_hftd_23_re!$B$2:$Q$3636,14,FALSE),0)</f>
        <v>2010</v>
      </c>
      <c r="V278" s="37">
        <f t="shared" si="59"/>
        <v>0.43385097537113704</v>
      </c>
      <c r="W278" s="202">
        <f>IFERROR(VLOOKUP(R278,[47]conductor_pz_summary_hftd_23_re!$B$2:$Q$3636,13,FALSE),0)</f>
        <v>8.8541015381864707E-3</v>
      </c>
      <c r="X278" s="73">
        <f>IFERROR(VLOOKUP(R278,conductor_pz_summary_hftd_23_re!$B$2:$N$3636,13,FALSE),0)</f>
        <v>2312</v>
      </c>
      <c r="Y278" s="203" t="e">
        <f t="shared" si="60"/>
        <v>#DIV/0!</v>
      </c>
      <c r="Z278" s="23"/>
      <c r="AA278" s="23"/>
      <c r="AB278" s="23" t="s">
        <v>5102</v>
      </c>
      <c r="AC278" s="19" t="s">
        <v>5617</v>
      </c>
      <c r="AD278" s="19" t="s">
        <v>4887</v>
      </c>
      <c r="AE278" s="19" t="s">
        <v>4887</v>
      </c>
      <c r="AF278" s="19" t="s">
        <v>4875</v>
      </c>
      <c r="AG278" s="23">
        <v>5794984</v>
      </c>
      <c r="AH278" s="23" t="s">
        <v>6576</v>
      </c>
      <c r="AI278" s="23">
        <v>120574718</v>
      </c>
      <c r="AJ278" s="183">
        <v>35234527</v>
      </c>
      <c r="AK278" s="23" t="s">
        <v>6579</v>
      </c>
      <c r="AL278" s="20"/>
      <c r="AM278" s="20"/>
      <c r="AN278" s="20"/>
      <c r="AO278" s="20"/>
      <c r="AP278" s="19"/>
      <c r="AQ278" s="39"/>
      <c r="AR278" s="23"/>
      <c r="AS278" s="40"/>
      <c r="AT278" s="41"/>
      <c r="AU278" s="23"/>
      <c r="AV278" s="19"/>
      <c r="AW278" s="19"/>
      <c r="AX278" s="19"/>
      <c r="AY278" s="23"/>
      <c r="AZ278" s="40"/>
      <c r="BA278" s="172"/>
      <c r="BB278" s="190"/>
      <c r="BC278" s="191"/>
      <c r="BD278" s="191"/>
      <c r="BE278" s="182"/>
      <c r="BF278" s="182"/>
      <c r="BG278" s="23"/>
      <c r="BH278" s="23"/>
      <c r="BI278" s="23"/>
      <c r="BJ278" s="23"/>
      <c r="BK278" s="40"/>
      <c r="BL278" s="44"/>
      <c r="BM278" s="41"/>
      <c r="BN278" s="45"/>
      <c r="BO278" s="19"/>
      <c r="BP278" s="19"/>
      <c r="BQ278" s="19"/>
      <c r="BR278" s="19"/>
      <c r="BS278" s="19"/>
      <c r="BT278" s="19"/>
    </row>
    <row r="279" spans="1:72" s="182" customFormat="1" x14ac:dyDescent="0.25">
      <c r="A279" s="218">
        <v>35234528</v>
      </c>
      <c r="B279" s="116" t="s">
        <v>5502</v>
      </c>
      <c r="C279" s="23">
        <v>9</v>
      </c>
      <c r="D279" s="23" t="str" cm="1">
        <f t="array" ref="D279">IFERROR(_xlfn.IFS(U279&lt;727,"MEET", AB279="FRRB","MEET", AB279="PSPS","MEET"),"No")</f>
        <v>MEET</v>
      </c>
      <c r="E279" s="23" t="str" cm="1">
        <f t="array" ref="E279">IFERROR(_xlfn.IFS(AM279&gt;0,"MEET", AN279&gt;0,"MEET"),"No")</f>
        <v>No</v>
      </c>
      <c r="F279" s="100">
        <v>2021220</v>
      </c>
      <c r="G279" s="37"/>
      <c r="H279" s="37"/>
      <c r="I279" s="37"/>
      <c r="J279" s="20">
        <v>2021</v>
      </c>
      <c r="K279" s="37"/>
      <c r="L279" s="37"/>
      <c r="M279" s="37">
        <f t="shared" si="63"/>
        <v>0</v>
      </c>
      <c r="N279" s="21">
        <v>0</v>
      </c>
      <c r="O279" s="23" t="s">
        <v>4878</v>
      </c>
      <c r="P279" s="22">
        <v>152101101</v>
      </c>
      <c r="Q279" s="19" t="s">
        <v>30</v>
      </c>
      <c r="R279" s="23" t="s">
        <v>37</v>
      </c>
      <c r="S279" s="38">
        <f>IFERROR(VLOOKUP(R279,[47]conductor_pz_summary_hftd_23_re!$B$2:$Q$3636,8,FALSE),0)</f>
        <v>49</v>
      </c>
      <c r="T279" s="201">
        <f>IFERROR(VLOOKUP(R279,[48]conductor_pz_summary_hftd_23_re!$B$2:$H$3636,7,0),0)/1609</f>
        <v>4.1490947932397697</v>
      </c>
      <c r="U279" s="23">
        <f>IFERROR(VLOOKUP(R279,[47]conductor_pz_summary_hftd_23_re!$B$2:$Q$3636,14,FALSE),0)</f>
        <v>2010</v>
      </c>
      <c r="V279" s="37">
        <f t="shared" si="59"/>
        <v>0.43385097537113704</v>
      </c>
      <c r="W279" s="202">
        <f>IFERROR(VLOOKUP(R279,[47]conductor_pz_summary_hftd_23_re!$B$2:$Q$3636,13,FALSE),0)</f>
        <v>8.8541015381864707E-3</v>
      </c>
      <c r="X279" s="183">
        <f>IFERROR(VLOOKUP(R279,conductor_pz_summary_hftd_23_re!$B$2:$N$3636,13,FALSE),0)</f>
        <v>2312</v>
      </c>
      <c r="Y279" s="203" t="e">
        <f t="shared" si="60"/>
        <v>#DIV/0!</v>
      </c>
      <c r="Z279" s="23"/>
      <c r="AA279" s="23"/>
      <c r="AB279" s="23" t="s">
        <v>5102</v>
      </c>
      <c r="AC279" s="19" t="s">
        <v>5617</v>
      </c>
      <c r="AD279" s="19" t="s">
        <v>4887</v>
      </c>
      <c r="AE279" s="19" t="s">
        <v>4887</v>
      </c>
      <c r="AF279" s="19" t="s">
        <v>4875</v>
      </c>
      <c r="AG279" s="23">
        <v>5794984</v>
      </c>
      <c r="AH279" s="23" t="s">
        <v>6577</v>
      </c>
      <c r="AI279" s="23">
        <v>120574870</v>
      </c>
      <c r="AJ279" s="183">
        <v>35234528</v>
      </c>
      <c r="AK279" s="23" t="s">
        <v>6580</v>
      </c>
      <c r="AL279" s="20"/>
      <c r="AM279" s="20"/>
      <c r="AN279" s="20"/>
      <c r="AO279" s="20"/>
      <c r="AP279" s="19"/>
      <c r="AQ279" s="39"/>
      <c r="AR279" s="23"/>
      <c r="AS279" s="40"/>
      <c r="AT279" s="41"/>
      <c r="AU279" s="23"/>
      <c r="AV279" s="19"/>
      <c r="AW279" s="19"/>
      <c r="AX279" s="19"/>
      <c r="AY279" s="23"/>
      <c r="AZ279" s="40"/>
      <c r="BA279" s="172"/>
      <c r="BB279" s="190"/>
      <c r="BC279" s="191"/>
      <c r="BD279" s="191"/>
      <c r="BG279" s="23"/>
      <c r="BH279" s="23"/>
      <c r="BI279" s="23"/>
      <c r="BJ279" s="23"/>
      <c r="BK279" s="40"/>
      <c r="BL279" s="44"/>
      <c r="BM279" s="41"/>
      <c r="BN279" s="45"/>
      <c r="BO279" s="19"/>
      <c r="BP279" s="19"/>
      <c r="BQ279" s="19"/>
      <c r="BR279" s="19"/>
      <c r="BS279" s="19"/>
      <c r="BT279" s="19"/>
    </row>
    <row r="280" spans="1:72" s="182" customFormat="1" x14ac:dyDescent="0.25">
      <c r="A280" s="218">
        <v>35234529</v>
      </c>
      <c r="B280" s="116" t="s">
        <v>5502</v>
      </c>
      <c r="C280" s="23">
        <v>9</v>
      </c>
      <c r="D280" s="23" t="str" cm="1">
        <f t="array" ref="D280">IFERROR(_xlfn.IFS(U280&lt;727,"MEET", AB280="FRRB","MEET", AB280="PSPS","MEET"),"No")</f>
        <v>MEET</v>
      </c>
      <c r="E280" s="23" t="str" cm="1">
        <f t="array" ref="E280">IFERROR(_xlfn.IFS(AM280&gt;0,"MEET", AN280&gt;0,"MEET"),"No")</f>
        <v>No</v>
      </c>
      <c r="F280" s="100">
        <v>2021221</v>
      </c>
      <c r="G280" s="37"/>
      <c r="H280" s="37"/>
      <c r="I280" s="37"/>
      <c r="J280" s="20">
        <v>2021</v>
      </c>
      <c r="K280" s="37"/>
      <c r="L280" s="37"/>
      <c r="M280" s="37">
        <f t="shared" si="63"/>
        <v>0</v>
      </c>
      <c r="N280" s="21">
        <v>0</v>
      </c>
      <c r="O280" s="23" t="s">
        <v>4878</v>
      </c>
      <c r="P280" s="22">
        <v>152101101</v>
      </c>
      <c r="Q280" s="19" t="s">
        <v>30</v>
      </c>
      <c r="R280" s="23" t="s">
        <v>37</v>
      </c>
      <c r="S280" s="38">
        <f>IFERROR(VLOOKUP(R280,[47]conductor_pz_summary_hftd_23_re!$B$2:$Q$3636,8,FALSE),0)</f>
        <v>49</v>
      </c>
      <c r="T280" s="201">
        <f>IFERROR(VLOOKUP(R280,[48]conductor_pz_summary_hftd_23_re!$B$2:$H$3636,7,0),0)/1609</f>
        <v>4.1490947932397697</v>
      </c>
      <c r="U280" s="23">
        <f>IFERROR(VLOOKUP(R280,[47]conductor_pz_summary_hftd_23_re!$B$2:$Q$3636,14,FALSE),0)</f>
        <v>2010</v>
      </c>
      <c r="V280" s="37">
        <f t="shared" si="59"/>
        <v>0.43385097537113704</v>
      </c>
      <c r="W280" s="202">
        <f>IFERROR(VLOOKUP(R280,[47]conductor_pz_summary_hftd_23_re!$B$2:$Q$3636,13,FALSE),0)</f>
        <v>8.8541015381864707E-3</v>
      </c>
      <c r="X280" s="183">
        <f>IFERROR(VLOOKUP(R280,conductor_pz_summary_hftd_23_re!$B$2:$N$3636,13,FALSE),0)</f>
        <v>2312</v>
      </c>
      <c r="Y280" s="203" t="e">
        <f t="shared" si="60"/>
        <v>#DIV/0!</v>
      </c>
      <c r="Z280" s="23"/>
      <c r="AA280" s="23"/>
      <c r="AB280" s="23" t="s">
        <v>5102</v>
      </c>
      <c r="AC280" s="19" t="s">
        <v>5617</v>
      </c>
      <c r="AD280" s="19" t="s">
        <v>4887</v>
      </c>
      <c r="AE280" s="19" t="s">
        <v>4887</v>
      </c>
      <c r="AF280" s="19" t="s">
        <v>4875</v>
      </c>
      <c r="AG280" s="23">
        <v>5794984</v>
      </c>
      <c r="AH280" s="23" t="s">
        <v>6578</v>
      </c>
      <c r="AI280" s="23">
        <v>120574871</v>
      </c>
      <c r="AJ280" s="183">
        <v>35234529</v>
      </c>
      <c r="AK280" s="23" t="s">
        <v>6581</v>
      </c>
      <c r="AL280" s="20"/>
      <c r="AM280" s="20"/>
      <c r="AN280" s="20"/>
      <c r="AO280" s="20"/>
      <c r="AP280" s="19"/>
      <c r="AQ280" s="39"/>
      <c r="AR280" s="23"/>
      <c r="AS280" s="40"/>
      <c r="AT280" s="41"/>
      <c r="AU280" s="23"/>
      <c r="AV280" s="19"/>
      <c r="AW280" s="19"/>
      <c r="AX280" s="19"/>
      <c r="AY280" s="23"/>
      <c r="AZ280" s="40"/>
      <c r="BA280" s="172"/>
      <c r="BB280" s="190"/>
      <c r="BC280" s="191"/>
      <c r="BD280" s="191"/>
      <c r="BG280" s="23"/>
      <c r="BH280" s="23"/>
      <c r="BI280" s="23"/>
      <c r="BJ280" s="23"/>
      <c r="BK280" s="40"/>
      <c r="BL280" s="44"/>
      <c r="BM280" s="41"/>
      <c r="BN280" s="45"/>
      <c r="BO280" s="19"/>
      <c r="BP280" s="19"/>
      <c r="BQ280" s="19"/>
      <c r="BR280" s="19"/>
      <c r="BS280" s="19"/>
      <c r="BT280" s="19"/>
    </row>
    <row r="281" spans="1:72" s="182" customFormat="1" x14ac:dyDescent="0.25">
      <c r="A281" s="218">
        <v>35223063</v>
      </c>
      <c r="B281" s="116" t="s">
        <v>5502</v>
      </c>
      <c r="C281" s="23">
        <v>9</v>
      </c>
      <c r="D281" s="23" t="str" cm="1">
        <f t="array" ref="D281">IFERROR(_xlfn.IFS(U281&lt;727,"MEET", AB281="FRRB","MEET", AB281="PSPS","MEET"),"No")</f>
        <v>MEET</v>
      </c>
      <c r="E281" s="23" t="str" cm="1">
        <f t="array" ref="E281">IFERROR(_xlfn.IFS(AM281&gt;0,"MEET", AN281&gt;0,"MEET"),"No")</f>
        <v>MEET</v>
      </c>
      <c r="F281" s="100">
        <v>2021222</v>
      </c>
      <c r="G281" s="37"/>
      <c r="H281" s="37">
        <f t="shared" ref="H281:H287" si="65">SUM(AL281:AO281)/5280</f>
        <v>0.15113636363636362</v>
      </c>
      <c r="I281" s="37">
        <f t="shared" ref="I281:I287" si="66">H281-M281</f>
        <v>0.15113636363636362</v>
      </c>
      <c r="J281" s="20">
        <v>2021</v>
      </c>
      <c r="K281" s="37"/>
      <c r="L281" s="37"/>
      <c r="M281" s="37">
        <f t="shared" si="63"/>
        <v>0</v>
      </c>
      <c r="N281" s="21">
        <v>4536.46</v>
      </c>
      <c r="O281" s="23" t="s">
        <v>4878</v>
      </c>
      <c r="P281" s="22">
        <v>43071101</v>
      </c>
      <c r="Q281" s="19" t="s">
        <v>1190</v>
      </c>
      <c r="R281" s="23" t="s">
        <v>1199</v>
      </c>
      <c r="S281" s="38">
        <f>IFERROR(VLOOKUP(R281,[47]conductor_pz_summary_hftd_23_re!$B$2:$Q$3636,8,FALSE),0)</f>
        <v>191</v>
      </c>
      <c r="T281" s="201">
        <f>IFERROR(VLOOKUP(R281,[48]conductor_pz_summary_hftd_23_re!$B$2:$H$3636,7,0),0)/1609</f>
        <v>3.1203148217925047</v>
      </c>
      <c r="U281" s="23">
        <f>IFERROR(VLOOKUP(R281,[47]conductor_pz_summary_hftd_23_re!$B$2:$Q$3636,14,FALSE),0)</f>
        <v>2048</v>
      </c>
      <c r="V281" s="37">
        <f t="shared" si="59"/>
        <v>1.5266650751433082</v>
      </c>
      <c r="W281" s="202">
        <f>IFERROR(VLOOKUP(R281,[47]conductor_pz_summary_hftd_23_re!$B$2:$Q$3636,13,FALSE),0)</f>
        <v>7.9930108646246497E-3</v>
      </c>
      <c r="X281" s="183">
        <f>IFERROR(VLOOKUP(R281,conductor_pz_summary_hftd_23_re!$B$2:$N$3636,13,FALSE),0)</f>
        <v>2185</v>
      </c>
      <c r="Y281" s="203">
        <f t="shared" si="60"/>
        <v>7.3206479126069243E-2</v>
      </c>
      <c r="Z281" s="23"/>
      <c r="AA281" s="23" t="s">
        <v>4903</v>
      </c>
      <c r="AB281" s="23" t="s">
        <v>5102</v>
      </c>
      <c r="AC281" s="19" t="s">
        <v>4924</v>
      </c>
      <c r="AD281" s="19" t="s">
        <v>4925</v>
      </c>
      <c r="AE281" s="19" t="s">
        <v>4925</v>
      </c>
      <c r="AF281" s="19" t="s">
        <v>4875</v>
      </c>
      <c r="AG281" s="23">
        <v>5794985</v>
      </c>
      <c r="AH281" s="23" t="s">
        <v>5612</v>
      </c>
      <c r="AI281" s="23">
        <v>120242673</v>
      </c>
      <c r="AJ281" s="183">
        <v>35223063</v>
      </c>
      <c r="AK281" s="23" t="s">
        <v>6307</v>
      </c>
      <c r="AL281" s="20">
        <v>0</v>
      </c>
      <c r="AM281" s="20">
        <v>798</v>
      </c>
      <c r="AN281" s="20">
        <v>0</v>
      </c>
      <c r="AO281" s="20">
        <v>0</v>
      </c>
      <c r="AP281" s="19"/>
      <c r="AQ281" s="48" t="s">
        <v>5624</v>
      </c>
      <c r="AR281" s="23">
        <f>AS281*5280</f>
        <v>10190.4</v>
      </c>
      <c r="AS281" s="40">
        <v>1.93</v>
      </c>
      <c r="AT281" s="41">
        <v>4690000</v>
      </c>
      <c r="AU281" s="23"/>
      <c r="AV281" s="19"/>
      <c r="AW281" s="19"/>
      <c r="AX281" s="19"/>
      <c r="AY281" s="23">
        <f>SUM(AV281:AX281)</f>
        <v>0</v>
      </c>
      <c r="AZ281" s="40"/>
      <c r="BA281" s="172"/>
      <c r="BB281" s="190"/>
      <c r="BC281" s="191"/>
      <c r="BD281" s="191">
        <f t="shared" ref="BD281:BD287" si="67">IFERROR(BC281/BB281,0)</f>
        <v>0</v>
      </c>
      <c r="BG281" s="23"/>
      <c r="BH281" s="23"/>
      <c r="BI281" s="23"/>
      <c r="BJ281" s="23"/>
      <c r="BK281" s="40"/>
      <c r="BL281" s="44"/>
      <c r="BM281" s="41"/>
      <c r="BN281" s="45"/>
      <c r="BO281" s="19"/>
      <c r="BP281" s="19"/>
      <c r="BQ281" s="19"/>
      <c r="BR281" s="19"/>
      <c r="BS281" s="19"/>
      <c r="BT281" s="19"/>
    </row>
    <row r="282" spans="1:72" x14ac:dyDescent="0.25">
      <c r="A282" s="218">
        <v>35228774</v>
      </c>
      <c r="B282" s="116" t="s">
        <v>5502</v>
      </c>
      <c r="C282" s="23">
        <v>9</v>
      </c>
      <c r="D282" s="23" t="str" cm="1">
        <f t="array" ref="D282">IFERROR(_xlfn.IFS(U282&lt;727,"MEET", AB282="FRRB","MEET", AB282="PSPS","MEET"),"No")</f>
        <v>MEET</v>
      </c>
      <c r="E282" s="23" t="str" cm="1">
        <f t="array" ref="E282">IFERROR(_xlfn.IFS(AM282&gt;0,"MEET", AN282&gt;0,"MEET"),"No")</f>
        <v>MEET</v>
      </c>
      <c r="F282" s="100">
        <v>2021223</v>
      </c>
      <c r="G282" s="37"/>
      <c r="H282" s="37">
        <f t="shared" si="65"/>
        <v>0.97405303030303025</v>
      </c>
      <c r="I282" s="37">
        <f t="shared" si="66"/>
        <v>0.97405303030303025</v>
      </c>
      <c r="J282" s="20">
        <v>2021</v>
      </c>
      <c r="K282" s="37"/>
      <c r="L282" s="37"/>
      <c r="M282" s="37">
        <f t="shared" si="63"/>
        <v>0</v>
      </c>
      <c r="N282" s="21">
        <v>0</v>
      </c>
      <c r="O282" s="23" t="s">
        <v>4878</v>
      </c>
      <c r="P282" s="22">
        <v>43071101</v>
      </c>
      <c r="Q282" s="19" t="s">
        <v>1190</v>
      </c>
      <c r="R282" s="23" t="s">
        <v>1199</v>
      </c>
      <c r="S282" s="38">
        <f>IFERROR(VLOOKUP(R282,[47]conductor_pz_summary_hftd_23_re!$B$2:$Q$3636,8,FALSE),0)</f>
        <v>191</v>
      </c>
      <c r="T282" s="201">
        <f>IFERROR(VLOOKUP(R282,[48]conductor_pz_summary_hftd_23_re!$B$2:$H$3636,7,0),0)/1609</f>
        <v>3.1203148217925047</v>
      </c>
      <c r="U282" s="23">
        <f>IFERROR(VLOOKUP(R282,[47]conductor_pz_summary_hftd_23_re!$B$2:$Q$3636,14,FALSE),0)</f>
        <v>2048</v>
      </c>
      <c r="V282" s="37">
        <f t="shared" si="59"/>
        <v>1.5266650751433082</v>
      </c>
      <c r="W282" s="202">
        <f>IFERROR(VLOOKUP(R282,[47]conductor_pz_summary_hftd_23_re!$B$2:$Q$3636,13,FALSE),0)</f>
        <v>7.9930108646246497E-3</v>
      </c>
      <c r="X282" s="73">
        <f>IFERROR(VLOOKUP(R282,conductor_pz_summary_hftd_23_re!$B$2:$N$3636,13,FALSE),0)</f>
        <v>2185</v>
      </c>
      <c r="Y282" s="203">
        <f t="shared" si="60"/>
        <v>0.47180566684883968</v>
      </c>
      <c r="Z282" s="23"/>
      <c r="AA282" s="23" t="s">
        <v>4903</v>
      </c>
      <c r="AB282" s="23" t="s">
        <v>5102</v>
      </c>
      <c r="AC282" s="19" t="s">
        <v>4924</v>
      </c>
      <c r="AD282" s="19" t="s">
        <v>4925</v>
      </c>
      <c r="AE282" s="19" t="s">
        <v>4925</v>
      </c>
      <c r="AF282" s="19" t="s">
        <v>4875</v>
      </c>
      <c r="AG282" s="23">
        <v>5794985</v>
      </c>
      <c r="AH282" s="23" t="s">
        <v>6303</v>
      </c>
      <c r="AI282" s="23">
        <v>120487476</v>
      </c>
      <c r="AJ282" s="183">
        <v>35228774</v>
      </c>
      <c r="AK282" s="23" t="s">
        <v>6305</v>
      </c>
      <c r="AL282" s="20"/>
      <c r="AM282" s="20">
        <v>5143</v>
      </c>
      <c r="AN282" s="20"/>
      <c r="AO282" s="20"/>
      <c r="AP282" s="19"/>
      <c r="AQ282" s="48" t="s">
        <v>5624</v>
      </c>
      <c r="AR282" s="23"/>
      <c r="AS282" s="40"/>
      <c r="AT282" s="41"/>
      <c r="AU282" s="23"/>
      <c r="AV282" s="19"/>
      <c r="AW282" s="19"/>
      <c r="AX282" s="19"/>
      <c r="AY282" s="23"/>
      <c r="AZ282" s="40"/>
      <c r="BA282" s="172"/>
      <c r="BB282" s="190"/>
      <c r="BC282" s="191"/>
      <c r="BD282" s="191">
        <f t="shared" si="67"/>
        <v>0</v>
      </c>
      <c r="BE282" s="182"/>
      <c r="BF282" s="182"/>
      <c r="BG282" s="23"/>
      <c r="BH282" s="23"/>
      <c r="BI282" s="23"/>
      <c r="BJ282" s="23"/>
      <c r="BK282" s="40"/>
      <c r="BL282" s="44"/>
      <c r="BM282" s="41"/>
      <c r="BN282" s="45"/>
      <c r="BO282" s="19"/>
      <c r="BP282" s="19"/>
      <c r="BQ282" s="19"/>
      <c r="BR282" s="19"/>
      <c r="BS282" s="19"/>
      <c r="BT282" s="19"/>
    </row>
    <row r="283" spans="1:72" s="159" customFormat="1" x14ac:dyDescent="0.25">
      <c r="A283" s="218">
        <v>35228775</v>
      </c>
      <c r="B283" s="116" t="s">
        <v>5502</v>
      </c>
      <c r="C283" s="23">
        <v>9</v>
      </c>
      <c r="D283" s="23" t="str" cm="1">
        <f t="array" ref="D283">IFERROR(_xlfn.IFS(U283&lt;727,"MEET", AB283="FRRB","MEET", AB283="PSPS","MEET"),"No")</f>
        <v>MEET</v>
      </c>
      <c r="E283" s="23" t="str" cm="1">
        <f t="array" ref="E283">IFERROR(_xlfn.IFS(AM283&gt;0,"MEET", AN283&gt;0,"MEET"),"No")</f>
        <v>MEET</v>
      </c>
      <c r="F283" s="100">
        <v>2021224</v>
      </c>
      <c r="G283" s="37"/>
      <c r="H283" s="37">
        <f t="shared" si="65"/>
        <v>0.88617424242424248</v>
      </c>
      <c r="I283" s="37">
        <f t="shared" si="66"/>
        <v>0.88617424242424248</v>
      </c>
      <c r="J283" s="20">
        <v>2021</v>
      </c>
      <c r="K283" s="37"/>
      <c r="L283" s="37"/>
      <c r="M283" s="37">
        <f t="shared" si="63"/>
        <v>0</v>
      </c>
      <c r="N283" s="21">
        <v>0</v>
      </c>
      <c r="O283" s="23" t="s">
        <v>4878</v>
      </c>
      <c r="P283" s="22">
        <v>43071101</v>
      </c>
      <c r="Q283" s="19" t="s">
        <v>1190</v>
      </c>
      <c r="R283" s="23" t="s">
        <v>1199</v>
      </c>
      <c r="S283" s="38">
        <f>IFERROR(VLOOKUP(R283,[47]conductor_pz_summary_hftd_23_re!$B$2:$Q$3636,8,FALSE),0)</f>
        <v>191</v>
      </c>
      <c r="T283" s="201">
        <f>IFERROR(VLOOKUP(R283,[48]conductor_pz_summary_hftd_23_re!$B$2:$H$3636,7,0),0)/1609</f>
        <v>3.1203148217925047</v>
      </c>
      <c r="U283" s="23">
        <f>IFERROR(VLOOKUP(R283,[47]conductor_pz_summary_hftd_23_re!$B$2:$Q$3636,14,FALSE),0)</f>
        <v>2048</v>
      </c>
      <c r="V283" s="37">
        <f t="shared" si="59"/>
        <v>1.5266650751433082</v>
      </c>
      <c r="W283" s="202">
        <f>IFERROR(VLOOKUP(R283,[47]conductor_pz_summary_hftd_23_re!$B$2:$Q$3636,13,FALSE),0)</f>
        <v>7.9930108646246497E-3</v>
      </c>
      <c r="X283" s="160">
        <f>IFERROR(VLOOKUP(R283,conductor_pz_summary_hftd_23_re!$B$2:$N$3636,13,FALSE),0)</f>
        <v>2185</v>
      </c>
      <c r="Y283" s="203">
        <f t="shared" si="60"/>
        <v>0.42923949352240354</v>
      </c>
      <c r="Z283" s="23"/>
      <c r="AA283" s="23" t="s">
        <v>4903</v>
      </c>
      <c r="AB283" s="23" t="s">
        <v>5102</v>
      </c>
      <c r="AC283" s="19" t="s">
        <v>4924</v>
      </c>
      <c r="AD283" s="19" t="s">
        <v>4925</v>
      </c>
      <c r="AE283" s="19" t="s">
        <v>4925</v>
      </c>
      <c r="AF283" s="19" t="s">
        <v>4875</v>
      </c>
      <c r="AG283" s="23">
        <v>5794985</v>
      </c>
      <c r="AH283" s="23" t="s">
        <v>6304</v>
      </c>
      <c r="AI283" s="23">
        <v>120487477</v>
      </c>
      <c r="AJ283" s="183">
        <v>35228775</v>
      </c>
      <c r="AK283" s="23" t="s">
        <v>6306</v>
      </c>
      <c r="AL283" s="20"/>
      <c r="AM283" s="20">
        <v>4679</v>
      </c>
      <c r="AN283" s="20"/>
      <c r="AO283" s="20"/>
      <c r="AP283" s="19"/>
      <c r="AQ283" s="48" t="s">
        <v>5624</v>
      </c>
      <c r="AR283" s="23"/>
      <c r="AS283" s="40"/>
      <c r="AT283" s="41"/>
      <c r="AU283" s="23"/>
      <c r="AV283" s="19"/>
      <c r="AW283" s="19"/>
      <c r="AX283" s="19"/>
      <c r="AY283" s="23"/>
      <c r="AZ283" s="40"/>
      <c r="BA283" s="172"/>
      <c r="BB283" s="190"/>
      <c r="BC283" s="191"/>
      <c r="BD283" s="191">
        <f t="shared" si="67"/>
        <v>0</v>
      </c>
      <c r="BE283" s="182"/>
      <c r="BF283" s="182"/>
      <c r="BG283" s="23"/>
      <c r="BH283" s="23"/>
      <c r="BI283" s="23"/>
      <c r="BJ283" s="23"/>
      <c r="BK283" s="40"/>
      <c r="BL283" s="44"/>
      <c r="BM283" s="41"/>
      <c r="BN283" s="45"/>
      <c r="BO283" s="19"/>
      <c r="BP283" s="19"/>
      <c r="BQ283" s="19"/>
      <c r="BR283" s="19"/>
      <c r="BS283" s="19"/>
      <c r="BT283" s="19"/>
    </row>
    <row r="284" spans="1:72" s="159" customFormat="1" x14ac:dyDescent="0.25">
      <c r="A284" s="218">
        <v>35223032</v>
      </c>
      <c r="B284" s="116" t="s">
        <v>5502</v>
      </c>
      <c r="C284" s="23">
        <v>10</v>
      </c>
      <c r="D284" s="23" t="str" cm="1">
        <f t="array" ref="D284">IFERROR(_xlfn.IFS(U284&lt;727,"MEET", AB284="FRRB","MEET", AB284="PSPS","MEET"),"No")</f>
        <v>MEET</v>
      </c>
      <c r="E284" s="23" t="str" cm="1">
        <f t="array" ref="E284">IFERROR(_xlfn.IFS(AM284&gt;0,"MEET", AN284&gt;0,"MEET"),"No")</f>
        <v>MEET</v>
      </c>
      <c r="F284" s="100">
        <v>2021225</v>
      </c>
      <c r="G284" s="37"/>
      <c r="H284" s="37">
        <f t="shared" si="65"/>
        <v>0.43999999999999995</v>
      </c>
      <c r="I284" s="37">
        <f t="shared" si="66"/>
        <v>0.43999999999999995</v>
      </c>
      <c r="J284" s="20">
        <v>2021</v>
      </c>
      <c r="K284" s="37"/>
      <c r="L284" s="37"/>
      <c r="M284" s="37">
        <f t="shared" si="63"/>
        <v>0</v>
      </c>
      <c r="N284" s="21">
        <v>9292.7000000000007</v>
      </c>
      <c r="O284" s="23" t="s">
        <v>4878</v>
      </c>
      <c r="P284" s="22">
        <v>152282102</v>
      </c>
      <c r="Q284" s="19" t="s">
        <v>2681</v>
      </c>
      <c r="R284" s="23" t="s">
        <v>2692</v>
      </c>
      <c r="S284" s="38">
        <f>IFERROR(VLOOKUP(R284,[47]conductor_pz_summary_hftd_23_re!$B$2:$Q$3636,8,FALSE),0)</f>
        <v>262</v>
      </c>
      <c r="T284" s="201">
        <f>IFERROR(VLOOKUP(R284,[48]conductor_pz_summary_hftd_23_re!$B$2:$H$3636,7,0),0)/1609</f>
        <v>24.994124755822622</v>
      </c>
      <c r="U284" s="23">
        <f>IFERROR(VLOOKUP(R284,[47]conductor_pz_summary_hftd_23_re!$B$2:$Q$3636,14,FALSE),0)</f>
        <v>68</v>
      </c>
      <c r="V284" s="37">
        <f t="shared" si="59"/>
        <v>101.30316290156117</v>
      </c>
      <c r="W284" s="202">
        <f>IFERROR(VLOOKUP(R284,[47]conductor_pz_summary_hftd_23_re!$B$2:$Q$3636,13,FALSE),0)</f>
        <v>0.38665329351740901</v>
      </c>
      <c r="X284" s="160">
        <f>IFERROR(VLOOKUP(R284,conductor_pz_summary_hftd_23_re!$B$2:$N$3636,13,FALSE),0)</f>
        <v>328</v>
      </c>
      <c r="Y284" s="203">
        <f t="shared" si="60"/>
        <v>1.7655212251287207</v>
      </c>
      <c r="Z284" s="23"/>
      <c r="AA284" s="23" t="s">
        <v>4903</v>
      </c>
      <c r="AB284" s="23" t="s">
        <v>5102</v>
      </c>
      <c r="AC284" s="19" t="s">
        <v>5469</v>
      </c>
      <c r="AD284" s="19" t="s">
        <v>4886</v>
      </c>
      <c r="AE284" s="19" t="s">
        <v>4887</v>
      </c>
      <c r="AF284" s="19" t="s">
        <v>4875</v>
      </c>
      <c r="AG284" s="23">
        <v>5794982</v>
      </c>
      <c r="AH284" s="23" t="s">
        <v>5609</v>
      </c>
      <c r="AI284" s="23">
        <v>120242546</v>
      </c>
      <c r="AJ284" s="183">
        <v>35223032</v>
      </c>
      <c r="AK284" s="23" t="s">
        <v>5552</v>
      </c>
      <c r="AL284" s="20">
        <v>0</v>
      </c>
      <c r="AM284" s="20">
        <v>2323.1999999999998</v>
      </c>
      <c r="AN284" s="20">
        <v>0</v>
      </c>
      <c r="AO284" s="20">
        <v>0</v>
      </c>
      <c r="AP284" s="19"/>
      <c r="AQ284" s="39" t="s">
        <v>6038</v>
      </c>
      <c r="AR284" s="23">
        <f>AS284*5280</f>
        <v>2323.1999999999998</v>
      </c>
      <c r="AS284" s="40">
        <v>0.44</v>
      </c>
      <c r="AT284" s="41">
        <v>745920</v>
      </c>
      <c r="AU284" s="48" t="s">
        <v>6574</v>
      </c>
      <c r="AV284" s="19"/>
      <c r="AW284" s="19"/>
      <c r="AX284" s="19"/>
      <c r="AY284" s="23">
        <f>SUM(AV284:AX284)</f>
        <v>0</v>
      </c>
      <c r="AZ284" s="40"/>
      <c r="BA284" s="172"/>
      <c r="BB284" s="190"/>
      <c r="BC284" s="191"/>
      <c r="BD284" s="191">
        <f t="shared" si="67"/>
        <v>0</v>
      </c>
      <c r="BE284" s="182"/>
      <c r="BF284" s="182"/>
      <c r="BG284" s="23"/>
      <c r="BH284" s="23"/>
      <c r="BI284" s="23"/>
      <c r="BJ284" s="23"/>
      <c r="BK284" s="40"/>
      <c r="BL284" s="44"/>
      <c r="BM284" s="41"/>
      <c r="BN284" s="45"/>
      <c r="BO284" s="19"/>
      <c r="BP284" s="19"/>
      <c r="BQ284" s="19"/>
      <c r="BR284" s="19"/>
      <c r="BS284" s="19"/>
      <c r="BT284" s="19"/>
    </row>
    <row r="285" spans="1:72" x14ac:dyDescent="0.25">
      <c r="A285" s="218">
        <v>35223037</v>
      </c>
      <c r="B285" s="116" t="s">
        <v>5502</v>
      </c>
      <c r="C285" s="23">
        <v>14</v>
      </c>
      <c r="D285" s="23" t="str" cm="1">
        <f t="array" ref="D285">IFERROR(_xlfn.IFS(U285&lt;727,"MEET", AB285="FRRB","MEET", AB285="PSPS","MEET"),"No")</f>
        <v>MEET</v>
      </c>
      <c r="E285" s="23" t="str" cm="1">
        <f t="array" ref="E285">IFERROR(_xlfn.IFS(AM285&gt;0,"MEET", AN285&gt;0,"MEET"),"No")</f>
        <v>MEET</v>
      </c>
      <c r="F285" s="100">
        <v>2021226</v>
      </c>
      <c r="G285" s="37"/>
      <c r="H285" s="37">
        <f t="shared" si="65"/>
        <v>5.2083333333333336E-2</v>
      </c>
      <c r="I285" s="37">
        <f t="shared" si="66"/>
        <v>5.2083333333333336E-2</v>
      </c>
      <c r="J285" s="20">
        <v>2021</v>
      </c>
      <c r="K285" s="37"/>
      <c r="L285" s="37"/>
      <c r="M285" s="37">
        <f t="shared" si="63"/>
        <v>0</v>
      </c>
      <c r="N285" s="21">
        <v>5273.97</v>
      </c>
      <c r="O285" s="183" t="s">
        <v>4870</v>
      </c>
      <c r="P285" s="22">
        <v>254421101</v>
      </c>
      <c r="Q285" s="19" t="s">
        <v>2764</v>
      </c>
      <c r="R285" s="23" t="s">
        <v>2767</v>
      </c>
      <c r="S285" s="38">
        <f>IFERROR(VLOOKUP(R285,[47]conductor_pz_summary_hftd_23_re!$B$2:$Q$3636,8,FALSE),0)</f>
        <v>47</v>
      </c>
      <c r="T285" s="201">
        <f>IFERROR(VLOOKUP(R285,[48]conductor_pz_summary_hftd_23_re!$B$2:$H$3636,7,0),0)/1609</f>
        <v>2.3149015280017342</v>
      </c>
      <c r="U285" s="23">
        <f>IFERROR(VLOOKUP(R285,[47]conductor_pz_summary_hftd_23_re!$B$2:$Q$3636,14,FALSE),0)</f>
        <v>847</v>
      </c>
      <c r="V285" s="37">
        <f t="shared" si="59"/>
        <v>4.0693851733525683</v>
      </c>
      <c r="W285" s="202">
        <f>IFERROR(VLOOKUP(R285,[47]conductor_pz_summary_hftd_23_re!$B$2:$Q$3636,13,FALSE),0)</f>
        <v>8.6582663262820603E-2</v>
      </c>
      <c r="X285" s="73">
        <f>IFERROR(VLOOKUP(R285,conductor_pz_summary_hftd_23_re!$B$2:$N$3636,13,FALSE),0)</f>
        <v>802</v>
      </c>
      <c r="Y285" s="203">
        <f t="shared" si="60"/>
        <v>9.0642159272372569E-2</v>
      </c>
      <c r="Z285" s="23"/>
      <c r="AA285" s="23" t="s">
        <v>4871</v>
      </c>
      <c r="AB285" s="23" t="s">
        <v>5102</v>
      </c>
      <c r="AC285" s="19" t="s">
        <v>5577</v>
      </c>
      <c r="AD285" s="19" t="s">
        <v>5446</v>
      </c>
      <c r="AE285" s="19" t="s">
        <v>4944</v>
      </c>
      <c r="AF285" s="19" t="s">
        <v>4939</v>
      </c>
      <c r="AG285" s="23">
        <v>5794989</v>
      </c>
      <c r="AH285" s="23" t="s">
        <v>5615</v>
      </c>
      <c r="AI285" s="23">
        <v>120242694</v>
      </c>
      <c r="AJ285" s="183">
        <v>35223037</v>
      </c>
      <c r="AK285" s="23" t="s">
        <v>5553</v>
      </c>
      <c r="AL285" s="20">
        <v>0</v>
      </c>
      <c r="AM285" s="20">
        <v>275</v>
      </c>
      <c r="AN285" s="20">
        <v>0</v>
      </c>
      <c r="AO285" s="20">
        <v>0</v>
      </c>
      <c r="AP285" s="19"/>
      <c r="AQ285" s="39" t="s">
        <v>5635</v>
      </c>
      <c r="AR285" s="23">
        <f>AS285*5280</f>
        <v>580.79999999999995</v>
      </c>
      <c r="AS285" s="40">
        <v>0.11</v>
      </c>
      <c r="AT285" s="41">
        <v>181120</v>
      </c>
      <c r="AU285" s="39" t="s">
        <v>6389</v>
      </c>
      <c r="AV285" s="19"/>
      <c r="AW285" s="19"/>
      <c r="AX285" s="19"/>
      <c r="AY285" s="23">
        <f>SUM(AV285:AX285)</f>
        <v>0</v>
      </c>
      <c r="AZ285" s="40"/>
      <c r="BA285" s="172"/>
      <c r="BB285" s="190">
        <f>0.09*0.99</f>
        <v>8.9099999999999999E-2</v>
      </c>
      <c r="BC285" s="191">
        <v>200</v>
      </c>
      <c r="BD285" s="191">
        <f t="shared" si="67"/>
        <v>2244.6689113355778</v>
      </c>
      <c r="BE285" s="182"/>
      <c r="BF285" s="182"/>
      <c r="BG285" s="23"/>
      <c r="BH285" s="23"/>
      <c r="BI285" s="23"/>
      <c r="BJ285" s="23"/>
      <c r="BK285" s="40"/>
      <c r="BL285" s="44"/>
      <c r="BM285" s="41"/>
      <c r="BN285" s="45"/>
      <c r="BO285" s="19"/>
      <c r="BP285" s="19"/>
      <c r="BQ285" s="19"/>
      <c r="BR285" s="19"/>
      <c r="BS285" s="19"/>
      <c r="BT285" s="19"/>
    </row>
    <row r="286" spans="1:72" x14ac:dyDescent="0.25">
      <c r="A286" s="218">
        <v>35223039</v>
      </c>
      <c r="B286" s="116" t="s">
        <v>5502</v>
      </c>
      <c r="C286" s="23">
        <v>13</v>
      </c>
      <c r="D286" s="23" t="str" cm="1">
        <f t="array" ref="D286">IFERROR(_xlfn.IFS(U286&lt;727,"MEET", AB286="FRRB","MEET", AB286="PSPS","MEET"),"No")</f>
        <v>MEET</v>
      </c>
      <c r="E286" s="23" t="str" cm="1">
        <f t="array" ref="E286">IFERROR(_xlfn.IFS(AM286&gt;0,"MEET", AN286&gt;0,"MEET"),"No")</f>
        <v>MEET</v>
      </c>
      <c r="F286" s="100">
        <v>2021227</v>
      </c>
      <c r="G286" s="37">
        <v>0.63</v>
      </c>
      <c r="H286" s="37">
        <f t="shared" si="65"/>
        <v>0.60738636363636367</v>
      </c>
      <c r="I286" s="37">
        <f t="shared" si="66"/>
        <v>0.60738636363636367</v>
      </c>
      <c r="J286" s="20">
        <v>2021</v>
      </c>
      <c r="K286" s="37"/>
      <c r="L286" s="37"/>
      <c r="M286" s="37">
        <f t="shared" si="63"/>
        <v>0</v>
      </c>
      <c r="N286" s="21">
        <v>10152.120000000001</v>
      </c>
      <c r="O286" s="23" t="s">
        <v>4878</v>
      </c>
      <c r="P286" s="22">
        <v>102911109</v>
      </c>
      <c r="Q286" s="19" t="s">
        <v>4784</v>
      </c>
      <c r="R286" s="23" t="s">
        <v>4791</v>
      </c>
      <c r="S286" s="38">
        <f>IFERROR(VLOOKUP(R286,[47]conductor_pz_summary_hftd_23_re!$B$2:$Q$3636,8,FALSE),0)</f>
        <v>49</v>
      </c>
      <c r="T286" s="201">
        <f>IFERROR(VLOOKUP(R286,[48]conductor_pz_summary_hftd_23_re!$B$2:$H$3636,7,0),0)/1609</f>
        <v>2.6641116426263767</v>
      </c>
      <c r="U286" s="23">
        <f>IFERROR(VLOOKUP(R286,[47]conductor_pz_summary_hftd_23_re!$B$2:$Q$3636,14,FALSE),0)</f>
        <v>218</v>
      </c>
      <c r="V286" s="37">
        <f t="shared" si="59"/>
        <v>12.17398052562832</v>
      </c>
      <c r="W286" s="202">
        <f>IFERROR(VLOOKUP(R286,[47]conductor_pz_summary_hftd_23_re!$B$2:$Q$3636,13,FALSE),0)</f>
        <v>0.24844858215568</v>
      </c>
      <c r="X286" s="73">
        <f>IFERROR(VLOOKUP(R286,conductor_pz_summary_hftd_23_re!$B$2:$N$3636,13,FALSE),0)</f>
        <v>672</v>
      </c>
      <c r="Y286" s="203">
        <f t="shared" si="60"/>
        <v>2.522015375459544</v>
      </c>
      <c r="Z286" s="23"/>
      <c r="AA286" s="23" t="s">
        <v>4903</v>
      </c>
      <c r="AB286" s="23" t="s">
        <v>5102</v>
      </c>
      <c r="AC286" s="19" t="s">
        <v>5436</v>
      </c>
      <c r="AD286" s="19" t="s">
        <v>5215</v>
      </c>
      <c r="AE286" s="19" t="s">
        <v>5210</v>
      </c>
      <c r="AF286" s="19" t="s">
        <v>4875</v>
      </c>
      <c r="AG286" s="23">
        <v>5794987</v>
      </c>
      <c r="AH286" s="23" t="s">
        <v>5613</v>
      </c>
      <c r="AI286" s="23">
        <v>120242691</v>
      </c>
      <c r="AJ286" s="183">
        <v>35223039</v>
      </c>
      <c r="AK286" s="23" t="s">
        <v>5554</v>
      </c>
      <c r="AL286" s="20">
        <v>705</v>
      </c>
      <c r="AM286" s="20">
        <v>2502</v>
      </c>
      <c r="AN286" s="20">
        <v>0</v>
      </c>
      <c r="AO286" s="20">
        <v>0</v>
      </c>
      <c r="AP286" s="19"/>
      <c r="AQ286" s="39" t="s">
        <v>5627</v>
      </c>
      <c r="AR286" s="23">
        <f>AS286*5280</f>
        <v>4065.6</v>
      </c>
      <c r="AS286" s="40">
        <v>0.77</v>
      </c>
      <c r="AT286" s="41">
        <v>1517740</v>
      </c>
      <c r="AU286" s="39" t="s">
        <v>6381</v>
      </c>
      <c r="AV286" s="19"/>
      <c r="AW286" s="19"/>
      <c r="AX286" s="19"/>
      <c r="AY286" s="23">
        <f>SUM(AV286:AX286)</f>
        <v>0</v>
      </c>
      <c r="AZ286" s="40"/>
      <c r="BA286" s="172"/>
      <c r="BB286" s="190"/>
      <c r="BC286" s="191"/>
      <c r="BD286" s="191">
        <f t="shared" si="67"/>
        <v>0</v>
      </c>
      <c r="BE286" s="182"/>
      <c r="BF286" s="182"/>
      <c r="BG286" s="23"/>
      <c r="BH286" s="23"/>
      <c r="BI286" s="23"/>
      <c r="BJ286" s="23"/>
      <c r="BK286" s="40"/>
      <c r="BL286" s="44"/>
      <c r="BM286" s="41"/>
      <c r="BN286" s="45"/>
      <c r="BO286" s="19"/>
      <c r="BP286" s="19"/>
      <c r="BQ286" s="19"/>
      <c r="BR286" s="19"/>
      <c r="BS286" s="19"/>
      <c r="BT286" s="19"/>
    </row>
    <row r="287" spans="1:72" x14ac:dyDescent="0.25">
      <c r="A287" s="218">
        <v>35224377</v>
      </c>
      <c r="B287" s="116" t="s">
        <v>5502</v>
      </c>
      <c r="C287" s="23">
        <v>10</v>
      </c>
      <c r="D287" s="23" t="str" cm="1">
        <f t="array" ref="D287">IFERROR(_xlfn.IFS(U287&lt;727,"MEET", AB287="FRRB","MEET", AB287="PSPS","MEET"),"No")</f>
        <v>MEET</v>
      </c>
      <c r="E287" s="23" t="str" cm="1">
        <f t="array" ref="E287">IFERROR(_xlfn.IFS(AM287&gt;0,"MEET", AN287&gt;0,"MEET"),"No")</f>
        <v>MEET</v>
      </c>
      <c r="F287" s="100">
        <v>2021228</v>
      </c>
      <c r="G287" s="37"/>
      <c r="H287" s="37">
        <f t="shared" si="65"/>
        <v>1.1299999999999999</v>
      </c>
      <c r="I287" s="37">
        <f t="shared" si="66"/>
        <v>1.1299999999999999</v>
      </c>
      <c r="J287" s="20">
        <v>2021</v>
      </c>
      <c r="K287" s="37"/>
      <c r="L287" s="37"/>
      <c r="M287" s="37">
        <f t="shared" si="63"/>
        <v>0</v>
      </c>
      <c r="N287" s="21">
        <v>4024.98</v>
      </c>
      <c r="O287" s="23" t="s">
        <v>4878</v>
      </c>
      <c r="P287" s="22">
        <v>153082106</v>
      </c>
      <c r="Q287" s="19" t="s">
        <v>3366</v>
      </c>
      <c r="R287" s="23" t="s">
        <v>3372</v>
      </c>
      <c r="S287" s="38">
        <f>IFERROR(VLOOKUP(R287,[47]conductor_pz_summary_hftd_23_re!$B$2:$Q$3636,8,FALSE),0)</f>
        <v>745</v>
      </c>
      <c r="T287" s="201">
        <f>IFERROR(VLOOKUP(R287,[48]conductor_pz_summary_hftd_23_re!$B$2:$H$3636,7,0),0)/1609</f>
        <v>67.365649554006211</v>
      </c>
      <c r="U287" s="23">
        <f>IFERROR(VLOOKUP(R287,[47]conductor_pz_summary_hftd_23_re!$B$2:$Q$3636,14,FALSE),0)</f>
        <v>1363</v>
      </c>
      <c r="V287" s="37">
        <f t="shared" si="59"/>
        <v>26.468931840590933</v>
      </c>
      <c r="W287" s="202">
        <f>IFERROR(VLOOKUP(R287,[47]conductor_pz_summary_hftd_23_re!$B$2:$Q$3636,13,FALSE),0)</f>
        <v>3.5528767571262998E-2</v>
      </c>
      <c r="X287" s="73">
        <f>IFERROR(VLOOKUP(R287,conductor_pz_summary_hftd_23_re!$B$2:$N$3636,13,FALSE),0)</f>
        <v>1360</v>
      </c>
      <c r="Y287" s="203">
        <f t="shared" si="60"/>
        <v>0.43955330715441943</v>
      </c>
      <c r="Z287" s="23"/>
      <c r="AA287" s="23" t="s">
        <v>4871</v>
      </c>
      <c r="AB287" s="23" t="s">
        <v>5102</v>
      </c>
      <c r="AC287" s="19" t="s">
        <v>5051</v>
      </c>
      <c r="AD287" s="19" t="s">
        <v>4886</v>
      </c>
      <c r="AE287" s="19" t="s">
        <v>4887</v>
      </c>
      <c r="AF287" s="19" t="s">
        <v>4875</v>
      </c>
      <c r="AG287" s="23">
        <v>5795018</v>
      </c>
      <c r="AH287" s="23" t="s">
        <v>5616</v>
      </c>
      <c r="AI287" s="23">
        <v>120360607</v>
      </c>
      <c r="AJ287" s="183">
        <v>35224377</v>
      </c>
      <c r="AK287" s="23" t="s">
        <v>6566</v>
      </c>
      <c r="AL287" s="20">
        <v>0</v>
      </c>
      <c r="AM287" s="20">
        <v>5966.4</v>
      </c>
      <c r="AN287" s="20">
        <v>0</v>
      </c>
      <c r="AO287" s="20">
        <v>0</v>
      </c>
      <c r="AP287" s="19"/>
      <c r="AQ287" s="39" t="s">
        <v>5636</v>
      </c>
      <c r="AR287" s="23">
        <f>AS287*5280</f>
        <v>5966.4</v>
      </c>
      <c r="AS287" s="40">
        <v>1.1299999999999999</v>
      </c>
      <c r="AT287" s="41">
        <v>2731920</v>
      </c>
      <c r="AU287" s="23"/>
      <c r="AV287" s="19"/>
      <c r="AW287" s="19"/>
      <c r="AX287" s="19"/>
      <c r="AY287" s="23">
        <f>SUM(AV287:AX287)</f>
        <v>0</v>
      </c>
      <c r="AZ287" s="40"/>
      <c r="BA287" s="172"/>
      <c r="BB287" s="190"/>
      <c r="BC287" s="191"/>
      <c r="BD287" s="191">
        <f t="shared" si="67"/>
        <v>0</v>
      </c>
      <c r="BE287" s="182"/>
      <c r="BF287" s="182"/>
      <c r="BG287" s="23"/>
      <c r="BH287" s="23"/>
      <c r="BI287" s="23"/>
      <c r="BJ287" s="23"/>
      <c r="BK287" s="40"/>
      <c r="BL287" s="44"/>
      <c r="BM287" s="41"/>
      <c r="BN287" s="45"/>
      <c r="BO287" s="19"/>
      <c r="BP287" s="19"/>
      <c r="BQ287" s="19"/>
      <c r="BR287" s="19"/>
      <c r="BS287" s="19"/>
      <c r="BT287" s="19"/>
    </row>
    <row r="288" spans="1:72" x14ac:dyDescent="0.25">
      <c r="A288" s="205">
        <v>35233995</v>
      </c>
      <c r="B288" s="116" t="s">
        <v>5502</v>
      </c>
      <c r="C288" s="23">
        <v>10</v>
      </c>
      <c r="D288" s="23" t="str" cm="1">
        <f t="array" ref="D288">IFERROR(_xlfn.IFS(U288&lt;727,"MEET", AB288="FRRB","MEET", AB288="PSPS","MEET"),"No")</f>
        <v>MEET</v>
      </c>
      <c r="E288" s="23" t="str" cm="1">
        <f t="array" ref="E288">IFERROR(_xlfn.IFS(AM288&gt;0,"MEET", AN288&gt;0,"MEET"),"No")</f>
        <v>No</v>
      </c>
      <c r="F288" s="100">
        <v>2021229</v>
      </c>
      <c r="G288" s="37"/>
      <c r="H288" s="37"/>
      <c r="I288" s="37"/>
      <c r="J288" s="20">
        <v>2021</v>
      </c>
      <c r="K288" s="37"/>
      <c r="L288" s="37"/>
      <c r="M288" s="37">
        <f t="shared" si="63"/>
        <v>0</v>
      </c>
      <c r="N288" s="21"/>
      <c r="O288" s="23" t="s">
        <v>4878</v>
      </c>
      <c r="P288" s="22">
        <v>153082106</v>
      </c>
      <c r="Q288" s="19" t="s">
        <v>3366</v>
      </c>
      <c r="R288" s="23" t="s">
        <v>3372</v>
      </c>
      <c r="S288" s="38">
        <f>IFERROR(VLOOKUP(R288,[47]conductor_pz_summary_hftd_23_re!$B$2:$Q$3636,8,FALSE),0)</f>
        <v>745</v>
      </c>
      <c r="T288" s="201">
        <f>IFERROR(VLOOKUP(R288,[48]conductor_pz_summary_hftd_23_re!$B$2:$H$3636,7,0),0)/1609</f>
        <v>67.365649554006211</v>
      </c>
      <c r="U288" s="23">
        <f>IFERROR(VLOOKUP(R288,[47]conductor_pz_summary_hftd_23_re!$B$2:$Q$3636,14,FALSE),0)</f>
        <v>1363</v>
      </c>
      <c r="V288" s="37">
        <f t="shared" si="59"/>
        <v>26.468931840590933</v>
      </c>
      <c r="W288" s="202">
        <f>IFERROR(VLOOKUP(R288,[47]conductor_pz_summary_hftd_23_re!$B$2:$Q$3636,13,FALSE),0)</f>
        <v>3.5528767571262998E-2</v>
      </c>
      <c r="X288" s="73">
        <f>IFERROR(VLOOKUP(R288,conductor_pz_summary_hftd_23_re!$B$2:$N$3636,13,FALSE),0)</f>
        <v>1360</v>
      </c>
      <c r="Y288" s="203" t="e">
        <f t="shared" si="60"/>
        <v>#DIV/0!</v>
      </c>
      <c r="Z288" s="23"/>
      <c r="AA288" s="23" t="s">
        <v>4871</v>
      </c>
      <c r="AB288" s="23" t="s">
        <v>5102</v>
      </c>
      <c r="AC288" s="19" t="s">
        <v>5051</v>
      </c>
      <c r="AD288" s="19" t="s">
        <v>4886</v>
      </c>
      <c r="AE288" s="19" t="s">
        <v>4887</v>
      </c>
      <c r="AF288" s="19" t="s">
        <v>4875</v>
      </c>
      <c r="AG288" s="23">
        <v>5795018</v>
      </c>
      <c r="AH288" s="23" t="s">
        <v>6559</v>
      </c>
      <c r="AI288" s="23">
        <v>120563909</v>
      </c>
      <c r="AJ288" s="183">
        <v>35233995</v>
      </c>
      <c r="AK288" s="23" t="s">
        <v>6564</v>
      </c>
      <c r="AL288" s="20"/>
      <c r="AM288" s="20"/>
      <c r="AN288" s="20"/>
      <c r="AO288" s="20"/>
      <c r="AP288" s="19"/>
      <c r="AQ288" s="39" t="s">
        <v>5636</v>
      </c>
      <c r="AR288" s="23"/>
      <c r="AS288" s="40"/>
      <c r="AT288" s="41"/>
      <c r="AU288" s="23"/>
      <c r="AV288" s="19"/>
      <c r="AW288" s="19"/>
      <c r="AX288" s="19"/>
      <c r="AY288" s="23"/>
      <c r="AZ288" s="40"/>
      <c r="BA288" s="172"/>
      <c r="BB288" s="190"/>
      <c r="BC288" s="191"/>
      <c r="BD288" s="191"/>
      <c r="BE288" s="182"/>
      <c r="BF288" s="182"/>
      <c r="BG288" s="23"/>
      <c r="BH288" s="23"/>
      <c r="BI288" s="23"/>
      <c r="BJ288" s="23"/>
      <c r="BK288" s="40"/>
      <c r="BL288" s="44"/>
      <c r="BM288" s="41"/>
      <c r="BN288" s="45"/>
      <c r="BO288" s="19"/>
      <c r="BP288" s="19"/>
      <c r="BQ288" s="19"/>
      <c r="BR288" s="19"/>
      <c r="BS288" s="19"/>
      <c r="BT288" s="19"/>
    </row>
    <row r="289" spans="1:72" x14ac:dyDescent="0.25">
      <c r="A289" s="218">
        <v>35233996</v>
      </c>
      <c r="B289" s="116" t="s">
        <v>5502</v>
      </c>
      <c r="C289" s="23">
        <v>10</v>
      </c>
      <c r="D289" s="23" t="str" cm="1">
        <f t="array" ref="D289">IFERROR(_xlfn.IFS(U289&lt;727,"MEET", AB289="FRRB","MEET", AB289="PSPS","MEET"),"No")</f>
        <v>MEET</v>
      </c>
      <c r="E289" s="23" t="str" cm="1">
        <f t="array" ref="E289">IFERROR(_xlfn.IFS(AM289&gt;0,"MEET", AN289&gt;0,"MEET"),"No")</f>
        <v>No</v>
      </c>
      <c r="F289" s="100">
        <v>2021230</v>
      </c>
      <c r="G289" s="37"/>
      <c r="H289" s="37"/>
      <c r="I289" s="37"/>
      <c r="J289" s="20">
        <v>2021</v>
      </c>
      <c r="K289" s="37"/>
      <c r="L289" s="37"/>
      <c r="M289" s="37">
        <f t="shared" si="63"/>
        <v>0</v>
      </c>
      <c r="N289" s="21"/>
      <c r="O289" s="23" t="s">
        <v>4878</v>
      </c>
      <c r="P289" s="22">
        <v>153082106</v>
      </c>
      <c r="Q289" s="19" t="s">
        <v>3366</v>
      </c>
      <c r="R289" s="23" t="s">
        <v>3372</v>
      </c>
      <c r="S289" s="38">
        <f>IFERROR(VLOOKUP(R289,[47]conductor_pz_summary_hftd_23_re!$B$2:$Q$3636,8,FALSE),0)</f>
        <v>745</v>
      </c>
      <c r="T289" s="201">
        <f>IFERROR(VLOOKUP(R289,[48]conductor_pz_summary_hftd_23_re!$B$2:$H$3636,7,0),0)/1609</f>
        <v>67.365649554006211</v>
      </c>
      <c r="U289" s="23">
        <f>IFERROR(VLOOKUP(R289,[47]conductor_pz_summary_hftd_23_re!$B$2:$Q$3636,14,FALSE),0)</f>
        <v>1363</v>
      </c>
      <c r="V289" s="37">
        <f t="shared" si="59"/>
        <v>26.468931840590933</v>
      </c>
      <c r="W289" s="202">
        <f>IFERROR(VLOOKUP(R289,[47]conductor_pz_summary_hftd_23_re!$B$2:$Q$3636,13,FALSE),0)</f>
        <v>3.5528767571262998E-2</v>
      </c>
      <c r="X289" s="73">
        <f>IFERROR(VLOOKUP(R289,conductor_pz_summary_hftd_23_re!$B$2:$N$3636,13,FALSE),0)</f>
        <v>1360</v>
      </c>
      <c r="Y289" s="203" t="e">
        <f t="shared" si="60"/>
        <v>#DIV/0!</v>
      </c>
      <c r="Z289" s="23"/>
      <c r="AA289" s="23" t="s">
        <v>4871</v>
      </c>
      <c r="AB289" s="23" t="s">
        <v>5102</v>
      </c>
      <c r="AC289" s="19" t="s">
        <v>5051</v>
      </c>
      <c r="AD289" s="19" t="s">
        <v>4886</v>
      </c>
      <c r="AE289" s="19" t="s">
        <v>4887</v>
      </c>
      <c r="AF289" s="19" t="s">
        <v>4875</v>
      </c>
      <c r="AG289" s="23">
        <v>5795018</v>
      </c>
      <c r="AH289" s="23" t="s">
        <v>6560</v>
      </c>
      <c r="AI289" s="23">
        <v>120563933</v>
      </c>
      <c r="AJ289" s="183" t="s">
        <v>6575</v>
      </c>
      <c r="AK289" s="23" t="s">
        <v>6565</v>
      </c>
      <c r="AL289" s="20"/>
      <c r="AM289" s="20"/>
      <c r="AN289" s="20"/>
      <c r="AO289" s="20"/>
      <c r="AP289" s="19"/>
      <c r="AQ289" s="39" t="s">
        <v>5636</v>
      </c>
      <c r="AR289" s="23"/>
      <c r="AS289" s="40"/>
      <c r="AT289" s="41"/>
      <c r="AU289" s="23"/>
      <c r="AV289" s="19"/>
      <c r="AW289" s="19"/>
      <c r="AX289" s="19"/>
      <c r="AY289" s="23"/>
      <c r="AZ289" s="40"/>
      <c r="BA289" s="172"/>
      <c r="BB289" s="190"/>
      <c r="BC289" s="191"/>
      <c r="BD289" s="191"/>
      <c r="BE289" s="182"/>
      <c r="BF289" s="182"/>
      <c r="BG289" s="23"/>
      <c r="BH289" s="23"/>
      <c r="BI289" s="23"/>
      <c r="BJ289" s="23"/>
      <c r="BK289" s="40"/>
      <c r="BL289" s="44"/>
      <c r="BM289" s="41"/>
      <c r="BN289" s="45"/>
      <c r="BO289" s="19"/>
      <c r="BP289" s="19"/>
      <c r="BQ289" s="19"/>
      <c r="BR289" s="19"/>
      <c r="BS289" s="19"/>
      <c r="BT289" s="19"/>
    </row>
    <row r="290" spans="1:72" s="182" customFormat="1" x14ac:dyDescent="0.25">
      <c r="A290" s="218">
        <v>35219542</v>
      </c>
      <c r="B290" s="116" t="s">
        <v>5502</v>
      </c>
      <c r="C290" s="23">
        <v>10</v>
      </c>
      <c r="D290" s="23" t="str" cm="1">
        <f t="array" ref="D290">IFERROR(_xlfn.IFS(U290&lt;727,"MEET", AB290="FRRB","MEET", AB290="PSPS","MEET"),"No")</f>
        <v>MEET</v>
      </c>
      <c r="E290" s="23" t="str" cm="1">
        <f t="array" ref="E290">IFERROR(_xlfn.IFS(AM290&gt;0,"MEET", AN290&gt;0,"MEET"),"No")</f>
        <v>MEET</v>
      </c>
      <c r="F290" s="100">
        <v>2021231</v>
      </c>
      <c r="G290" s="37"/>
      <c r="H290" s="37">
        <f t="shared" ref="H290:H321" si="68">SUM(AL290:AO290)/5280</f>
        <v>0.14000000000000001</v>
      </c>
      <c r="I290" s="37">
        <f t="shared" ref="I290:I321" si="69">H290-M290</f>
        <v>0.14000000000000001</v>
      </c>
      <c r="J290" s="20">
        <v>2021</v>
      </c>
      <c r="K290" s="37"/>
      <c r="L290" s="37"/>
      <c r="M290" s="37">
        <f t="shared" si="63"/>
        <v>0</v>
      </c>
      <c r="N290" s="21">
        <v>7221.51</v>
      </c>
      <c r="O290" s="23" t="s">
        <v>4878</v>
      </c>
      <c r="P290" s="22">
        <v>153081112</v>
      </c>
      <c r="Q290" s="19" t="s">
        <v>3362</v>
      </c>
      <c r="R290" s="23" t="s">
        <v>3364</v>
      </c>
      <c r="S290" s="38">
        <f>IFERROR(VLOOKUP(R290,[47]conductor_pz_summary_hftd_23_re!$B$2:$Q$3636,8,FALSE),0)</f>
        <v>117</v>
      </c>
      <c r="T290" s="201">
        <f>IFERROR(VLOOKUP(R290,[48]conductor_pz_summary_hftd_23_re!$B$2:$H$3636,7,0),0)/1609</f>
        <v>8.512969057158422</v>
      </c>
      <c r="U290" s="23">
        <f>IFERROR(VLOOKUP(R290,[47]conductor_pz_summary_hftd_23_re!$B$2:$Q$3636,14,FALSE),0)</f>
        <v>2123</v>
      </c>
      <c r="V290" s="37">
        <f t="shared" si="59"/>
        <v>0.76223238625060019</v>
      </c>
      <c r="W290" s="202">
        <f>IFERROR(VLOOKUP(R290,[47]conductor_pz_summary_hftd_23_re!$B$2:$Q$3636,13,FALSE),0)</f>
        <v>6.5148067200905997E-3</v>
      </c>
      <c r="X290" s="183">
        <f>IFERROR(VLOOKUP(R290,conductor_pz_summary_hftd_23_re!$B$2:$N$3636,13,FALSE),0)</f>
        <v>2310</v>
      </c>
      <c r="Y290" s="203">
        <f t="shared" si="60"/>
        <v>1.2409936888646108E-2</v>
      </c>
      <c r="Z290" s="23"/>
      <c r="AA290" s="23" t="s">
        <v>4903</v>
      </c>
      <c r="AB290" s="23" t="s">
        <v>5102</v>
      </c>
      <c r="AC290" s="19" t="s">
        <v>5051</v>
      </c>
      <c r="AD290" s="19" t="s">
        <v>4886</v>
      </c>
      <c r="AE290" s="19" t="s">
        <v>4887</v>
      </c>
      <c r="AF290" s="19" t="s">
        <v>4875</v>
      </c>
      <c r="AG290" s="97">
        <v>5543321</v>
      </c>
      <c r="AH290" s="97" t="s">
        <v>5540</v>
      </c>
      <c r="AI290" s="115">
        <v>120135655</v>
      </c>
      <c r="AJ290" s="183">
        <v>35219542</v>
      </c>
      <c r="AK290" s="23" t="s">
        <v>5555</v>
      </c>
      <c r="AL290" s="20">
        <v>0</v>
      </c>
      <c r="AM290" s="20">
        <v>739.2</v>
      </c>
      <c r="AN290" s="20">
        <v>0</v>
      </c>
      <c r="AO290" s="20">
        <v>0</v>
      </c>
      <c r="AP290" s="19"/>
      <c r="AQ290" s="39" t="s">
        <v>5637</v>
      </c>
      <c r="AR290" s="23">
        <f>AS290*5280</f>
        <v>739.2</v>
      </c>
      <c r="AS290" s="40">
        <v>0.14000000000000001</v>
      </c>
      <c r="AT290" s="41">
        <v>544560</v>
      </c>
      <c r="AU290" s="48" t="s">
        <v>6573</v>
      </c>
      <c r="AV290" s="19"/>
      <c r="AW290" s="19"/>
      <c r="AX290" s="19"/>
      <c r="AY290" s="23">
        <f>SUM(AV290:AX290)</f>
        <v>0</v>
      </c>
      <c r="AZ290" s="40"/>
      <c r="BA290" s="172"/>
      <c r="BB290" s="190"/>
      <c r="BC290" s="191"/>
      <c r="BD290" s="191">
        <f t="shared" ref="BD290:BD321" si="70">IFERROR(BC290/BB290,0)</f>
        <v>0</v>
      </c>
      <c r="BG290" s="23"/>
      <c r="BH290" s="23"/>
      <c r="BI290" s="23"/>
      <c r="BJ290" s="23"/>
      <c r="BK290" s="40"/>
      <c r="BL290" s="44"/>
      <c r="BM290" s="41"/>
      <c r="BN290" s="45"/>
      <c r="BO290" s="19"/>
      <c r="BP290" s="19"/>
      <c r="BQ290" s="19"/>
      <c r="BR290" s="19"/>
      <c r="BS290" s="19"/>
      <c r="BT290" s="19"/>
    </row>
    <row r="291" spans="1:72" s="182" customFormat="1" x14ac:dyDescent="0.25">
      <c r="A291" s="218">
        <v>35219291</v>
      </c>
      <c r="B291" s="116" t="s">
        <v>5413</v>
      </c>
      <c r="C291" s="183">
        <v>14</v>
      </c>
      <c r="D291" s="23" t="str" cm="1">
        <f t="array" ref="D291">IFERROR(_xlfn.IFS(U291&lt;727,"MEET", AB291="FRRB","MEET", AB291="PSPS","MEET"),"No")</f>
        <v>MEET</v>
      </c>
      <c r="E291" s="23" t="str" cm="1">
        <f t="array" ref="E291">IFERROR(_xlfn.IFS(AM291&gt;0,"MEET", AN291&gt;0,"MEET"),"No")</f>
        <v>No</v>
      </c>
      <c r="F291" s="100">
        <v>2021232</v>
      </c>
      <c r="G291" s="188"/>
      <c r="H291" s="37">
        <f t="shared" si="68"/>
        <v>0.39810606060606063</v>
      </c>
      <c r="I291" s="37">
        <f t="shared" si="69"/>
        <v>0.39810606060606063</v>
      </c>
      <c r="J291" s="183">
        <v>2021</v>
      </c>
      <c r="M291" s="37">
        <f t="shared" si="63"/>
        <v>0</v>
      </c>
      <c r="N291" s="21">
        <v>9258.02</v>
      </c>
      <c r="O291" s="183" t="s">
        <v>4870</v>
      </c>
      <c r="P291" s="182">
        <v>63591101</v>
      </c>
      <c r="Q291" s="182" t="s">
        <v>4458</v>
      </c>
      <c r="R291" s="183" t="s">
        <v>4457</v>
      </c>
      <c r="S291" s="38">
        <f>IFERROR(VLOOKUP(R291,[47]conductor_pz_summary_hftd_23_re!$B$2:$Q$3636,8,FALSE),0)</f>
        <v>11</v>
      </c>
      <c r="T291" s="201">
        <f>IFERROR(VLOOKUP(R291,[48]conductor_pz_summary_hftd_23_re!$B$2:$H$3636,7,0),0)/1609</f>
        <v>0.78765605361673718</v>
      </c>
      <c r="U291" s="23">
        <f>IFERROR(VLOOKUP(R291,[47]conductor_pz_summary_hftd_23_re!$B$2:$Q$3636,14,FALSE),0)</f>
        <v>20</v>
      </c>
      <c r="V291" s="37">
        <f t="shared" si="59"/>
        <v>6.8231897329512066</v>
      </c>
      <c r="W291" s="202">
        <f>IFERROR(VLOOKUP(R291,[47]conductor_pz_summary_hftd_23_re!$B$2:$Q$3636,13,FALSE),0)</f>
        <v>0.62028997572283695</v>
      </c>
      <c r="X291" s="183">
        <f>IFERROR(VLOOKUP(R291,conductor_pz_summary_hftd_23_re!$B$2:$N$3636,13,FALSE),0)</f>
        <v>24</v>
      </c>
      <c r="Y291" s="203">
        <f t="shared" si="60"/>
        <v>2.1381654685260525</v>
      </c>
      <c r="AA291" s="183" t="s">
        <v>4903</v>
      </c>
      <c r="AB291" s="183" t="s">
        <v>5298</v>
      </c>
      <c r="AC291" s="94" t="s">
        <v>5450</v>
      </c>
      <c r="AD291" s="182" t="s">
        <v>5453</v>
      </c>
      <c r="AE291" s="182" t="s">
        <v>5278</v>
      </c>
      <c r="AF291" s="182" t="s">
        <v>4875</v>
      </c>
      <c r="AG291" s="183">
        <v>5543350</v>
      </c>
      <c r="AH291" s="183" t="s">
        <v>5390</v>
      </c>
      <c r="AI291" s="183">
        <v>120141627</v>
      </c>
      <c r="AJ291" s="183">
        <v>35219291</v>
      </c>
      <c r="AK291" s="183" t="s">
        <v>5302</v>
      </c>
      <c r="AL291" s="205">
        <v>2102</v>
      </c>
      <c r="AM291" s="93">
        <v>0</v>
      </c>
      <c r="AN291" s="93">
        <v>0</v>
      </c>
      <c r="AO291" s="93">
        <v>0</v>
      </c>
      <c r="AP291" s="117"/>
      <c r="AQ291" s="39" t="s">
        <v>5630</v>
      </c>
      <c r="AR291" s="183">
        <f>AS291*5280</f>
        <v>2112</v>
      </c>
      <c r="AS291" s="183">
        <v>0.4</v>
      </c>
      <c r="AT291" s="92">
        <v>1561600</v>
      </c>
      <c r="AU291" s="39" t="s">
        <v>6340</v>
      </c>
      <c r="AY291" s="23">
        <f>AW291+AX291</f>
        <v>0</v>
      </c>
      <c r="AZ291" s="40">
        <f>AY291/5280</f>
        <v>0</v>
      </c>
      <c r="BA291" s="173"/>
      <c r="BB291" s="188"/>
      <c r="BC291" s="189"/>
      <c r="BD291" s="191">
        <f t="shared" si="70"/>
        <v>0</v>
      </c>
    </row>
    <row r="292" spans="1:72" x14ac:dyDescent="0.25">
      <c r="A292" s="218">
        <v>35219096</v>
      </c>
      <c r="B292" s="116" t="s">
        <v>5413</v>
      </c>
      <c r="C292" s="183">
        <v>13</v>
      </c>
      <c r="D292" s="23" t="str" cm="1">
        <f t="array" ref="D292">IFERROR(_xlfn.IFS(U292&lt;727,"MEET", AB292="FRRB","MEET", AB292="PSPS","MEET"),"No")</f>
        <v>MEET</v>
      </c>
      <c r="E292" s="23" t="str" cm="1">
        <f t="array" ref="E292">IFERROR(_xlfn.IFS(AM292&gt;0,"MEET", AN292&gt;0,"MEET"),"No")</f>
        <v>MEET</v>
      </c>
      <c r="F292" s="100">
        <v>2021233</v>
      </c>
      <c r="H292" s="37">
        <f t="shared" si="68"/>
        <v>1.6700000000000002</v>
      </c>
      <c r="I292" s="37">
        <f t="shared" si="69"/>
        <v>1.6700000000000002</v>
      </c>
      <c r="J292" s="183">
        <v>2021</v>
      </c>
      <c r="K292" s="182"/>
      <c r="L292" s="182"/>
      <c r="M292" s="37">
        <f t="shared" si="63"/>
        <v>0</v>
      </c>
      <c r="N292" s="21">
        <v>6407.72</v>
      </c>
      <c r="O292" s="183" t="s">
        <v>4878</v>
      </c>
      <c r="P292" s="182">
        <v>14452104</v>
      </c>
      <c r="Q292" s="182" t="s">
        <v>2060</v>
      </c>
      <c r="R292" s="183" t="s">
        <v>2059</v>
      </c>
      <c r="S292" s="38">
        <f>IFERROR(VLOOKUP(R292,[47]conductor_pz_summary_hftd_23_re!$B$2:$Q$3636,8,FALSE),0)</f>
        <v>30</v>
      </c>
      <c r="T292" s="201">
        <f>IFERROR(VLOOKUP(R292,[48]conductor_pz_summary_hftd_23_re!$B$2:$H$3636,7,0),0)/1609</f>
        <v>5.7542231349130013</v>
      </c>
      <c r="U292" s="23">
        <f>IFERROR(VLOOKUP(R292,[47]conductor_pz_summary_hftd_23_re!$B$2:$Q$3636,14,FALSE),0)</f>
        <v>21</v>
      </c>
      <c r="V292" s="37">
        <f t="shared" si="59"/>
        <v>18.436070899163731</v>
      </c>
      <c r="W292" s="202">
        <f>IFERROR(VLOOKUP(R292,[47]conductor_pz_summary_hftd_23_re!$B$2:$Q$3636,13,FALSE),0)</f>
        <v>0.61453569663879104</v>
      </c>
      <c r="X292" s="73">
        <f>IFERROR(VLOOKUP(R292,conductor_pz_summary_hftd_23_re!$B$2:$N$3636,13,FALSE),0)</f>
        <v>21</v>
      </c>
      <c r="Y292" s="203">
        <f t="shared" si="60"/>
        <v>5.2970410258600849</v>
      </c>
      <c r="Z292" s="182"/>
      <c r="AA292" s="183" t="s">
        <v>4903</v>
      </c>
      <c r="AB292" s="183" t="s">
        <v>5298</v>
      </c>
      <c r="AC292" s="94" t="s">
        <v>5462</v>
      </c>
      <c r="AD292" s="182" t="s">
        <v>4908</v>
      </c>
      <c r="AE292" s="182" t="s">
        <v>4909</v>
      </c>
      <c r="AF292" s="182" t="s">
        <v>4896</v>
      </c>
      <c r="AG292" s="183">
        <v>5794544</v>
      </c>
      <c r="AH292" s="183" t="s">
        <v>5391</v>
      </c>
      <c r="AI292" s="183">
        <v>120141671</v>
      </c>
      <c r="AJ292" s="183">
        <v>35219096</v>
      </c>
      <c r="AK292" s="183" t="s">
        <v>6288</v>
      </c>
      <c r="AL292" s="205">
        <v>0</v>
      </c>
      <c r="AM292" s="93">
        <f>1.67*5280</f>
        <v>8817.6</v>
      </c>
      <c r="AN292" s="93">
        <v>0</v>
      </c>
      <c r="AO292" s="205">
        <v>0</v>
      </c>
      <c r="AP292" s="117"/>
      <c r="AQ292" s="39" t="s">
        <v>5602</v>
      </c>
      <c r="AR292" s="183">
        <f>AS292*5280</f>
        <v>9240</v>
      </c>
      <c r="AS292" s="183">
        <v>1.75</v>
      </c>
      <c r="AT292" s="92">
        <v>4945020</v>
      </c>
      <c r="AU292" s="182"/>
      <c r="AV292" s="182"/>
      <c r="AW292" s="182"/>
      <c r="AX292" s="182"/>
      <c r="AY292" s="23">
        <f>AW292+AX292</f>
        <v>0</v>
      </c>
      <c r="AZ292" s="40">
        <f>AY292/5280</f>
        <v>0</v>
      </c>
      <c r="BD292" s="191">
        <f t="shared" si="70"/>
        <v>0</v>
      </c>
      <c r="BE292" s="182"/>
      <c r="BF292" s="182"/>
      <c r="BG292" s="182"/>
      <c r="BH292" s="182"/>
      <c r="BI292" s="182"/>
      <c r="BJ292" s="182"/>
      <c r="BK292" s="182"/>
      <c r="BL292" s="182"/>
      <c r="BM292" s="182"/>
      <c r="BN292" s="182"/>
      <c r="BO292" s="182"/>
      <c r="BP292" s="182"/>
      <c r="BQ292" s="182"/>
      <c r="BR292" s="182"/>
      <c r="BS292" s="182"/>
      <c r="BT292" s="182"/>
    </row>
    <row r="293" spans="1:72" ht="14.45" customHeight="1" x14ac:dyDescent="0.25">
      <c r="A293" s="218">
        <v>35227655</v>
      </c>
      <c r="B293" s="116" t="s">
        <v>5413</v>
      </c>
      <c r="C293" s="183">
        <v>13</v>
      </c>
      <c r="D293" s="23" t="str" cm="1">
        <f t="array" ref="D293">IFERROR(_xlfn.IFS(U293&lt;727,"MEET", AB293="FRRB","MEET", AB293="PSPS","MEET"),"No")</f>
        <v>MEET</v>
      </c>
      <c r="E293" s="23" t="str" cm="1">
        <f t="array" ref="E293">IFERROR(_xlfn.IFS(AM293&gt;0,"MEET", AN293&gt;0,"MEET"),"No")</f>
        <v>No</v>
      </c>
      <c r="F293" s="100">
        <v>2021234</v>
      </c>
      <c r="H293" s="37">
        <f t="shared" si="68"/>
        <v>3.7699999999999996</v>
      </c>
      <c r="I293" s="37">
        <f t="shared" si="69"/>
        <v>3.7699999999999996</v>
      </c>
      <c r="J293" s="183">
        <v>2021</v>
      </c>
      <c r="K293" s="182"/>
      <c r="L293" s="182"/>
      <c r="M293" s="37">
        <f t="shared" si="63"/>
        <v>0</v>
      </c>
      <c r="N293" s="21">
        <v>0</v>
      </c>
      <c r="O293" s="183" t="s">
        <v>4878</v>
      </c>
      <c r="P293" s="182">
        <v>14452104</v>
      </c>
      <c r="Q293" s="182" t="s">
        <v>2060</v>
      </c>
      <c r="R293" s="183" t="s">
        <v>2059</v>
      </c>
      <c r="S293" s="38">
        <f>IFERROR(VLOOKUP(R293,[47]conductor_pz_summary_hftd_23_re!$B$2:$Q$3636,8,FALSE),0)</f>
        <v>30</v>
      </c>
      <c r="T293" s="201">
        <f>IFERROR(VLOOKUP(R293,[48]conductor_pz_summary_hftd_23_re!$B$2:$H$3636,7,0),0)/1609</f>
        <v>5.7542231349130013</v>
      </c>
      <c r="U293" s="23">
        <f>IFERROR(VLOOKUP(R293,[47]conductor_pz_summary_hftd_23_re!$B$2:$Q$3636,14,FALSE),0)</f>
        <v>21</v>
      </c>
      <c r="V293" s="37">
        <f t="shared" si="59"/>
        <v>18.436070899163731</v>
      </c>
      <c r="W293" s="202">
        <f>IFERROR(VLOOKUP(R293,[47]conductor_pz_summary_hftd_23_re!$B$2:$Q$3636,13,FALSE),0)</f>
        <v>0.61453569663879104</v>
      </c>
      <c r="X293" s="73">
        <f>IFERROR(VLOOKUP(R293,conductor_pz_summary_hftd_23_re!$B$2:$N$3636,13,FALSE),0)</f>
        <v>21</v>
      </c>
      <c r="Y293" s="203">
        <f t="shared" si="60"/>
        <v>7.4888427350422546</v>
      </c>
      <c r="Z293" s="182"/>
      <c r="AA293" s="183" t="s">
        <v>4903</v>
      </c>
      <c r="AB293" s="183" t="s">
        <v>5298</v>
      </c>
      <c r="AC293" s="94" t="s">
        <v>5462</v>
      </c>
      <c r="AD293" s="182" t="s">
        <v>4908</v>
      </c>
      <c r="AE293" s="182" t="s">
        <v>4909</v>
      </c>
      <c r="AF293" s="182" t="s">
        <v>4896</v>
      </c>
      <c r="AG293" s="183">
        <v>5794544</v>
      </c>
      <c r="AH293" s="183" t="s">
        <v>6290</v>
      </c>
      <c r="AI293" s="183">
        <v>120462115</v>
      </c>
      <c r="AJ293" s="183">
        <v>35227655</v>
      </c>
      <c r="AK293" s="183" t="s">
        <v>6289</v>
      </c>
      <c r="AL293" s="205">
        <f>3.77*5280</f>
        <v>19905.599999999999</v>
      </c>
      <c r="AM293" s="93">
        <v>0</v>
      </c>
      <c r="AN293" s="93">
        <v>0</v>
      </c>
      <c r="AO293" s="205">
        <v>0</v>
      </c>
      <c r="AP293" s="117"/>
      <c r="AQ293" s="183"/>
      <c r="AR293" s="183"/>
      <c r="AS293" s="183"/>
      <c r="AT293" s="92"/>
      <c r="AU293" s="182"/>
      <c r="AV293" s="182"/>
      <c r="AW293" s="182"/>
      <c r="AX293" s="182"/>
      <c r="AY293" s="23"/>
      <c r="AZ293" s="40"/>
      <c r="BD293" s="191">
        <f t="shared" si="70"/>
        <v>0</v>
      </c>
      <c r="BE293" s="182"/>
      <c r="BF293" s="182"/>
      <c r="BG293" s="182"/>
      <c r="BH293" s="182"/>
      <c r="BI293" s="182"/>
      <c r="BJ293" s="182"/>
      <c r="BK293" s="182"/>
      <c r="BL293" s="182"/>
      <c r="BM293" s="182"/>
      <c r="BN293" s="182"/>
      <c r="BO293" s="182"/>
      <c r="BP293" s="182"/>
      <c r="BQ293" s="182"/>
      <c r="BR293" s="182"/>
      <c r="BS293" s="182"/>
      <c r="BT293" s="182"/>
    </row>
    <row r="294" spans="1:72" x14ac:dyDescent="0.25">
      <c r="A294" s="218">
        <v>35219097</v>
      </c>
      <c r="B294" s="116" t="s">
        <v>5413</v>
      </c>
      <c r="C294" s="183">
        <v>14</v>
      </c>
      <c r="D294" s="23" t="str" cm="1">
        <f t="array" ref="D294">IFERROR(_xlfn.IFS(U294&lt;727,"MEET", AB294="FRRB","MEET", AB294="PSPS","MEET"),"No")</f>
        <v>MEET</v>
      </c>
      <c r="E294" s="23" t="str" cm="1">
        <f t="array" ref="E294">IFERROR(_xlfn.IFS(AM294&gt;0,"MEET", AN294&gt;0,"MEET"),"No")</f>
        <v>No</v>
      </c>
      <c r="F294" s="100">
        <v>2021235</v>
      </c>
      <c r="H294" s="37">
        <f t="shared" si="68"/>
        <v>2.36</v>
      </c>
      <c r="I294" s="37">
        <f t="shared" si="69"/>
        <v>2.36</v>
      </c>
      <c r="J294" s="183">
        <v>2021</v>
      </c>
      <c r="K294" s="182"/>
      <c r="L294" s="182"/>
      <c r="M294" s="37">
        <f t="shared" si="63"/>
        <v>0</v>
      </c>
      <c r="N294" s="21">
        <v>12094.11</v>
      </c>
      <c r="O294" s="183" t="s">
        <v>4870</v>
      </c>
      <c r="P294" s="182">
        <v>254432104</v>
      </c>
      <c r="Q294" s="182" t="s">
        <v>918</v>
      </c>
      <c r="R294" s="183" t="s">
        <v>928</v>
      </c>
      <c r="S294" s="38">
        <f>IFERROR(VLOOKUP(R294,[47]conductor_pz_summary_hftd_23_re!$B$2:$Q$3636,8,FALSE),0)</f>
        <v>27</v>
      </c>
      <c r="T294" s="201">
        <f>IFERROR(VLOOKUP(R294,[48]conductor_pz_summary_hftd_23_re!$B$2:$H$3636,7,0),0)/1609</f>
        <v>2.4276836459869919</v>
      </c>
      <c r="U294" s="23">
        <f>IFERROR(VLOOKUP(R294,[47]conductor_pz_summary_hftd_23_re!$B$2:$Q$3636,14,FALSE),0)</f>
        <v>22</v>
      </c>
      <c r="V294" s="37">
        <f t="shared" si="59"/>
        <v>16.084829794130496</v>
      </c>
      <c r="W294" s="202">
        <f>IFERROR(VLOOKUP(R294,[47]conductor_pz_summary_hftd_23_re!$B$2:$Q$3636,13,FALSE),0)</f>
        <v>0.59573443681964799</v>
      </c>
      <c r="X294" s="73">
        <f>IFERROR(VLOOKUP(R294,conductor_pz_summary_hftd_23_re!$B$2:$N$3636,13,FALSE),0)</f>
        <v>95</v>
      </c>
      <c r="Y294" s="203">
        <f t="shared" si="60"/>
        <v>9.6945592534991469</v>
      </c>
      <c r="Z294" s="182"/>
      <c r="AA294" s="183" t="s">
        <v>4903</v>
      </c>
      <c r="AB294" s="183" t="s">
        <v>5298</v>
      </c>
      <c r="AC294" s="94" t="s">
        <v>5454</v>
      </c>
      <c r="AD294" s="182" t="s">
        <v>5446</v>
      </c>
      <c r="AE294" s="182" t="s">
        <v>4944</v>
      </c>
      <c r="AF294" s="182" t="s">
        <v>4939</v>
      </c>
      <c r="AG294" s="183">
        <v>5794546</v>
      </c>
      <c r="AH294" s="183" t="s">
        <v>5392</v>
      </c>
      <c r="AI294" s="183">
        <v>120141762</v>
      </c>
      <c r="AJ294" s="183">
        <v>35219097</v>
      </c>
      <c r="AK294" s="183" t="s">
        <v>6355</v>
      </c>
      <c r="AL294" s="205">
        <f>2.36*5280</f>
        <v>12460.8</v>
      </c>
      <c r="AM294" s="205">
        <v>0</v>
      </c>
      <c r="AN294" s="205">
        <v>0</v>
      </c>
      <c r="AO294" s="205">
        <v>0</v>
      </c>
      <c r="AP294" s="117"/>
      <c r="AQ294" s="39" t="s">
        <v>5631</v>
      </c>
      <c r="AR294" s="183">
        <f>AS294*5280</f>
        <v>45302.400000000001</v>
      </c>
      <c r="AS294" s="183">
        <v>8.58</v>
      </c>
      <c r="AT294" s="92">
        <v>7867593</v>
      </c>
      <c r="AU294" s="39" t="s">
        <v>6450</v>
      </c>
      <c r="AV294" s="182"/>
      <c r="AW294" s="182"/>
      <c r="AX294" s="182"/>
      <c r="AY294" s="23">
        <f>AW294+AX294</f>
        <v>0</v>
      </c>
      <c r="AZ294" s="40">
        <f>AY294/5280</f>
        <v>0</v>
      </c>
      <c r="BB294" s="188">
        <v>26.69</v>
      </c>
      <c r="BC294" s="189">
        <v>19300</v>
      </c>
      <c r="BD294" s="191">
        <f t="shared" si="70"/>
        <v>723.11727238666163</v>
      </c>
      <c r="BE294" s="182"/>
      <c r="BF294" s="182"/>
      <c r="BG294" s="182"/>
      <c r="BH294" s="182"/>
      <c r="BI294" s="182"/>
      <c r="BJ294" s="182"/>
      <c r="BK294" s="182"/>
      <c r="BL294" s="182"/>
      <c r="BM294" s="182"/>
      <c r="BN294" s="182"/>
      <c r="BO294" s="182"/>
      <c r="BP294" s="182"/>
      <c r="BQ294" s="182"/>
      <c r="BR294" s="182"/>
      <c r="BS294" s="182"/>
      <c r="BT294" s="182"/>
    </row>
    <row r="295" spans="1:72" s="159" customFormat="1" x14ac:dyDescent="0.25">
      <c r="A295" s="218">
        <v>35227260</v>
      </c>
      <c r="B295" s="116" t="s">
        <v>5413</v>
      </c>
      <c r="C295" s="183">
        <v>14</v>
      </c>
      <c r="D295" s="23" t="str" cm="1">
        <f t="array" ref="D295">IFERROR(_xlfn.IFS(U295&lt;727,"MEET", AB295="FRRB","MEET", AB295="PSPS","MEET"),"No")</f>
        <v>MEET</v>
      </c>
      <c r="E295" s="23" t="str" cm="1">
        <f t="array" ref="E295">IFERROR(_xlfn.IFS(AM295&gt;0,"MEET", AN295&gt;0,"MEET"),"No")</f>
        <v>No</v>
      </c>
      <c r="F295" s="100">
        <v>2021236</v>
      </c>
      <c r="G295" s="188"/>
      <c r="H295" s="37">
        <f t="shared" si="68"/>
        <v>2.36</v>
      </c>
      <c r="I295" s="37">
        <f t="shared" si="69"/>
        <v>2.36</v>
      </c>
      <c r="J295" s="183">
        <v>2021</v>
      </c>
      <c r="K295" s="182"/>
      <c r="L295" s="182"/>
      <c r="M295" s="37">
        <f t="shared" si="63"/>
        <v>0</v>
      </c>
      <c r="N295" s="21">
        <v>0</v>
      </c>
      <c r="O295" s="183" t="s">
        <v>4870</v>
      </c>
      <c r="P295" s="182">
        <v>254432104</v>
      </c>
      <c r="Q295" s="182" t="s">
        <v>918</v>
      </c>
      <c r="R295" s="183" t="s">
        <v>928</v>
      </c>
      <c r="S295" s="38">
        <f>IFERROR(VLOOKUP(R295,[47]conductor_pz_summary_hftd_23_re!$B$2:$Q$3636,8,FALSE),0)</f>
        <v>27</v>
      </c>
      <c r="T295" s="201">
        <f>IFERROR(VLOOKUP(R295,[48]conductor_pz_summary_hftd_23_re!$B$2:$H$3636,7,0),0)/1609</f>
        <v>2.4276836459869919</v>
      </c>
      <c r="U295" s="23">
        <f>IFERROR(VLOOKUP(R295,[47]conductor_pz_summary_hftd_23_re!$B$2:$Q$3636,14,FALSE),0)</f>
        <v>22</v>
      </c>
      <c r="V295" s="37">
        <f t="shared" si="59"/>
        <v>16.084829794130496</v>
      </c>
      <c r="W295" s="202">
        <f>IFERROR(VLOOKUP(R295,[47]conductor_pz_summary_hftd_23_re!$B$2:$Q$3636,13,FALSE),0)</f>
        <v>0.59573443681964799</v>
      </c>
      <c r="X295" s="160">
        <f>IFERROR(VLOOKUP(R295,conductor_pz_summary_hftd_23_re!$B$2:$N$3636,13,FALSE),0)</f>
        <v>95</v>
      </c>
      <c r="Y295" s="203">
        <f t="shared" si="60"/>
        <v>9.6945592534991469</v>
      </c>
      <c r="Z295" s="182"/>
      <c r="AA295" s="183" t="s">
        <v>4903</v>
      </c>
      <c r="AB295" s="183" t="s">
        <v>5298</v>
      </c>
      <c r="AC295" s="94" t="s">
        <v>5454</v>
      </c>
      <c r="AD295" s="182" t="s">
        <v>5446</v>
      </c>
      <c r="AE295" s="182" t="s">
        <v>4944</v>
      </c>
      <c r="AF295" s="182" t="s">
        <v>4939</v>
      </c>
      <c r="AG295" s="183">
        <v>5794546</v>
      </c>
      <c r="AH295" s="183" t="s">
        <v>6257</v>
      </c>
      <c r="AI295" s="183">
        <v>120457078</v>
      </c>
      <c r="AJ295" s="183">
        <v>35227260</v>
      </c>
      <c r="AK295" s="183" t="s">
        <v>6356</v>
      </c>
      <c r="AL295" s="205">
        <f>2.36*5280</f>
        <v>12460.8</v>
      </c>
      <c r="AM295" s="205">
        <v>0</v>
      </c>
      <c r="AN295" s="205">
        <v>0</v>
      </c>
      <c r="AO295" s="205">
        <v>0</v>
      </c>
      <c r="AP295" s="117"/>
      <c r="AQ295" s="39" t="s">
        <v>5631</v>
      </c>
      <c r="AR295" s="183"/>
      <c r="AS295" s="183"/>
      <c r="AT295" s="92"/>
      <c r="AU295" s="39" t="s">
        <v>6450</v>
      </c>
      <c r="AV295" s="182"/>
      <c r="AW295" s="182"/>
      <c r="AX295" s="182"/>
      <c r="AY295" s="23"/>
      <c r="AZ295" s="40"/>
      <c r="BA295" s="173"/>
      <c r="BB295" s="188">
        <v>0</v>
      </c>
      <c r="BC295" s="189">
        <v>0</v>
      </c>
      <c r="BD295" s="191">
        <f t="shared" si="70"/>
        <v>0</v>
      </c>
      <c r="BE295" s="182"/>
      <c r="BF295" s="182"/>
      <c r="BG295" s="182"/>
      <c r="BH295" s="182"/>
      <c r="BI295" s="182"/>
      <c r="BJ295" s="182"/>
      <c r="BK295" s="182"/>
      <c r="BL295" s="182"/>
      <c r="BM295" s="182"/>
      <c r="BN295" s="182"/>
      <c r="BO295" s="182"/>
      <c r="BP295" s="182"/>
      <c r="BQ295" s="182"/>
      <c r="BR295" s="182"/>
      <c r="BS295" s="182"/>
      <c r="BT295" s="182"/>
    </row>
    <row r="296" spans="1:72" x14ac:dyDescent="0.25">
      <c r="A296" s="218">
        <v>35227261</v>
      </c>
      <c r="B296" s="116" t="s">
        <v>5413</v>
      </c>
      <c r="C296" s="183">
        <v>14</v>
      </c>
      <c r="D296" s="23" t="str" cm="1">
        <f t="array" ref="D296">IFERROR(_xlfn.IFS(U296&lt;727,"MEET", AB296="FRRB","MEET", AB296="PSPS","MEET"),"No")</f>
        <v>MEET</v>
      </c>
      <c r="E296" s="23" t="str" cm="1">
        <f t="array" ref="E296">IFERROR(_xlfn.IFS(AM296&gt;0,"MEET", AN296&gt;0,"MEET"),"No")</f>
        <v>No</v>
      </c>
      <c r="F296" s="100">
        <v>2021237</v>
      </c>
      <c r="H296" s="37">
        <f t="shared" si="68"/>
        <v>2.16</v>
      </c>
      <c r="I296" s="37">
        <f t="shared" si="69"/>
        <v>2.16</v>
      </c>
      <c r="J296" s="183">
        <v>2021</v>
      </c>
      <c r="K296" s="182"/>
      <c r="L296" s="182"/>
      <c r="M296" s="37">
        <f t="shared" si="63"/>
        <v>0</v>
      </c>
      <c r="N296" s="21">
        <v>3990.77</v>
      </c>
      <c r="O296" s="183" t="s">
        <v>4870</v>
      </c>
      <c r="P296" s="182">
        <v>254432104</v>
      </c>
      <c r="Q296" s="182" t="s">
        <v>918</v>
      </c>
      <c r="R296" s="183" t="s">
        <v>928</v>
      </c>
      <c r="S296" s="38">
        <f>IFERROR(VLOOKUP(R296,[47]conductor_pz_summary_hftd_23_re!$B$2:$Q$3636,8,FALSE),0)</f>
        <v>27</v>
      </c>
      <c r="T296" s="201">
        <f>IFERROR(VLOOKUP(R296,[48]conductor_pz_summary_hftd_23_re!$B$2:$H$3636,7,0),0)/1609</f>
        <v>2.4276836459869919</v>
      </c>
      <c r="U296" s="23">
        <f>IFERROR(VLOOKUP(R296,[47]conductor_pz_summary_hftd_23_re!$B$2:$Q$3636,14,FALSE),0)</f>
        <v>22</v>
      </c>
      <c r="V296" s="37">
        <f t="shared" si="59"/>
        <v>16.084829794130496</v>
      </c>
      <c r="W296" s="202">
        <f>IFERROR(VLOOKUP(R296,[47]conductor_pz_summary_hftd_23_re!$B$2:$Q$3636,13,FALSE),0)</f>
        <v>0.59573443681964799</v>
      </c>
      <c r="X296" s="73">
        <f>IFERROR(VLOOKUP(R296,conductor_pz_summary_hftd_23_re!$B$2:$N$3636,13,FALSE),0)</f>
        <v>95</v>
      </c>
      <c r="Y296" s="203">
        <f t="shared" si="60"/>
        <v>8.8729864354060002</v>
      </c>
      <c r="Z296" s="182"/>
      <c r="AA296" s="183" t="s">
        <v>4903</v>
      </c>
      <c r="AB296" s="183" t="s">
        <v>5298</v>
      </c>
      <c r="AC296" s="94" t="s">
        <v>5454</v>
      </c>
      <c r="AD296" s="182" t="s">
        <v>5446</v>
      </c>
      <c r="AE296" s="182" t="s">
        <v>4944</v>
      </c>
      <c r="AF296" s="182" t="s">
        <v>4939</v>
      </c>
      <c r="AG296" s="183">
        <v>5794546</v>
      </c>
      <c r="AH296" s="183" t="s">
        <v>6258</v>
      </c>
      <c r="AI296" s="183">
        <v>120457111</v>
      </c>
      <c r="AJ296" s="183">
        <v>35227261</v>
      </c>
      <c r="AK296" s="183" t="s">
        <v>6357</v>
      </c>
      <c r="AL296" s="205">
        <f>2.16*5280</f>
        <v>11404.800000000001</v>
      </c>
      <c r="AM296" s="205">
        <v>0</v>
      </c>
      <c r="AN296" s="205">
        <v>0</v>
      </c>
      <c r="AO296" s="205">
        <v>0</v>
      </c>
      <c r="AP296" s="117"/>
      <c r="AQ296" s="39" t="s">
        <v>5631</v>
      </c>
      <c r="AR296" s="183"/>
      <c r="AS296" s="183"/>
      <c r="AT296" s="92"/>
      <c r="AU296" s="39" t="s">
        <v>6450</v>
      </c>
      <c r="AV296" s="182"/>
      <c r="AW296" s="182"/>
      <c r="AX296" s="182"/>
      <c r="AY296" s="23"/>
      <c r="AZ296" s="40"/>
      <c r="BB296" s="188">
        <v>0</v>
      </c>
      <c r="BC296" s="189">
        <v>0</v>
      </c>
      <c r="BD296" s="191">
        <f t="shared" si="70"/>
        <v>0</v>
      </c>
      <c r="BE296" s="182"/>
      <c r="BF296" s="182"/>
      <c r="BG296" s="182"/>
      <c r="BH296" s="182"/>
      <c r="BI296" s="182"/>
      <c r="BJ296" s="182"/>
      <c r="BK296" s="182"/>
      <c r="BL296" s="182"/>
      <c r="BM296" s="182"/>
      <c r="BN296" s="182"/>
      <c r="BO296" s="182"/>
      <c r="BP296" s="182"/>
      <c r="BQ296" s="182"/>
      <c r="BR296" s="182"/>
      <c r="BS296" s="182"/>
      <c r="BT296" s="182"/>
    </row>
    <row r="297" spans="1:72" s="59" customFormat="1" x14ac:dyDescent="0.25">
      <c r="A297" s="218">
        <v>35227262</v>
      </c>
      <c r="B297" s="116" t="s">
        <v>5413</v>
      </c>
      <c r="C297" s="183">
        <v>14</v>
      </c>
      <c r="D297" s="23" t="str" cm="1">
        <f t="array" ref="D297">IFERROR(_xlfn.IFS(U297&lt;727,"MEET", AB297="FRRB","MEET", AB297="PSPS","MEET"),"No")</f>
        <v>MEET</v>
      </c>
      <c r="E297" s="23" t="str" cm="1">
        <f t="array" ref="E297">IFERROR(_xlfn.IFS(AM297&gt;0,"MEET", AN297&gt;0,"MEET"),"No")</f>
        <v>No</v>
      </c>
      <c r="F297" s="100">
        <v>2021238</v>
      </c>
      <c r="G297" s="188"/>
      <c r="H297" s="37">
        <f t="shared" si="68"/>
        <v>1.4015151515151516</v>
      </c>
      <c r="I297" s="37">
        <f t="shared" si="69"/>
        <v>1.4015151515151516</v>
      </c>
      <c r="J297" s="183">
        <v>2021</v>
      </c>
      <c r="K297" s="182"/>
      <c r="L297" s="182"/>
      <c r="M297" s="37">
        <f t="shared" si="63"/>
        <v>0</v>
      </c>
      <c r="N297" s="21">
        <v>3544.16</v>
      </c>
      <c r="O297" s="183" t="s">
        <v>4870</v>
      </c>
      <c r="P297" s="182">
        <v>254432104</v>
      </c>
      <c r="Q297" s="182" t="s">
        <v>918</v>
      </c>
      <c r="R297" s="183" t="s">
        <v>928</v>
      </c>
      <c r="S297" s="38">
        <f>IFERROR(VLOOKUP(R297,[47]conductor_pz_summary_hftd_23_re!$B$2:$Q$3636,8,FALSE),0)</f>
        <v>27</v>
      </c>
      <c r="T297" s="201">
        <f>IFERROR(VLOOKUP(R297,[48]conductor_pz_summary_hftd_23_re!$B$2:$H$3636,7,0),0)/1609</f>
        <v>2.4276836459869919</v>
      </c>
      <c r="U297" s="23">
        <f>IFERROR(VLOOKUP(R297,[47]conductor_pz_summary_hftd_23_re!$B$2:$Q$3636,14,FALSE),0)</f>
        <v>22</v>
      </c>
      <c r="V297" s="37">
        <f t="shared" si="59"/>
        <v>16.084829794130496</v>
      </c>
      <c r="W297" s="202">
        <f>IFERROR(VLOOKUP(R297,[47]conductor_pz_summary_hftd_23_re!$B$2:$Q$3636,13,FALSE),0)</f>
        <v>0.59573443681964799</v>
      </c>
      <c r="X297" s="73">
        <f>IFERROR(VLOOKUP(R297,conductor_pz_summary_hftd_23_re!$B$2:$N$3636,13,FALSE),0)</f>
        <v>95</v>
      </c>
      <c r="Y297" s="203">
        <f t="shared" si="60"/>
        <v>5.7572337631527422</v>
      </c>
      <c r="Z297" s="182"/>
      <c r="AA297" s="183" t="s">
        <v>4903</v>
      </c>
      <c r="AB297" s="183" t="s">
        <v>5298</v>
      </c>
      <c r="AC297" s="94" t="s">
        <v>5454</v>
      </c>
      <c r="AD297" s="182" t="s">
        <v>5446</v>
      </c>
      <c r="AE297" s="182" t="s">
        <v>4944</v>
      </c>
      <c r="AF297" s="182" t="s">
        <v>4939</v>
      </c>
      <c r="AG297" s="183">
        <v>5794546</v>
      </c>
      <c r="AH297" s="183" t="s">
        <v>6259</v>
      </c>
      <c r="AI297" s="183">
        <v>120457115</v>
      </c>
      <c r="AJ297" s="183">
        <v>35227262</v>
      </c>
      <c r="AK297" s="183" t="s">
        <v>6358</v>
      </c>
      <c r="AL297" s="205">
        <v>7400</v>
      </c>
      <c r="AM297" s="205">
        <v>0</v>
      </c>
      <c r="AN297" s="205">
        <v>0</v>
      </c>
      <c r="AO297" s="205">
        <v>0</v>
      </c>
      <c r="AP297" s="117"/>
      <c r="AQ297" s="39" t="s">
        <v>5631</v>
      </c>
      <c r="AR297" s="183"/>
      <c r="AS297" s="183"/>
      <c r="AT297" s="92"/>
      <c r="AU297" s="39" t="s">
        <v>6450</v>
      </c>
      <c r="AV297" s="183"/>
      <c r="AW297" s="183"/>
      <c r="AX297" s="183"/>
      <c r="AY297" s="23"/>
      <c r="AZ297" s="40"/>
      <c r="BA297" s="173"/>
      <c r="BB297" s="188">
        <v>0</v>
      </c>
      <c r="BC297" s="189">
        <v>0</v>
      </c>
      <c r="BD297" s="191">
        <f t="shared" si="70"/>
        <v>0</v>
      </c>
      <c r="BE297" s="182"/>
      <c r="BF297" s="182"/>
      <c r="BG297" s="182"/>
      <c r="BH297" s="182"/>
      <c r="BI297" s="182"/>
      <c r="BJ297" s="182"/>
      <c r="BK297" s="182"/>
      <c r="BL297" s="182"/>
      <c r="BM297" s="182"/>
      <c r="BN297" s="182"/>
      <c r="BO297" s="182"/>
      <c r="BP297" s="182"/>
      <c r="BQ297" s="182"/>
      <c r="BR297" s="182"/>
      <c r="BS297" s="182"/>
      <c r="BT297" s="182"/>
    </row>
    <row r="298" spans="1:72" s="59" customFormat="1" x14ac:dyDescent="0.25">
      <c r="A298" s="218">
        <v>35219098</v>
      </c>
      <c r="B298" s="116" t="s">
        <v>5413</v>
      </c>
      <c r="C298" s="183">
        <v>13</v>
      </c>
      <c r="D298" s="23" t="str" cm="1">
        <f t="array" ref="D298">IFERROR(_xlfn.IFS(U298&lt;727,"MEET", AB298="FRRB","MEET", AB298="PSPS","MEET"),"No")</f>
        <v>MEET</v>
      </c>
      <c r="E298" s="23" t="str" cm="1">
        <f t="array" ref="E298">IFERROR(_xlfn.IFS(AM298&gt;0,"MEET", AN298&gt;0,"MEET"),"No")</f>
        <v>No</v>
      </c>
      <c r="F298" s="100">
        <v>2021239</v>
      </c>
      <c r="G298" s="188"/>
      <c r="H298" s="37">
        <f t="shared" si="68"/>
        <v>0.72</v>
      </c>
      <c r="I298" s="37">
        <f t="shared" si="69"/>
        <v>0.72</v>
      </c>
      <c r="J298" s="183">
        <v>2021</v>
      </c>
      <c r="K298" s="182"/>
      <c r="L298" s="182"/>
      <c r="M298" s="37">
        <f t="shared" ref="M298:M329" si="71">SUM(K298:L298)</f>
        <v>0</v>
      </c>
      <c r="N298" s="21">
        <v>13086.55</v>
      </c>
      <c r="O298" s="183" t="s">
        <v>4878</v>
      </c>
      <c r="P298" s="182">
        <v>43141101</v>
      </c>
      <c r="Q298" s="182" t="s">
        <v>2411</v>
      </c>
      <c r="R298" s="183" t="s">
        <v>2410</v>
      </c>
      <c r="S298" s="38">
        <f>IFERROR(VLOOKUP(R298,[47]conductor_pz_summary_hftd_23_re!$B$2:$Q$3636,8,FALSE),0)</f>
        <v>12</v>
      </c>
      <c r="T298" s="201">
        <f>IFERROR(VLOOKUP(R298,[48]conductor_pz_summary_hftd_23_re!$B$2:$H$3636,7,0),0)/1609</f>
        <v>1.0658524089295898</v>
      </c>
      <c r="U298" s="23">
        <f>IFERROR(VLOOKUP(R298,[47]conductor_pz_summary_hftd_23_re!$B$2:$Q$3636,14,FALSE),0)</f>
        <v>23</v>
      </c>
      <c r="V298" s="37">
        <f t="shared" si="59"/>
        <v>6.9710318565939478</v>
      </c>
      <c r="W298" s="202">
        <f>IFERROR(VLOOKUP(R298,[47]conductor_pz_summary_hftd_23_re!$B$2:$Q$3636,13,FALSE),0)</f>
        <v>0.58091932138282898</v>
      </c>
      <c r="X298" s="73">
        <f>IFERROR(VLOOKUP(R298,conductor_pz_summary_hftd_23_re!$B$2:$N$3636,13,FALSE),0)</f>
        <v>79</v>
      </c>
      <c r="Y298" s="203">
        <f t="shared" si="60"/>
        <v>2.9196055614385803</v>
      </c>
      <c r="Z298" s="182"/>
      <c r="AA298" s="183" t="s">
        <v>5418</v>
      </c>
      <c r="AB298" s="183" t="s">
        <v>5298</v>
      </c>
      <c r="AC298" s="94" t="s">
        <v>4872</v>
      </c>
      <c r="AD298" s="182" t="s">
        <v>4873</v>
      </c>
      <c r="AE298" s="182" t="s">
        <v>4874</v>
      </c>
      <c r="AF298" s="182" t="s">
        <v>4875</v>
      </c>
      <c r="AG298" s="183">
        <v>5794547</v>
      </c>
      <c r="AH298" s="183" t="s">
        <v>5312</v>
      </c>
      <c r="AI298" s="183">
        <v>120141805</v>
      </c>
      <c r="AJ298" s="183">
        <v>35219098</v>
      </c>
      <c r="AK298" s="183" t="s">
        <v>5303</v>
      </c>
      <c r="AL298" s="205">
        <f>0.72*5280</f>
        <v>3801.6</v>
      </c>
      <c r="AM298" s="205">
        <v>0</v>
      </c>
      <c r="AN298" s="205">
        <v>0</v>
      </c>
      <c r="AO298" s="205">
        <v>0</v>
      </c>
      <c r="AP298" s="117"/>
      <c r="AQ298" s="39" t="s">
        <v>5573</v>
      </c>
      <c r="AR298" s="183">
        <f>AS298*5280</f>
        <v>7022.4000000000005</v>
      </c>
      <c r="AS298" s="183">
        <v>1.33</v>
      </c>
      <c r="AT298" s="92">
        <v>1830000</v>
      </c>
      <c r="AU298" s="39" t="s">
        <v>6342</v>
      </c>
      <c r="AV298" s="183"/>
      <c r="AW298" s="183"/>
      <c r="AX298" s="183"/>
      <c r="AY298" s="23">
        <f>AW298+AX298</f>
        <v>0</v>
      </c>
      <c r="AZ298" s="40">
        <f>AY298/5280</f>
        <v>0</v>
      </c>
      <c r="BA298" s="173"/>
      <c r="BB298" s="188"/>
      <c r="BC298" s="189"/>
      <c r="BD298" s="191">
        <f t="shared" si="70"/>
        <v>0</v>
      </c>
      <c r="BE298" s="182"/>
      <c r="BF298" s="182"/>
      <c r="BG298" s="182"/>
      <c r="BH298" s="182"/>
      <c r="BI298" s="182"/>
      <c r="BJ298" s="182"/>
      <c r="BK298" s="182"/>
      <c r="BL298" s="182"/>
      <c r="BM298" s="182"/>
      <c r="BN298" s="182"/>
      <c r="BO298" s="182"/>
      <c r="BP298" s="182"/>
      <c r="BQ298" s="182"/>
      <c r="BR298" s="182"/>
      <c r="BS298" s="182"/>
      <c r="BT298" s="182"/>
    </row>
    <row r="299" spans="1:72" s="59" customFormat="1" x14ac:dyDescent="0.25">
      <c r="A299" s="218">
        <v>35229119</v>
      </c>
      <c r="B299" s="116" t="s">
        <v>5413</v>
      </c>
      <c r="C299" s="183">
        <v>13</v>
      </c>
      <c r="D299" s="23" t="str" cm="1">
        <f t="array" ref="D299">IFERROR(_xlfn.IFS(U299&lt;727,"MEET", AB299="FRRB","MEET", AB299="PSPS","MEET"),"No")</f>
        <v>MEET</v>
      </c>
      <c r="E299" s="23" t="str" cm="1">
        <f t="array" ref="E299">IFERROR(_xlfn.IFS(AM299&gt;0,"MEET", AN299&gt;0,"MEET"),"No")</f>
        <v>MEET</v>
      </c>
      <c r="F299" s="100">
        <v>2021240</v>
      </c>
      <c r="G299" s="188"/>
      <c r="H299" s="37">
        <f t="shared" si="68"/>
        <v>0.61</v>
      </c>
      <c r="I299" s="37">
        <f t="shared" si="69"/>
        <v>0.61</v>
      </c>
      <c r="J299" s="183">
        <v>2021</v>
      </c>
      <c r="K299" s="182"/>
      <c r="L299" s="182"/>
      <c r="M299" s="37">
        <f t="shared" si="71"/>
        <v>0</v>
      </c>
      <c r="N299" s="21">
        <v>957.21</v>
      </c>
      <c r="O299" s="183" t="s">
        <v>4878</v>
      </c>
      <c r="P299" s="182">
        <v>43141101</v>
      </c>
      <c r="Q299" s="182" t="s">
        <v>2411</v>
      </c>
      <c r="R299" s="183" t="s">
        <v>2410</v>
      </c>
      <c r="S299" s="38">
        <f>IFERROR(VLOOKUP(R299,[47]conductor_pz_summary_hftd_23_re!$B$2:$Q$3636,8,FALSE),0)</f>
        <v>12</v>
      </c>
      <c r="T299" s="201">
        <f>IFERROR(VLOOKUP(R299,[48]conductor_pz_summary_hftd_23_re!$B$2:$H$3636,7,0),0)/1609</f>
        <v>1.0658524089295898</v>
      </c>
      <c r="U299" s="23">
        <f>IFERROR(VLOOKUP(R299,[47]conductor_pz_summary_hftd_23_re!$B$2:$Q$3636,14,FALSE),0)</f>
        <v>23</v>
      </c>
      <c r="V299" s="37">
        <f t="shared" si="59"/>
        <v>6.9710318565939478</v>
      </c>
      <c r="W299" s="202">
        <f>IFERROR(VLOOKUP(R299,[47]conductor_pz_summary_hftd_23_re!$B$2:$Q$3636,13,FALSE),0)</f>
        <v>0.58091932138282898</v>
      </c>
      <c r="X299" s="73">
        <f>IFERROR(VLOOKUP(R299,conductor_pz_summary_hftd_23_re!$B$2:$N$3636,13,FALSE),0)</f>
        <v>79</v>
      </c>
      <c r="Y299" s="203">
        <f t="shared" si="60"/>
        <v>3.9497083300913056</v>
      </c>
      <c r="Z299" s="182"/>
      <c r="AA299" s="183" t="s">
        <v>5418</v>
      </c>
      <c r="AB299" s="183" t="s">
        <v>5298</v>
      </c>
      <c r="AC299" s="94" t="s">
        <v>4872</v>
      </c>
      <c r="AD299" s="182" t="s">
        <v>4873</v>
      </c>
      <c r="AE299" s="182" t="s">
        <v>4874</v>
      </c>
      <c r="AF299" s="182" t="s">
        <v>4875</v>
      </c>
      <c r="AG299" s="183">
        <v>5794547</v>
      </c>
      <c r="AH299" s="183" t="s">
        <v>5312</v>
      </c>
      <c r="AI299" s="183">
        <v>120496477</v>
      </c>
      <c r="AJ299" s="183">
        <v>35229119</v>
      </c>
      <c r="AK299" s="183" t="s">
        <v>6319</v>
      </c>
      <c r="AL299" s="205">
        <v>0</v>
      </c>
      <c r="AM299" s="205">
        <f>0.61*5280</f>
        <v>3220.7999999999997</v>
      </c>
      <c r="AN299" s="205">
        <v>0</v>
      </c>
      <c r="AO299" s="205">
        <v>0</v>
      </c>
      <c r="AP299" s="117"/>
      <c r="AQ299" s="39" t="s">
        <v>5573</v>
      </c>
      <c r="AR299" s="183"/>
      <c r="AS299" s="183"/>
      <c r="AT299" s="92"/>
      <c r="AU299" s="39" t="s">
        <v>6342</v>
      </c>
      <c r="AV299" s="183"/>
      <c r="AW299" s="183"/>
      <c r="AX299" s="183"/>
      <c r="AY299" s="23"/>
      <c r="AZ299" s="40"/>
      <c r="BA299" s="173"/>
      <c r="BB299" s="188"/>
      <c r="BC299" s="189"/>
      <c r="BD299" s="191">
        <f t="shared" si="70"/>
        <v>0</v>
      </c>
      <c r="BE299" s="182"/>
      <c r="BF299" s="182"/>
      <c r="BG299" s="182"/>
      <c r="BH299" s="182"/>
      <c r="BI299" s="182"/>
      <c r="BJ299" s="182"/>
      <c r="BK299" s="182"/>
      <c r="BL299" s="182"/>
      <c r="BM299" s="182"/>
      <c r="BN299" s="182"/>
      <c r="BO299" s="182"/>
      <c r="BP299" s="182"/>
      <c r="BQ299" s="182"/>
      <c r="BR299" s="182"/>
      <c r="BS299" s="182"/>
      <c r="BT299" s="182"/>
    </row>
    <row r="300" spans="1:72" x14ac:dyDescent="0.25">
      <c r="A300" s="218">
        <v>35219099</v>
      </c>
      <c r="B300" s="116" t="s">
        <v>5413</v>
      </c>
      <c r="C300" s="183">
        <v>10</v>
      </c>
      <c r="D300" s="23" t="str" cm="1">
        <f t="array" ref="D300">IFERROR(_xlfn.IFS(U300&lt;727,"MEET", AB300="FRRB","MEET", AB300="PSPS","MEET"),"No")</f>
        <v>MEET</v>
      </c>
      <c r="E300" s="23" t="str" cm="1">
        <f t="array" ref="E300">IFERROR(_xlfn.IFS(AM300&gt;0,"MEET", AN300&gt;0,"MEET"),"No")</f>
        <v>No</v>
      </c>
      <c r="F300" s="100">
        <v>2021241</v>
      </c>
      <c r="H300" s="37">
        <f t="shared" si="68"/>
        <v>17.3</v>
      </c>
      <c r="I300" s="37">
        <f t="shared" si="69"/>
        <v>17.3</v>
      </c>
      <c r="J300" s="183">
        <v>2021</v>
      </c>
      <c r="K300" s="182"/>
      <c r="L300" s="182"/>
      <c r="M300" s="37">
        <f t="shared" si="71"/>
        <v>0</v>
      </c>
      <c r="N300" s="21">
        <v>25924.57</v>
      </c>
      <c r="O300" s="183" t="s">
        <v>4878</v>
      </c>
      <c r="P300" s="182">
        <v>43361102</v>
      </c>
      <c r="Q300" s="182" t="s">
        <v>1885</v>
      </c>
      <c r="R300" s="183" t="s">
        <v>1887</v>
      </c>
      <c r="S300" s="38">
        <f>IFERROR(VLOOKUP(R300,[47]conductor_pz_summary_hftd_23_re!$B$2:$Q$3636,8,FALSE),0)</f>
        <v>51</v>
      </c>
      <c r="T300" s="201">
        <f>IFERROR(VLOOKUP(R300,[48]conductor_pz_summary_hftd_23_re!$B$2:$H$3636,7,0),0)/1609</f>
        <v>14.222439399760409</v>
      </c>
      <c r="U300" s="23">
        <f>IFERROR(VLOOKUP(R300,[47]conductor_pz_summary_hftd_23_re!$B$2:$Q$3636,14,FALSE),0)</f>
        <v>27</v>
      </c>
      <c r="V300" s="37">
        <f t="shared" si="59"/>
        <v>27.983766868840789</v>
      </c>
      <c r="W300" s="202">
        <f>IFERROR(VLOOKUP(R300,[47]conductor_pz_summary_hftd_23_re!$B$2:$Q$3636,13,FALSE),0)</f>
        <v>0.54870131115374099</v>
      </c>
      <c r="X300" s="73">
        <f>IFERROR(VLOOKUP(R300,conductor_pz_summary_hftd_23_re!$B$2:$N$3636,13,FALSE),0)</f>
        <v>33</v>
      </c>
      <c r="Y300" s="203">
        <f t="shared" si="60"/>
        <v>21.104247660935208</v>
      </c>
      <c r="Z300" s="182"/>
      <c r="AA300" s="183" t="s">
        <v>5418</v>
      </c>
      <c r="AB300" s="183" t="s">
        <v>5298</v>
      </c>
      <c r="AC300" s="94" t="s">
        <v>5463</v>
      </c>
      <c r="AD300" s="182" t="s">
        <v>4873</v>
      </c>
      <c r="AE300" s="182" t="s">
        <v>4874</v>
      </c>
      <c r="AF300" s="182" t="s">
        <v>4875</v>
      </c>
      <c r="AG300" s="183">
        <v>5794549</v>
      </c>
      <c r="AH300" s="183" t="s">
        <v>5393</v>
      </c>
      <c r="AI300" s="183">
        <v>120141849</v>
      </c>
      <c r="AJ300" s="183">
        <v>35219099</v>
      </c>
      <c r="AK300" s="183" t="s">
        <v>6429</v>
      </c>
      <c r="AL300" s="205">
        <f>17.3*5280</f>
        <v>91344</v>
      </c>
      <c r="AM300" s="205">
        <v>0</v>
      </c>
      <c r="AN300" s="205">
        <v>0</v>
      </c>
      <c r="AO300" s="205">
        <v>0</v>
      </c>
      <c r="AP300" s="182"/>
      <c r="AQ300" s="39" t="s">
        <v>5590</v>
      </c>
      <c r="AR300" s="183">
        <f>AS300*5280</f>
        <v>91344</v>
      </c>
      <c r="AS300" s="183">
        <v>17.3</v>
      </c>
      <c r="AT300" s="92">
        <v>25150000</v>
      </c>
      <c r="AU300" s="48" t="s">
        <v>6383</v>
      </c>
      <c r="AV300" s="183"/>
      <c r="AW300" s="183"/>
      <c r="AX300" s="183"/>
      <c r="AY300" s="23">
        <f>AW300+AX300</f>
        <v>0</v>
      </c>
      <c r="AZ300" s="40">
        <f>AY300/5280</f>
        <v>0</v>
      </c>
      <c r="BD300" s="191">
        <f t="shared" si="70"/>
        <v>0</v>
      </c>
      <c r="BE300" s="182"/>
      <c r="BF300" s="182"/>
      <c r="BG300" s="182"/>
      <c r="BH300" s="182"/>
      <c r="BI300" s="182"/>
      <c r="BJ300" s="182"/>
      <c r="BK300" s="182"/>
      <c r="BL300" s="182"/>
      <c r="BM300" s="182"/>
      <c r="BN300" s="182"/>
      <c r="BO300" s="182"/>
      <c r="BP300" s="182"/>
      <c r="BQ300" s="182"/>
      <c r="BR300" s="182"/>
      <c r="BS300" s="182"/>
      <c r="BT300" s="182"/>
    </row>
    <row r="301" spans="1:72" s="159" customFormat="1" x14ac:dyDescent="0.25">
      <c r="A301" s="218">
        <v>35231620</v>
      </c>
      <c r="B301" s="116" t="s">
        <v>5413</v>
      </c>
      <c r="C301" s="183">
        <v>10</v>
      </c>
      <c r="D301" s="23" t="str" cm="1">
        <f t="array" ref="D301">IFERROR(_xlfn.IFS(U301&lt;727,"MEET", AB301="FRRB","MEET", AB301="PSPS","MEET"),"No")</f>
        <v>MEET</v>
      </c>
      <c r="E301" s="23" t="str" cm="1">
        <f t="array" ref="E301">IFERROR(_xlfn.IFS(AM301&gt;0,"MEET", AN301&gt;0,"MEET"),"No")</f>
        <v>No</v>
      </c>
      <c r="F301" s="100">
        <v>2021242</v>
      </c>
      <c r="G301" s="188"/>
      <c r="H301" s="37">
        <f t="shared" si="68"/>
        <v>0</v>
      </c>
      <c r="I301" s="37">
        <f t="shared" si="69"/>
        <v>0</v>
      </c>
      <c r="J301" s="183">
        <v>2021</v>
      </c>
      <c r="K301" s="182"/>
      <c r="L301" s="182"/>
      <c r="M301" s="37">
        <f t="shared" si="71"/>
        <v>0</v>
      </c>
      <c r="N301" s="21">
        <v>0</v>
      </c>
      <c r="O301" s="217" t="s">
        <v>4878</v>
      </c>
      <c r="P301" s="182">
        <v>43361102</v>
      </c>
      <c r="Q301" s="182" t="s">
        <v>1885</v>
      </c>
      <c r="R301" s="183" t="s">
        <v>1887</v>
      </c>
      <c r="S301" s="38">
        <f>IFERROR(VLOOKUP(R301,[47]conductor_pz_summary_hftd_23_re!$B$2:$Q$3636,8,FALSE),0)</f>
        <v>51</v>
      </c>
      <c r="T301" s="201">
        <f>IFERROR(VLOOKUP(R301,[48]conductor_pz_summary_hftd_23_re!$B$2:$H$3636,7,0),0)/1609</f>
        <v>14.222439399760409</v>
      </c>
      <c r="U301" s="23">
        <f>IFERROR(VLOOKUP(R301,[47]conductor_pz_summary_hftd_23_re!$B$2:$Q$3636,14,FALSE),0)</f>
        <v>27</v>
      </c>
      <c r="V301" s="37">
        <f t="shared" si="59"/>
        <v>27.983766868840789</v>
      </c>
      <c r="W301" s="202">
        <f>IFERROR(VLOOKUP(R301,[47]conductor_pz_summary_hftd_23_re!$B$2:$Q$3636,13,FALSE),0)</f>
        <v>0.54870131115374099</v>
      </c>
      <c r="X301" s="183">
        <f>IFERROR(VLOOKUP(R301,conductor_pz_summary_hftd_23_re!$B$2:$N$3636,13,FALSE),0)</f>
        <v>33</v>
      </c>
      <c r="Y301" s="203" t="e">
        <f t="shared" si="60"/>
        <v>#DIV/0!</v>
      </c>
      <c r="Z301" s="182"/>
      <c r="AA301" s="183" t="s">
        <v>5418</v>
      </c>
      <c r="AB301" s="183" t="s">
        <v>5298</v>
      </c>
      <c r="AC301" s="94" t="s">
        <v>5463</v>
      </c>
      <c r="AD301" s="182" t="s">
        <v>4873</v>
      </c>
      <c r="AE301" s="182" t="s">
        <v>4874</v>
      </c>
      <c r="AF301" s="182" t="s">
        <v>4875</v>
      </c>
      <c r="AG301" s="183">
        <v>5794549</v>
      </c>
      <c r="AH301" s="183" t="s">
        <v>6405</v>
      </c>
      <c r="AI301" s="183">
        <v>120504137</v>
      </c>
      <c r="AJ301" s="183">
        <v>35231620</v>
      </c>
      <c r="AK301" s="183" t="s">
        <v>6417</v>
      </c>
      <c r="AL301" s="205"/>
      <c r="AM301" s="205"/>
      <c r="AN301" s="205"/>
      <c r="AO301" s="205"/>
      <c r="AP301" s="182"/>
      <c r="AQ301" s="39" t="s">
        <v>5590</v>
      </c>
      <c r="AR301" s="183"/>
      <c r="AS301" s="183"/>
      <c r="AT301" s="92"/>
      <c r="AU301" s="48" t="s">
        <v>6383</v>
      </c>
      <c r="AV301" s="183"/>
      <c r="AW301" s="183"/>
      <c r="AX301" s="183"/>
      <c r="AY301" s="23"/>
      <c r="AZ301" s="40"/>
      <c r="BA301" s="173"/>
      <c r="BB301" s="188"/>
      <c r="BC301" s="189"/>
      <c r="BD301" s="191">
        <f t="shared" si="70"/>
        <v>0</v>
      </c>
      <c r="BE301" s="182"/>
      <c r="BF301" s="182"/>
      <c r="BG301" s="182"/>
      <c r="BH301" s="182"/>
      <c r="BI301" s="182"/>
      <c r="BJ301" s="182"/>
      <c r="BK301" s="182"/>
      <c r="BL301" s="182"/>
      <c r="BM301" s="182"/>
      <c r="BN301" s="182"/>
      <c r="BO301" s="182"/>
      <c r="BP301" s="182"/>
      <c r="BQ301" s="182"/>
      <c r="BR301" s="182"/>
      <c r="BS301" s="182"/>
      <c r="BT301" s="182"/>
    </row>
    <row r="302" spans="1:72" x14ac:dyDescent="0.25">
      <c r="A302" s="218">
        <v>35231621</v>
      </c>
      <c r="B302" s="116" t="s">
        <v>5413</v>
      </c>
      <c r="C302" s="183">
        <v>10</v>
      </c>
      <c r="D302" s="23" t="str" cm="1">
        <f t="array" ref="D302">IFERROR(_xlfn.IFS(U302&lt;727,"MEET", AB302="FRRB","MEET", AB302="PSPS","MEET"),"No")</f>
        <v>MEET</v>
      </c>
      <c r="E302" s="23" t="str" cm="1">
        <f t="array" ref="E302">IFERROR(_xlfn.IFS(AM302&gt;0,"MEET", AN302&gt;0,"MEET"),"No")</f>
        <v>No</v>
      </c>
      <c r="F302" s="100">
        <v>2021243</v>
      </c>
      <c r="H302" s="37">
        <f t="shared" si="68"/>
        <v>0</v>
      </c>
      <c r="I302" s="37">
        <f t="shared" si="69"/>
        <v>0</v>
      </c>
      <c r="J302" s="183">
        <v>2021</v>
      </c>
      <c r="K302" s="182"/>
      <c r="L302" s="182"/>
      <c r="M302" s="37">
        <f t="shared" si="71"/>
        <v>0</v>
      </c>
      <c r="N302" s="21">
        <v>0</v>
      </c>
      <c r="O302" s="217" t="s">
        <v>4878</v>
      </c>
      <c r="P302" s="182">
        <v>43361102</v>
      </c>
      <c r="Q302" s="182" t="s">
        <v>1885</v>
      </c>
      <c r="R302" s="183" t="s">
        <v>1887</v>
      </c>
      <c r="S302" s="38">
        <f>IFERROR(VLOOKUP(R302,[47]conductor_pz_summary_hftd_23_re!$B$2:$Q$3636,8,FALSE),0)</f>
        <v>51</v>
      </c>
      <c r="T302" s="201">
        <f>IFERROR(VLOOKUP(R302,[48]conductor_pz_summary_hftd_23_re!$B$2:$H$3636,7,0),0)/1609</f>
        <v>14.222439399760409</v>
      </c>
      <c r="U302" s="23">
        <f>IFERROR(VLOOKUP(R302,[47]conductor_pz_summary_hftd_23_re!$B$2:$Q$3636,14,FALSE),0)</f>
        <v>27</v>
      </c>
      <c r="V302" s="37">
        <f t="shared" si="59"/>
        <v>27.983766868840789</v>
      </c>
      <c r="W302" s="202">
        <f>IFERROR(VLOOKUP(R302,[47]conductor_pz_summary_hftd_23_re!$B$2:$Q$3636,13,FALSE),0)</f>
        <v>0.54870131115374099</v>
      </c>
      <c r="X302" s="73">
        <f>IFERROR(VLOOKUP(R302,conductor_pz_summary_hftd_23_re!$B$2:$N$3636,13,FALSE),0)</f>
        <v>33</v>
      </c>
      <c r="Y302" s="203" t="e">
        <f t="shared" si="60"/>
        <v>#DIV/0!</v>
      </c>
      <c r="Z302" s="182"/>
      <c r="AA302" s="183" t="s">
        <v>5418</v>
      </c>
      <c r="AB302" s="183" t="s">
        <v>5298</v>
      </c>
      <c r="AC302" s="94" t="s">
        <v>5463</v>
      </c>
      <c r="AD302" s="182" t="s">
        <v>4873</v>
      </c>
      <c r="AE302" s="182" t="s">
        <v>4874</v>
      </c>
      <c r="AF302" s="182" t="s">
        <v>4875</v>
      </c>
      <c r="AG302" s="183">
        <v>5794549</v>
      </c>
      <c r="AH302" s="211" t="s">
        <v>6406</v>
      </c>
      <c r="AI302" s="211">
        <v>120504138</v>
      </c>
      <c r="AJ302" s="183">
        <v>35231621</v>
      </c>
      <c r="AK302" s="183" t="s">
        <v>6418</v>
      </c>
      <c r="AL302" s="205"/>
      <c r="AM302" s="205"/>
      <c r="AN302" s="205"/>
      <c r="AO302" s="205"/>
      <c r="AP302" s="182"/>
      <c r="AQ302" s="39" t="s">
        <v>5590</v>
      </c>
      <c r="AR302" s="183"/>
      <c r="AS302" s="183"/>
      <c r="AT302" s="92"/>
      <c r="AU302" s="48" t="s">
        <v>6383</v>
      </c>
      <c r="AV302" s="183"/>
      <c r="AW302" s="183"/>
      <c r="AX302" s="183"/>
      <c r="AY302" s="23"/>
      <c r="AZ302" s="40"/>
      <c r="BD302" s="191">
        <f t="shared" si="70"/>
        <v>0</v>
      </c>
      <c r="BE302" s="159"/>
      <c r="BF302" s="159"/>
      <c r="BG302" s="182"/>
      <c r="BH302" s="182"/>
      <c r="BI302" s="182"/>
      <c r="BJ302" s="182"/>
      <c r="BK302" s="182"/>
      <c r="BL302" s="182"/>
      <c r="BM302" s="182"/>
      <c r="BN302" s="182"/>
      <c r="BO302" s="182"/>
      <c r="BP302" s="182"/>
      <c r="BQ302" s="182"/>
      <c r="BR302" s="182"/>
      <c r="BS302" s="182"/>
      <c r="BT302" s="182"/>
    </row>
    <row r="303" spans="1:72" s="180" customFormat="1" x14ac:dyDescent="0.25">
      <c r="A303" s="218">
        <v>35231622</v>
      </c>
      <c r="B303" s="116" t="s">
        <v>5413</v>
      </c>
      <c r="C303" s="183">
        <v>10</v>
      </c>
      <c r="D303" s="23" t="str" cm="1">
        <f t="array" ref="D303">IFERROR(_xlfn.IFS(U303&lt;727,"MEET", AB303="FRRB","MEET", AB303="PSPS","MEET"),"No")</f>
        <v>MEET</v>
      </c>
      <c r="E303" s="23" t="str" cm="1">
        <f t="array" ref="E303">IFERROR(_xlfn.IFS(AM303&gt;0,"MEET", AN303&gt;0,"MEET"),"No")</f>
        <v>No</v>
      </c>
      <c r="F303" s="100">
        <v>2021244</v>
      </c>
      <c r="G303" s="188"/>
      <c r="H303" s="37">
        <f t="shared" si="68"/>
        <v>0</v>
      </c>
      <c r="I303" s="37">
        <f t="shared" si="69"/>
        <v>0</v>
      </c>
      <c r="J303" s="183">
        <v>2021</v>
      </c>
      <c r="K303" s="182"/>
      <c r="L303" s="182"/>
      <c r="M303" s="37">
        <f t="shared" si="71"/>
        <v>0</v>
      </c>
      <c r="N303" s="21">
        <v>0</v>
      </c>
      <c r="O303" s="217" t="s">
        <v>4878</v>
      </c>
      <c r="P303" s="182">
        <v>43361102</v>
      </c>
      <c r="Q303" s="182" t="s">
        <v>1885</v>
      </c>
      <c r="R303" s="183" t="s">
        <v>1887</v>
      </c>
      <c r="S303" s="38">
        <f>IFERROR(VLOOKUP(R303,[47]conductor_pz_summary_hftd_23_re!$B$2:$Q$3636,8,FALSE),0)</f>
        <v>51</v>
      </c>
      <c r="T303" s="201">
        <f>IFERROR(VLOOKUP(R303,[48]conductor_pz_summary_hftd_23_re!$B$2:$H$3636,7,0),0)/1609</f>
        <v>14.222439399760409</v>
      </c>
      <c r="U303" s="23">
        <f>IFERROR(VLOOKUP(R303,[47]conductor_pz_summary_hftd_23_re!$B$2:$Q$3636,14,FALSE),0)</f>
        <v>27</v>
      </c>
      <c r="V303" s="37">
        <f t="shared" si="59"/>
        <v>27.983766868840789</v>
      </c>
      <c r="W303" s="202">
        <f>IFERROR(VLOOKUP(R303,[47]conductor_pz_summary_hftd_23_re!$B$2:$Q$3636,13,FALSE),0)</f>
        <v>0.54870131115374099</v>
      </c>
      <c r="X303" s="181">
        <f>IFERROR(VLOOKUP(R303,conductor_pz_summary_hftd_23_re!$B$2:$N$3636,13,FALSE),0)</f>
        <v>33</v>
      </c>
      <c r="Y303" s="203" t="e">
        <f t="shared" si="60"/>
        <v>#DIV/0!</v>
      </c>
      <c r="Z303" s="182"/>
      <c r="AA303" s="183" t="s">
        <v>5418</v>
      </c>
      <c r="AB303" s="183" t="s">
        <v>5298</v>
      </c>
      <c r="AC303" s="94" t="s">
        <v>5463</v>
      </c>
      <c r="AD303" s="182" t="s">
        <v>4873</v>
      </c>
      <c r="AE303" s="182" t="s">
        <v>4874</v>
      </c>
      <c r="AF303" s="182" t="s">
        <v>4875</v>
      </c>
      <c r="AG303" s="183">
        <v>5794549</v>
      </c>
      <c r="AH303" s="183" t="s">
        <v>6407</v>
      </c>
      <c r="AI303" s="183">
        <v>120504139</v>
      </c>
      <c r="AJ303" s="183">
        <v>35231622</v>
      </c>
      <c r="AK303" s="183" t="s">
        <v>6419</v>
      </c>
      <c r="AL303" s="205"/>
      <c r="AM303" s="205"/>
      <c r="AN303" s="205"/>
      <c r="AO303" s="205"/>
      <c r="AP303" s="182"/>
      <c r="AQ303" s="39" t="s">
        <v>5590</v>
      </c>
      <c r="AR303" s="183"/>
      <c r="AS303" s="183"/>
      <c r="AT303" s="92"/>
      <c r="AU303" s="48" t="s">
        <v>6383</v>
      </c>
      <c r="AV303" s="183"/>
      <c r="AW303" s="183"/>
      <c r="AX303" s="183"/>
      <c r="AY303" s="23"/>
      <c r="AZ303" s="40"/>
      <c r="BA303" s="173"/>
      <c r="BB303" s="188"/>
      <c r="BC303" s="189"/>
      <c r="BD303" s="191">
        <f t="shared" si="70"/>
        <v>0</v>
      </c>
      <c r="BG303" s="182"/>
      <c r="BH303" s="182"/>
      <c r="BI303" s="182"/>
      <c r="BJ303" s="182"/>
      <c r="BK303" s="182"/>
      <c r="BL303" s="182"/>
      <c r="BM303" s="182"/>
      <c r="BN303" s="182"/>
      <c r="BO303" s="182"/>
      <c r="BP303" s="182"/>
      <c r="BQ303" s="182"/>
      <c r="BR303" s="182"/>
      <c r="BS303" s="182"/>
      <c r="BT303" s="182"/>
    </row>
    <row r="304" spans="1:72" s="180" customFormat="1" x14ac:dyDescent="0.25">
      <c r="A304" s="218">
        <v>35231623</v>
      </c>
      <c r="B304" s="116" t="s">
        <v>5413</v>
      </c>
      <c r="C304" s="183">
        <v>10</v>
      </c>
      <c r="D304" s="23" t="str" cm="1">
        <f t="array" ref="D304">IFERROR(_xlfn.IFS(U304&lt;727,"MEET", AB304="FRRB","MEET", AB304="PSPS","MEET"),"No")</f>
        <v>MEET</v>
      </c>
      <c r="E304" s="23" t="str" cm="1">
        <f t="array" ref="E304">IFERROR(_xlfn.IFS(AM304&gt;0,"MEET", AN304&gt;0,"MEET"),"No")</f>
        <v>No</v>
      </c>
      <c r="F304" s="100">
        <v>2021245</v>
      </c>
      <c r="G304" s="188"/>
      <c r="H304" s="37">
        <f t="shared" si="68"/>
        <v>0</v>
      </c>
      <c r="I304" s="37">
        <f t="shared" si="69"/>
        <v>0</v>
      </c>
      <c r="J304" s="183">
        <v>2021</v>
      </c>
      <c r="K304" s="182"/>
      <c r="L304" s="182"/>
      <c r="M304" s="37">
        <f t="shared" si="71"/>
        <v>0</v>
      </c>
      <c r="N304" s="21">
        <v>0</v>
      </c>
      <c r="O304" s="217" t="s">
        <v>4878</v>
      </c>
      <c r="P304" s="182">
        <v>43361102</v>
      </c>
      <c r="Q304" s="182" t="s">
        <v>1885</v>
      </c>
      <c r="R304" s="183" t="s">
        <v>1887</v>
      </c>
      <c r="S304" s="38">
        <f>IFERROR(VLOOKUP(R304,[47]conductor_pz_summary_hftd_23_re!$B$2:$Q$3636,8,FALSE),0)</f>
        <v>51</v>
      </c>
      <c r="T304" s="201">
        <f>IFERROR(VLOOKUP(R304,[48]conductor_pz_summary_hftd_23_re!$B$2:$H$3636,7,0),0)/1609</f>
        <v>14.222439399760409</v>
      </c>
      <c r="U304" s="23">
        <f>IFERROR(VLOOKUP(R304,[47]conductor_pz_summary_hftd_23_re!$B$2:$Q$3636,14,FALSE),0)</f>
        <v>27</v>
      </c>
      <c r="V304" s="37">
        <f t="shared" si="59"/>
        <v>27.983766868840789</v>
      </c>
      <c r="W304" s="202">
        <f>IFERROR(VLOOKUP(R304,[47]conductor_pz_summary_hftd_23_re!$B$2:$Q$3636,13,FALSE),0)</f>
        <v>0.54870131115374099</v>
      </c>
      <c r="X304" s="181">
        <f>IFERROR(VLOOKUP(R304,conductor_pz_summary_hftd_23_re!$B$2:$N$3636,13,FALSE),0)</f>
        <v>33</v>
      </c>
      <c r="Y304" s="203" t="e">
        <f t="shared" si="60"/>
        <v>#DIV/0!</v>
      </c>
      <c r="Z304" s="182"/>
      <c r="AA304" s="183" t="s">
        <v>5418</v>
      </c>
      <c r="AB304" s="183" t="s">
        <v>5298</v>
      </c>
      <c r="AC304" s="94" t="s">
        <v>5463</v>
      </c>
      <c r="AD304" s="182" t="s">
        <v>4873</v>
      </c>
      <c r="AE304" s="182" t="s">
        <v>4874</v>
      </c>
      <c r="AF304" s="182" t="s">
        <v>4875</v>
      </c>
      <c r="AG304" s="183">
        <v>5794549</v>
      </c>
      <c r="AH304" s="183" t="s">
        <v>6408</v>
      </c>
      <c r="AI304" s="183">
        <v>120504160</v>
      </c>
      <c r="AJ304" s="183">
        <v>35231623</v>
      </c>
      <c r="AK304" s="183" t="s">
        <v>6420</v>
      </c>
      <c r="AL304" s="205"/>
      <c r="AM304" s="205"/>
      <c r="AN304" s="205"/>
      <c r="AO304" s="205"/>
      <c r="AP304" s="182"/>
      <c r="AQ304" s="39" t="s">
        <v>5590</v>
      </c>
      <c r="AR304" s="183"/>
      <c r="AS304" s="183"/>
      <c r="AT304" s="92"/>
      <c r="AU304" s="48" t="s">
        <v>6383</v>
      </c>
      <c r="AV304" s="183"/>
      <c r="AW304" s="183"/>
      <c r="AX304" s="183"/>
      <c r="AY304" s="23"/>
      <c r="AZ304" s="40"/>
      <c r="BA304" s="173"/>
      <c r="BB304" s="188"/>
      <c r="BC304" s="189"/>
      <c r="BD304" s="191">
        <f t="shared" si="70"/>
        <v>0</v>
      </c>
      <c r="BG304" s="182"/>
      <c r="BH304" s="182"/>
      <c r="BI304" s="182"/>
      <c r="BJ304" s="182"/>
      <c r="BK304" s="182"/>
      <c r="BL304" s="182"/>
      <c r="BM304" s="182"/>
      <c r="BN304" s="182"/>
      <c r="BO304" s="182"/>
      <c r="BP304" s="182"/>
      <c r="BQ304" s="182"/>
      <c r="BR304" s="182"/>
      <c r="BS304" s="182"/>
      <c r="BT304" s="182"/>
    </row>
    <row r="305" spans="1:72" s="180" customFormat="1" x14ac:dyDescent="0.25">
      <c r="A305" s="218">
        <v>35231624</v>
      </c>
      <c r="B305" s="116" t="s">
        <v>5413</v>
      </c>
      <c r="C305" s="183">
        <v>10</v>
      </c>
      <c r="D305" s="23" t="str" cm="1">
        <f t="array" ref="D305">IFERROR(_xlfn.IFS(U305&lt;727,"MEET", AB305="FRRB","MEET", AB305="PSPS","MEET"),"No")</f>
        <v>MEET</v>
      </c>
      <c r="E305" s="23" t="str" cm="1">
        <f t="array" ref="E305">IFERROR(_xlfn.IFS(AM305&gt;0,"MEET", AN305&gt;0,"MEET"),"No")</f>
        <v>No</v>
      </c>
      <c r="F305" s="100">
        <v>2021246</v>
      </c>
      <c r="G305" s="188"/>
      <c r="H305" s="37">
        <f t="shared" si="68"/>
        <v>0</v>
      </c>
      <c r="I305" s="37">
        <f t="shared" si="69"/>
        <v>0</v>
      </c>
      <c r="J305" s="183">
        <v>2021</v>
      </c>
      <c r="K305" s="182"/>
      <c r="L305" s="182"/>
      <c r="M305" s="37">
        <f t="shared" si="71"/>
        <v>0</v>
      </c>
      <c r="N305" s="21">
        <v>0</v>
      </c>
      <c r="O305" s="217" t="s">
        <v>4878</v>
      </c>
      <c r="P305" s="182">
        <v>43361102</v>
      </c>
      <c r="Q305" s="182" t="s">
        <v>1885</v>
      </c>
      <c r="R305" s="183" t="s">
        <v>1887</v>
      </c>
      <c r="S305" s="38">
        <f>IFERROR(VLOOKUP(R305,[47]conductor_pz_summary_hftd_23_re!$B$2:$Q$3636,8,FALSE),0)</f>
        <v>51</v>
      </c>
      <c r="T305" s="201">
        <f>IFERROR(VLOOKUP(R305,[48]conductor_pz_summary_hftd_23_re!$B$2:$H$3636,7,0),0)/1609</f>
        <v>14.222439399760409</v>
      </c>
      <c r="U305" s="23">
        <f>IFERROR(VLOOKUP(R305,[47]conductor_pz_summary_hftd_23_re!$B$2:$Q$3636,14,FALSE),0)</f>
        <v>27</v>
      </c>
      <c r="V305" s="37">
        <f t="shared" si="59"/>
        <v>27.983766868840789</v>
      </c>
      <c r="W305" s="202">
        <f>IFERROR(VLOOKUP(R305,[47]conductor_pz_summary_hftd_23_re!$B$2:$Q$3636,13,FALSE),0)</f>
        <v>0.54870131115374099</v>
      </c>
      <c r="X305" s="181">
        <f>IFERROR(VLOOKUP(R305,conductor_pz_summary_hftd_23_re!$B$2:$N$3636,13,FALSE),0)</f>
        <v>33</v>
      </c>
      <c r="Y305" s="203" t="e">
        <f t="shared" si="60"/>
        <v>#DIV/0!</v>
      </c>
      <c r="Z305" s="182"/>
      <c r="AA305" s="183" t="s">
        <v>5418</v>
      </c>
      <c r="AB305" s="183" t="s">
        <v>5298</v>
      </c>
      <c r="AC305" s="94" t="s">
        <v>5463</v>
      </c>
      <c r="AD305" s="182" t="s">
        <v>4873</v>
      </c>
      <c r="AE305" s="182" t="s">
        <v>4874</v>
      </c>
      <c r="AF305" s="182" t="s">
        <v>4875</v>
      </c>
      <c r="AG305" s="183">
        <v>5794549</v>
      </c>
      <c r="AH305" s="183" t="s">
        <v>6409</v>
      </c>
      <c r="AI305" s="183">
        <v>120504163</v>
      </c>
      <c r="AJ305" s="183">
        <v>35231624</v>
      </c>
      <c r="AK305" s="183" t="s">
        <v>6421</v>
      </c>
      <c r="AL305" s="205"/>
      <c r="AM305" s="205"/>
      <c r="AN305" s="205"/>
      <c r="AO305" s="205"/>
      <c r="AP305" s="182"/>
      <c r="AQ305" s="39" t="s">
        <v>5590</v>
      </c>
      <c r="AR305" s="183"/>
      <c r="AS305" s="183"/>
      <c r="AT305" s="92"/>
      <c r="AU305" s="48" t="s">
        <v>6383</v>
      </c>
      <c r="AV305" s="183"/>
      <c r="AW305" s="183"/>
      <c r="AX305" s="183"/>
      <c r="AY305" s="23"/>
      <c r="AZ305" s="40"/>
      <c r="BA305" s="173"/>
      <c r="BB305" s="188"/>
      <c r="BC305" s="189"/>
      <c r="BD305" s="191">
        <f t="shared" si="70"/>
        <v>0</v>
      </c>
      <c r="BG305" s="182"/>
      <c r="BH305" s="182"/>
      <c r="BI305" s="182"/>
      <c r="BJ305" s="182"/>
      <c r="BK305" s="182"/>
      <c r="BL305" s="182"/>
      <c r="BM305" s="182"/>
      <c r="BN305" s="182"/>
      <c r="BO305" s="182"/>
      <c r="BP305" s="182"/>
      <c r="BQ305" s="182"/>
      <c r="BR305" s="182"/>
      <c r="BS305" s="182"/>
      <c r="BT305" s="182"/>
    </row>
    <row r="306" spans="1:72" s="180" customFormat="1" x14ac:dyDescent="0.25">
      <c r="A306" s="218">
        <v>35231625</v>
      </c>
      <c r="B306" s="116" t="s">
        <v>5413</v>
      </c>
      <c r="C306" s="183">
        <v>10</v>
      </c>
      <c r="D306" s="23" t="str" cm="1">
        <f t="array" ref="D306">IFERROR(_xlfn.IFS(U306&lt;727,"MEET", AB306="FRRB","MEET", AB306="PSPS","MEET"),"No")</f>
        <v>MEET</v>
      </c>
      <c r="E306" s="23" t="str" cm="1">
        <f t="array" ref="E306">IFERROR(_xlfn.IFS(AM306&gt;0,"MEET", AN306&gt;0,"MEET"),"No")</f>
        <v>No</v>
      </c>
      <c r="F306" s="100">
        <v>2021247</v>
      </c>
      <c r="G306" s="188"/>
      <c r="H306" s="37">
        <f t="shared" si="68"/>
        <v>0</v>
      </c>
      <c r="I306" s="37">
        <f t="shared" si="69"/>
        <v>0</v>
      </c>
      <c r="J306" s="183">
        <v>2021</v>
      </c>
      <c r="K306" s="182"/>
      <c r="L306" s="182"/>
      <c r="M306" s="37">
        <f t="shared" si="71"/>
        <v>0</v>
      </c>
      <c r="N306" s="21">
        <v>0</v>
      </c>
      <c r="O306" s="217" t="s">
        <v>4878</v>
      </c>
      <c r="P306" s="182">
        <v>43361102</v>
      </c>
      <c r="Q306" s="182" t="s">
        <v>1885</v>
      </c>
      <c r="R306" s="183" t="s">
        <v>1887</v>
      </c>
      <c r="S306" s="38">
        <f>IFERROR(VLOOKUP(R306,[47]conductor_pz_summary_hftd_23_re!$B$2:$Q$3636,8,FALSE),0)</f>
        <v>51</v>
      </c>
      <c r="T306" s="201">
        <f>IFERROR(VLOOKUP(R306,[48]conductor_pz_summary_hftd_23_re!$B$2:$H$3636,7,0),0)/1609</f>
        <v>14.222439399760409</v>
      </c>
      <c r="U306" s="23">
        <f>IFERROR(VLOOKUP(R306,[47]conductor_pz_summary_hftd_23_re!$B$2:$Q$3636,14,FALSE),0)</f>
        <v>27</v>
      </c>
      <c r="V306" s="37">
        <f t="shared" si="59"/>
        <v>27.983766868840789</v>
      </c>
      <c r="W306" s="202">
        <f>IFERROR(VLOOKUP(R306,[47]conductor_pz_summary_hftd_23_re!$B$2:$Q$3636,13,FALSE),0)</f>
        <v>0.54870131115374099</v>
      </c>
      <c r="X306" s="181">
        <f>IFERROR(VLOOKUP(R306,conductor_pz_summary_hftd_23_re!$B$2:$N$3636,13,FALSE),0)</f>
        <v>33</v>
      </c>
      <c r="Y306" s="203" t="e">
        <f t="shared" si="60"/>
        <v>#DIV/0!</v>
      </c>
      <c r="Z306" s="182"/>
      <c r="AA306" s="183" t="s">
        <v>5418</v>
      </c>
      <c r="AB306" s="183" t="s">
        <v>5298</v>
      </c>
      <c r="AC306" s="94" t="s">
        <v>5463</v>
      </c>
      <c r="AD306" s="182" t="s">
        <v>4873</v>
      </c>
      <c r="AE306" s="182" t="s">
        <v>4874</v>
      </c>
      <c r="AF306" s="182" t="s">
        <v>4875</v>
      </c>
      <c r="AG306" s="183">
        <v>5794549</v>
      </c>
      <c r="AH306" s="183" t="s">
        <v>6410</v>
      </c>
      <c r="AI306" s="183">
        <v>120504164</v>
      </c>
      <c r="AJ306" s="183">
        <v>35231625</v>
      </c>
      <c r="AK306" s="183" t="s">
        <v>6422</v>
      </c>
      <c r="AL306" s="205"/>
      <c r="AM306" s="205"/>
      <c r="AN306" s="205"/>
      <c r="AO306" s="205"/>
      <c r="AP306" s="182"/>
      <c r="AQ306" s="39" t="s">
        <v>5590</v>
      </c>
      <c r="AR306" s="183"/>
      <c r="AS306" s="183"/>
      <c r="AT306" s="92"/>
      <c r="AU306" s="48" t="s">
        <v>6383</v>
      </c>
      <c r="AV306" s="183"/>
      <c r="AW306" s="183"/>
      <c r="AX306" s="183"/>
      <c r="AY306" s="23"/>
      <c r="AZ306" s="40"/>
      <c r="BA306" s="173"/>
      <c r="BB306" s="188"/>
      <c r="BC306" s="189"/>
      <c r="BD306" s="191">
        <f t="shared" si="70"/>
        <v>0</v>
      </c>
      <c r="BG306" s="182"/>
      <c r="BH306" s="182"/>
      <c r="BI306" s="182"/>
      <c r="BJ306" s="182"/>
      <c r="BK306" s="182"/>
      <c r="BL306" s="182"/>
      <c r="BM306" s="182"/>
      <c r="BN306" s="182"/>
      <c r="BO306" s="182"/>
      <c r="BP306" s="182"/>
      <c r="BQ306" s="182"/>
      <c r="BR306" s="182"/>
      <c r="BS306" s="182"/>
      <c r="BT306" s="182"/>
    </row>
    <row r="307" spans="1:72" s="180" customFormat="1" x14ac:dyDescent="0.25">
      <c r="A307" s="218">
        <v>35231626</v>
      </c>
      <c r="B307" s="116" t="s">
        <v>5413</v>
      </c>
      <c r="C307" s="183">
        <v>10</v>
      </c>
      <c r="D307" s="23" t="str" cm="1">
        <f t="array" ref="D307">IFERROR(_xlfn.IFS(U307&lt;727,"MEET", AB307="FRRB","MEET", AB307="PSPS","MEET"),"No")</f>
        <v>MEET</v>
      </c>
      <c r="E307" s="23" t="str" cm="1">
        <f t="array" ref="E307">IFERROR(_xlfn.IFS(AM307&gt;0,"MEET", AN307&gt;0,"MEET"),"No")</f>
        <v>No</v>
      </c>
      <c r="F307" s="100">
        <v>2021248</v>
      </c>
      <c r="G307" s="188"/>
      <c r="H307" s="37">
        <f t="shared" si="68"/>
        <v>0</v>
      </c>
      <c r="I307" s="37">
        <f t="shared" si="69"/>
        <v>0</v>
      </c>
      <c r="J307" s="183">
        <v>2021</v>
      </c>
      <c r="K307" s="182"/>
      <c r="L307" s="182"/>
      <c r="M307" s="37">
        <f t="shared" si="71"/>
        <v>0</v>
      </c>
      <c r="N307" s="21">
        <v>0</v>
      </c>
      <c r="O307" s="217" t="s">
        <v>4878</v>
      </c>
      <c r="P307" s="182">
        <v>43361102</v>
      </c>
      <c r="Q307" s="182" t="s">
        <v>1885</v>
      </c>
      <c r="R307" s="183" t="s">
        <v>1887</v>
      </c>
      <c r="S307" s="38">
        <f>IFERROR(VLOOKUP(R307,[47]conductor_pz_summary_hftd_23_re!$B$2:$Q$3636,8,FALSE),0)</f>
        <v>51</v>
      </c>
      <c r="T307" s="201">
        <f>IFERROR(VLOOKUP(R307,[48]conductor_pz_summary_hftd_23_re!$B$2:$H$3636,7,0),0)/1609</f>
        <v>14.222439399760409</v>
      </c>
      <c r="U307" s="23">
        <f>IFERROR(VLOOKUP(R307,[47]conductor_pz_summary_hftd_23_re!$B$2:$Q$3636,14,FALSE),0)</f>
        <v>27</v>
      </c>
      <c r="V307" s="37">
        <f t="shared" si="59"/>
        <v>27.983766868840789</v>
      </c>
      <c r="W307" s="202">
        <f>IFERROR(VLOOKUP(R307,[47]conductor_pz_summary_hftd_23_re!$B$2:$Q$3636,13,FALSE),0)</f>
        <v>0.54870131115374099</v>
      </c>
      <c r="X307" s="181">
        <f>IFERROR(VLOOKUP(R307,conductor_pz_summary_hftd_23_re!$B$2:$N$3636,13,FALSE),0)</f>
        <v>33</v>
      </c>
      <c r="Y307" s="203" t="e">
        <f t="shared" si="60"/>
        <v>#DIV/0!</v>
      </c>
      <c r="Z307" s="182"/>
      <c r="AA307" s="183" t="s">
        <v>5418</v>
      </c>
      <c r="AB307" s="183" t="s">
        <v>5298</v>
      </c>
      <c r="AC307" s="94" t="s">
        <v>5463</v>
      </c>
      <c r="AD307" s="182" t="s">
        <v>4873</v>
      </c>
      <c r="AE307" s="182" t="s">
        <v>4874</v>
      </c>
      <c r="AF307" s="182" t="s">
        <v>4875</v>
      </c>
      <c r="AG307" s="183">
        <v>5794549</v>
      </c>
      <c r="AH307" s="183" t="s">
        <v>6411</v>
      </c>
      <c r="AI307" s="183">
        <v>120504165</v>
      </c>
      <c r="AJ307" s="183">
        <v>35231626</v>
      </c>
      <c r="AK307" s="183" t="s">
        <v>6423</v>
      </c>
      <c r="AL307" s="205"/>
      <c r="AM307" s="205"/>
      <c r="AN307" s="205"/>
      <c r="AO307" s="205"/>
      <c r="AP307" s="182"/>
      <c r="AQ307" s="39" t="s">
        <v>5590</v>
      </c>
      <c r="AR307" s="183"/>
      <c r="AS307" s="183"/>
      <c r="AT307" s="92"/>
      <c r="AU307" s="48" t="s">
        <v>6383</v>
      </c>
      <c r="AV307" s="183"/>
      <c r="AW307" s="183"/>
      <c r="AX307" s="183"/>
      <c r="AY307" s="23"/>
      <c r="AZ307" s="40"/>
      <c r="BA307" s="173"/>
      <c r="BB307" s="188"/>
      <c r="BC307" s="189"/>
      <c r="BD307" s="191">
        <f t="shared" si="70"/>
        <v>0</v>
      </c>
      <c r="BE307" s="182"/>
      <c r="BF307" s="182"/>
      <c r="BG307" s="182"/>
      <c r="BH307" s="182"/>
      <c r="BI307" s="182"/>
      <c r="BJ307" s="182"/>
      <c r="BK307" s="182"/>
      <c r="BL307" s="182"/>
      <c r="BM307" s="182"/>
      <c r="BN307" s="182"/>
      <c r="BO307" s="182"/>
      <c r="BP307" s="182"/>
      <c r="BQ307" s="182"/>
      <c r="BR307" s="182"/>
      <c r="BS307" s="182"/>
      <c r="BT307" s="182"/>
    </row>
    <row r="308" spans="1:72" s="180" customFormat="1" x14ac:dyDescent="0.25">
      <c r="A308" s="218">
        <v>35231627</v>
      </c>
      <c r="B308" s="116" t="s">
        <v>5413</v>
      </c>
      <c r="C308" s="183">
        <v>10</v>
      </c>
      <c r="D308" s="23" t="str" cm="1">
        <f t="array" ref="D308">IFERROR(_xlfn.IFS(U308&lt;727,"MEET", AB308="FRRB","MEET", AB308="PSPS","MEET"),"No")</f>
        <v>MEET</v>
      </c>
      <c r="E308" s="23" t="str" cm="1">
        <f t="array" ref="E308">IFERROR(_xlfn.IFS(AM308&gt;0,"MEET", AN308&gt;0,"MEET"),"No")</f>
        <v>No</v>
      </c>
      <c r="F308" s="100">
        <v>2021249</v>
      </c>
      <c r="G308" s="188"/>
      <c r="H308" s="37">
        <f t="shared" si="68"/>
        <v>0</v>
      </c>
      <c r="I308" s="37">
        <f t="shared" si="69"/>
        <v>0</v>
      </c>
      <c r="J308" s="183">
        <v>2021</v>
      </c>
      <c r="K308" s="182"/>
      <c r="L308" s="182"/>
      <c r="M308" s="37">
        <f t="shared" si="71"/>
        <v>0</v>
      </c>
      <c r="N308" s="21">
        <v>0</v>
      </c>
      <c r="O308" s="217" t="s">
        <v>4878</v>
      </c>
      <c r="P308" s="182">
        <v>43361102</v>
      </c>
      <c r="Q308" s="182" t="s">
        <v>1885</v>
      </c>
      <c r="R308" s="183" t="s">
        <v>1887</v>
      </c>
      <c r="S308" s="38">
        <f>IFERROR(VLOOKUP(R308,[47]conductor_pz_summary_hftd_23_re!$B$2:$Q$3636,8,FALSE),0)</f>
        <v>51</v>
      </c>
      <c r="T308" s="201">
        <f>IFERROR(VLOOKUP(R308,[48]conductor_pz_summary_hftd_23_re!$B$2:$H$3636,7,0),0)/1609</f>
        <v>14.222439399760409</v>
      </c>
      <c r="U308" s="23">
        <f>IFERROR(VLOOKUP(R308,[47]conductor_pz_summary_hftd_23_re!$B$2:$Q$3636,14,FALSE),0)</f>
        <v>27</v>
      </c>
      <c r="V308" s="37">
        <f t="shared" si="59"/>
        <v>27.983766868840789</v>
      </c>
      <c r="W308" s="202">
        <f>IFERROR(VLOOKUP(R308,[47]conductor_pz_summary_hftd_23_re!$B$2:$Q$3636,13,FALSE),0)</f>
        <v>0.54870131115374099</v>
      </c>
      <c r="X308" s="181">
        <f>IFERROR(VLOOKUP(R308,conductor_pz_summary_hftd_23_re!$B$2:$N$3636,13,FALSE),0)</f>
        <v>33</v>
      </c>
      <c r="Y308" s="203" t="e">
        <f t="shared" si="60"/>
        <v>#DIV/0!</v>
      </c>
      <c r="Z308" s="182"/>
      <c r="AA308" s="183" t="s">
        <v>5418</v>
      </c>
      <c r="AB308" s="183" t="s">
        <v>5298</v>
      </c>
      <c r="AC308" s="94" t="s">
        <v>5463</v>
      </c>
      <c r="AD308" s="182" t="s">
        <v>4873</v>
      </c>
      <c r="AE308" s="182" t="s">
        <v>4874</v>
      </c>
      <c r="AF308" s="182" t="s">
        <v>4875</v>
      </c>
      <c r="AG308" s="183">
        <v>5794549</v>
      </c>
      <c r="AH308" s="183" t="s">
        <v>6412</v>
      </c>
      <c r="AI308" s="183">
        <v>120504167</v>
      </c>
      <c r="AJ308" s="183">
        <v>35231627</v>
      </c>
      <c r="AK308" s="183" t="s">
        <v>6424</v>
      </c>
      <c r="AL308" s="205"/>
      <c r="AM308" s="205"/>
      <c r="AN308" s="205"/>
      <c r="AO308" s="205"/>
      <c r="AP308" s="182"/>
      <c r="AQ308" s="39" t="s">
        <v>5590</v>
      </c>
      <c r="AR308" s="183"/>
      <c r="AS308" s="183"/>
      <c r="AT308" s="92"/>
      <c r="AU308" s="48" t="s">
        <v>6383</v>
      </c>
      <c r="AV308" s="183"/>
      <c r="AW308" s="183"/>
      <c r="AX308" s="183"/>
      <c r="AY308" s="23"/>
      <c r="AZ308" s="40"/>
      <c r="BA308" s="173"/>
      <c r="BB308" s="188"/>
      <c r="BC308" s="189"/>
      <c r="BD308" s="191">
        <f t="shared" si="70"/>
        <v>0</v>
      </c>
      <c r="BE308" s="182"/>
      <c r="BF308" s="182"/>
      <c r="BG308" s="182"/>
      <c r="BH308" s="182"/>
      <c r="BI308" s="182"/>
      <c r="BJ308" s="182"/>
      <c r="BK308" s="182"/>
      <c r="BL308" s="182"/>
      <c r="BM308" s="182"/>
      <c r="BN308" s="182"/>
      <c r="BO308" s="182"/>
      <c r="BP308" s="182"/>
      <c r="BQ308" s="182"/>
      <c r="BR308" s="182"/>
      <c r="BS308" s="182"/>
      <c r="BT308" s="182"/>
    </row>
    <row r="309" spans="1:72" s="180" customFormat="1" x14ac:dyDescent="0.25">
      <c r="A309" s="218">
        <v>35231628</v>
      </c>
      <c r="B309" s="116" t="s">
        <v>5413</v>
      </c>
      <c r="C309" s="183">
        <v>10</v>
      </c>
      <c r="D309" s="23" t="str" cm="1">
        <f t="array" ref="D309">IFERROR(_xlfn.IFS(U309&lt;727,"MEET", AB309="FRRB","MEET", AB309="PSPS","MEET"),"No")</f>
        <v>MEET</v>
      </c>
      <c r="E309" s="23" t="str" cm="1">
        <f t="array" ref="E309">IFERROR(_xlfn.IFS(AM309&gt;0,"MEET", AN309&gt;0,"MEET"),"No")</f>
        <v>No</v>
      </c>
      <c r="F309" s="100">
        <v>2021250</v>
      </c>
      <c r="G309" s="188"/>
      <c r="H309" s="37">
        <f t="shared" si="68"/>
        <v>0</v>
      </c>
      <c r="I309" s="37">
        <f t="shared" si="69"/>
        <v>0</v>
      </c>
      <c r="J309" s="183">
        <v>2021</v>
      </c>
      <c r="K309" s="182"/>
      <c r="L309" s="182"/>
      <c r="M309" s="37">
        <f t="shared" si="71"/>
        <v>0</v>
      </c>
      <c r="N309" s="21">
        <v>0</v>
      </c>
      <c r="O309" s="217" t="s">
        <v>4878</v>
      </c>
      <c r="P309" s="182">
        <v>43361102</v>
      </c>
      <c r="Q309" s="182" t="s">
        <v>1885</v>
      </c>
      <c r="R309" s="183" t="s">
        <v>1887</v>
      </c>
      <c r="S309" s="38">
        <f>IFERROR(VLOOKUP(R309,[47]conductor_pz_summary_hftd_23_re!$B$2:$Q$3636,8,FALSE),0)</f>
        <v>51</v>
      </c>
      <c r="T309" s="201">
        <f>IFERROR(VLOOKUP(R309,[48]conductor_pz_summary_hftd_23_re!$B$2:$H$3636,7,0),0)/1609</f>
        <v>14.222439399760409</v>
      </c>
      <c r="U309" s="23">
        <f>IFERROR(VLOOKUP(R309,[47]conductor_pz_summary_hftd_23_re!$B$2:$Q$3636,14,FALSE),0)</f>
        <v>27</v>
      </c>
      <c r="V309" s="37">
        <f t="shared" si="59"/>
        <v>27.983766868840789</v>
      </c>
      <c r="W309" s="202">
        <f>IFERROR(VLOOKUP(R309,[47]conductor_pz_summary_hftd_23_re!$B$2:$Q$3636,13,FALSE),0)</f>
        <v>0.54870131115374099</v>
      </c>
      <c r="X309" s="181">
        <f>IFERROR(VLOOKUP(R309,conductor_pz_summary_hftd_23_re!$B$2:$N$3636,13,FALSE),0)</f>
        <v>33</v>
      </c>
      <c r="Y309" s="203" t="e">
        <f t="shared" si="60"/>
        <v>#DIV/0!</v>
      </c>
      <c r="Z309" s="182"/>
      <c r="AA309" s="183" t="s">
        <v>5418</v>
      </c>
      <c r="AB309" s="183" t="s">
        <v>5298</v>
      </c>
      <c r="AC309" s="94" t="s">
        <v>5463</v>
      </c>
      <c r="AD309" s="182" t="s">
        <v>4873</v>
      </c>
      <c r="AE309" s="182" t="s">
        <v>4874</v>
      </c>
      <c r="AF309" s="182" t="s">
        <v>4875</v>
      </c>
      <c r="AG309" s="183">
        <v>5794549</v>
      </c>
      <c r="AH309" s="183" t="s">
        <v>6413</v>
      </c>
      <c r="AI309" s="183">
        <v>120504170</v>
      </c>
      <c r="AJ309" s="183">
        <v>35231628</v>
      </c>
      <c r="AK309" s="183" t="s">
        <v>6425</v>
      </c>
      <c r="AL309" s="205"/>
      <c r="AM309" s="205"/>
      <c r="AN309" s="205"/>
      <c r="AO309" s="205"/>
      <c r="AP309" s="182"/>
      <c r="AQ309" s="39" t="s">
        <v>5590</v>
      </c>
      <c r="AR309" s="183"/>
      <c r="AS309" s="183"/>
      <c r="AT309" s="92"/>
      <c r="AU309" s="48" t="s">
        <v>6383</v>
      </c>
      <c r="AV309" s="183"/>
      <c r="AW309" s="183"/>
      <c r="AX309" s="183"/>
      <c r="AY309" s="23"/>
      <c r="AZ309" s="40"/>
      <c r="BA309" s="173"/>
      <c r="BB309" s="188"/>
      <c r="BC309" s="189"/>
      <c r="BD309" s="191">
        <f t="shared" si="70"/>
        <v>0</v>
      </c>
      <c r="BG309" s="182"/>
      <c r="BH309" s="182"/>
      <c r="BI309" s="182"/>
      <c r="BJ309" s="182"/>
      <c r="BK309" s="182"/>
      <c r="BL309" s="182"/>
      <c r="BM309" s="182"/>
      <c r="BN309" s="182"/>
      <c r="BO309" s="182"/>
      <c r="BP309" s="182"/>
      <c r="BQ309" s="182"/>
      <c r="BR309" s="182"/>
      <c r="BS309" s="182"/>
      <c r="BT309" s="182"/>
    </row>
    <row r="310" spans="1:72" s="180" customFormat="1" x14ac:dyDescent="0.25">
      <c r="A310" s="218">
        <v>35231629</v>
      </c>
      <c r="B310" s="116" t="s">
        <v>5413</v>
      </c>
      <c r="C310" s="183">
        <v>10</v>
      </c>
      <c r="D310" s="23" t="str" cm="1">
        <f t="array" ref="D310">IFERROR(_xlfn.IFS(U310&lt;727,"MEET", AB310="FRRB","MEET", AB310="PSPS","MEET"),"No")</f>
        <v>MEET</v>
      </c>
      <c r="E310" s="23" t="str" cm="1">
        <f t="array" ref="E310">IFERROR(_xlfn.IFS(AM310&gt;0,"MEET", AN310&gt;0,"MEET"),"No")</f>
        <v>No</v>
      </c>
      <c r="F310" s="100">
        <v>2021251</v>
      </c>
      <c r="G310" s="188"/>
      <c r="H310" s="37">
        <f t="shared" si="68"/>
        <v>0</v>
      </c>
      <c r="I310" s="37">
        <f t="shared" si="69"/>
        <v>0</v>
      </c>
      <c r="J310" s="183">
        <v>2021</v>
      </c>
      <c r="K310" s="182"/>
      <c r="L310" s="182"/>
      <c r="M310" s="37">
        <f t="shared" si="71"/>
        <v>0</v>
      </c>
      <c r="N310" s="21">
        <v>0</v>
      </c>
      <c r="O310" s="217" t="s">
        <v>4878</v>
      </c>
      <c r="P310" s="182">
        <v>43361102</v>
      </c>
      <c r="Q310" s="182" t="s">
        <v>1885</v>
      </c>
      <c r="R310" s="183" t="s">
        <v>1887</v>
      </c>
      <c r="S310" s="38">
        <f>IFERROR(VLOOKUP(R310,[47]conductor_pz_summary_hftd_23_re!$B$2:$Q$3636,8,FALSE),0)</f>
        <v>51</v>
      </c>
      <c r="T310" s="201">
        <f>IFERROR(VLOOKUP(R310,[48]conductor_pz_summary_hftd_23_re!$B$2:$H$3636,7,0),0)/1609</f>
        <v>14.222439399760409</v>
      </c>
      <c r="U310" s="23">
        <f>IFERROR(VLOOKUP(R310,[47]conductor_pz_summary_hftd_23_re!$B$2:$Q$3636,14,FALSE),0)</f>
        <v>27</v>
      </c>
      <c r="V310" s="37">
        <f t="shared" si="59"/>
        <v>27.983766868840789</v>
      </c>
      <c r="W310" s="202">
        <f>IFERROR(VLOOKUP(R310,[47]conductor_pz_summary_hftd_23_re!$B$2:$Q$3636,13,FALSE),0)</f>
        <v>0.54870131115374099</v>
      </c>
      <c r="X310" s="181">
        <f>IFERROR(VLOOKUP(R310,conductor_pz_summary_hftd_23_re!$B$2:$N$3636,13,FALSE),0)</f>
        <v>33</v>
      </c>
      <c r="Y310" s="203" t="e">
        <f t="shared" si="60"/>
        <v>#DIV/0!</v>
      </c>
      <c r="Z310" s="182"/>
      <c r="AA310" s="183" t="s">
        <v>5418</v>
      </c>
      <c r="AB310" s="183" t="s">
        <v>5298</v>
      </c>
      <c r="AC310" s="94" t="s">
        <v>5463</v>
      </c>
      <c r="AD310" s="182" t="s">
        <v>4873</v>
      </c>
      <c r="AE310" s="182" t="s">
        <v>4874</v>
      </c>
      <c r="AF310" s="182" t="s">
        <v>4875</v>
      </c>
      <c r="AG310" s="183">
        <v>5794549</v>
      </c>
      <c r="AH310" s="183" t="s">
        <v>6414</v>
      </c>
      <c r="AI310" s="183">
        <v>120504175</v>
      </c>
      <c r="AJ310" s="183">
        <v>35231629</v>
      </c>
      <c r="AK310" s="183" t="s">
        <v>6426</v>
      </c>
      <c r="AL310" s="205"/>
      <c r="AM310" s="205"/>
      <c r="AN310" s="205"/>
      <c r="AO310" s="205"/>
      <c r="AP310" s="182"/>
      <c r="AQ310" s="39" t="s">
        <v>5590</v>
      </c>
      <c r="AR310" s="183"/>
      <c r="AS310" s="183"/>
      <c r="AT310" s="92"/>
      <c r="AU310" s="48" t="s">
        <v>6383</v>
      </c>
      <c r="AV310" s="183"/>
      <c r="AW310" s="183"/>
      <c r="AX310" s="183"/>
      <c r="AY310" s="23"/>
      <c r="AZ310" s="40"/>
      <c r="BA310" s="173"/>
      <c r="BB310" s="188"/>
      <c r="BC310" s="189"/>
      <c r="BD310" s="191">
        <f t="shared" si="70"/>
        <v>0</v>
      </c>
      <c r="BE310" s="182"/>
      <c r="BG310" s="182"/>
      <c r="BH310" s="182"/>
      <c r="BI310" s="182"/>
      <c r="BJ310" s="182"/>
      <c r="BK310" s="182"/>
      <c r="BL310" s="182"/>
      <c r="BM310" s="182"/>
      <c r="BN310" s="182"/>
      <c r="BO310" s="182"/>
      <c r="BP310" s="182"/>
      <c r="BQ310" s="182"/>
      <c r="BR310" s="182"/>
      <c r="BS310" s="182"/>
      <c r="BT310" s="182"/>
    </row>
    <row r="311" spans="1:72" s="180" customFormat="1" x14ac:dyDescent="0.25">
      <c r="A311" s="218">
        <v>35231630</v>
      </c>
      <c r="B311" s="116" t="s">
        <v>5413</v>
      </c>
      <c r="C311" s="183">
        <v>10</v>
      </c>
      <c r="D311" s="23" t="str" cm="1">
        <f t="array" ref="D311">IFERROR(_xlfn.IFS(U311&lt;727,"MEET", AB311="FRRB","MEET", AB311="PSPS","MEET"),"No")</f>
        <v>MEET</v>
      </c>
      <c r="E311" s="23" t="str" cm="1">
        <f t="array" ref="E311">IFERROR(_xlfn.IFS(AM311&gt;0,"MEET", AN311&gt;0,"MEET"),"No")</f>
        <v>No</v>
      </c>
      <c r="F311" s="100">
        <v>2021252</v>
      </c>
      <c r="G311" s="188"/>
      <c r="H311" s="37">
        <f t="shared" si="68"/>
        <v>0</v>
      </c>
      <c r="I311" s="37">
        <f t="shared" si="69"/>
        <v>0</v>
      </c>
      <c r="J311" s="183">
        <v>2021</v>
      </c>
      <c r="K311" s="182"/>
      <c r="L311" s="182"/>
      <c r="M311" s="37">
        <f t="shared" si="71"/>
        <v>0</v>
      </c>
      <c r="N311" s="21">
        <v>0</v>
      </c>
      <c r="O311" s="217" t="s">
        <v>4878</v>
      </c>
      <c r="P311" s="182">
        <v>43361102</v>
      </c>
      <c r="Q311" s="182" t="s">
        <v>1885</v>
      </c>
      <c r="R311" s="183" t="s">
        <v>1887</v>
      </c>
      <c r="S311" s="38">
        <f>IFERROR(VLOOKUP(R311,[47]conductor_pz_summary_hftd_23_re!$B$2:$Q$3636,8,FALSE),0)</f>
        <v>51</v>
      </c>
      <c r="T311" s="201">
        <f>IFERROR(VLOOKUP(R311,[48]conductor_pz_summary_hftd_23_re!$B$2:$H$3636,7,0),0)/1609</f>
        <v>14.222439399760409</v>
      </c>
      <c r="U311" s="23">
        <f>IFERROR(VLOOKUP(R311,[47]conductor_pz_summary_hftd_23_re!$B$2:$Q$3636,14,FALSE),0)</f>
        <v>27</v>
      </c>
      <c r="V311" s="37">
        <f t="shared" si="59"/>
        <v>27.983766868840789</v>
      </c>
      <c r="W311" s="202">
        <f>IFERROR(VLOOKUP(R311,[47]conductor_pz_summary_hftd_23_re!$B$2:$Q$3636,13,FALSE),0)</f>
        <v>0.54870131115374099</v>
      </c>
      <c r="X311" s="181">
        <f>IFERROR(VLOOKUP(R311,conductor_pz_summary_hftd_23_re!$B$2:$N$3636,13,FALSE),0)</f>
        <v>33</v>
      </c>
      <c r="Y311" s="203" t="e">
        <f t="shared" si="60"/>
        <v>#DIV/0!</v>
      </c>
      <c r="Z311" s="182"/>
      <c r="AA311" s="183" t="s">
        <v>5418</v>
      </c>
      <c r="AB311" s="183" t="s">
        <v>5298</v>
      </c>
      <c r="AC311" s="94" t="s">
        <v>5463</v>
      </c>
      <c r="AD311" s="182" t="s">
        <v>4873</v>
      </c>
      <c r="AE311" s="182" t="s">
        <v>4874</v>
      </c>
      <c r="AF311" s="182" t="s">
        <v>4875</v>
      </c>
      <c r="AG311" s="183">
        <v>5794549</v>
      </c>
      <c r="AH311" s="183" t="s">
        <v>6415</v>
      </c>
      <c r="AI311" s="183">
        <v>120504176</v>
      </c>
      <c r="AJ311" s="183">
        <v>35231630</v>
      </c>
      <c r="AK311" s="183" t="s">
        <v>6427</v>
      </c>
      <c r="AL311" s="205"/>
      <c r="AM311" s="205"/>
      <c r="AN311" s="205"/>
      <c r="AO311" s="205"/>
      <c r="AP311" s="182"/>
      <c r="AQ311" s="39" t="s">
        <v>5590</v>
      </c>
      <c r="AR311" s="183"/>
      <c r="AS311" s="183"/>
      <c r="AT311" s="92"/>
      <c r="AU311" s="48" t="s">
        <v>6383</v>
      </c>
      <c r="AV311" s="183"/>
      <c r="AW311" s="183"/>
      <c r="AX311" s="183"/>
      <c r="AY311" s="23"/>
      <c r="AZ311" s="40"/>
      <c r="BA311" s="173"/>
      <c r="BB311" s="188"/>
      <c r="BC311" s="189"/>
      <c r="BD311" s="191">
        <f t="shared" si="70"/>
        <v>0</v>
      </c>
      <c r="BE311" s="182"/>
      <c r="BF311" s="182"/>
      <c r="BG311" s="182"/>
      <c r="BH311" s="182"/>
      <c r="BI311" s="182"/>
      <c r="BJ311" s="182"/>
      <c r="BK311" s="182"/>
      <c r="BL311" s="182"/>
      <c r="BM311" s="182"/>
      <c r="BN311" s="182"/>
      <c r="BO311" s="182"/>
      <c r="BP311" s="182"/>
      <c r="BQ311" s="182"/>
      <c r="BR311" s="182"/>
      <c r="BS311" s="182"/>
      <c r="BT311" s="182"/>
    </row>
    <row r="312" spans="1:72" s="180" customFormat="1" x14ac:dyDescent="0.25">
      <c r="A312" s="218">
        <v>35231631</v>
      </c>
      <c r="B312" s="116" t="s">
        <v>5413</v>
      </c>
      <c r="C312" s="183">
        <v>10</v>
      </c>
      <c r="D312" s="23" t="str" cm="1">
        <f t="array" ref="D312">IFERROR(_xlfn.IFS(U312&lt;727,"MEET", AB312="FRRB","MEET", AB312="PSPS","MEET"),"No")</f>
        <v>MEET</v>
      </c>
      <c r="E312" s="23" t="str" cm="1">
        <f t="array" ref="E312">IFERROR(_xlfn.IFS(AM312&gt;0,"MEET", AN312&gt;0,"MEET"),"No")</f>
        <v>No</v>
      </c>
      <c r="F312" s="100">
        <v>2021253</v>
      </c>
      <c r="G312" s="188"/>
      <c r="H312" s="37">
        <f t="shared" si="68"/>
        <v>0</v>
      </c>
      <c r="I312" s="37">
        <f t="shared" si="69"/>
        <v>0</v>
      </c>
      <c r="J312" s="183">
        <v>2021</v>
      </c>
      <c r="K312" s="182"/>
      <c r="L312" s="182"/>
      <c r="M312" s="37">
        <f t="shared" si="71"/>
        <v>0</v>
      </c>
      <c r="N312" s="21">
        <v>0</v>
      </c>
      <c r="O312" s="217" t="s">
        <v>4878</v>
      </c>
      <c r="P312" s="182">
        <v>43361102</v>
      </c>
      <c r="Q312" s="182" t="s">
        <v>1885</v>
      </c>
      <c r="R312" s="183" t="s">
        <v>1887</v>
      </c>
      <c r="S312" s="38">
        <f>IFERROR(VLOOKUP(R312,[47]conductor_pz_summary_hftd_23_re!$B$2:$Q$3636,8,FALSE),0)</f>
        <v>51</v>
      </c>
      <c r="T312" s="201">
        <f>IFERROR(VLOOKUP(R312,[48]conductor_pz_summary_hftd_23_re!$B$2:$H$3636,7,0),0)/1609</f>
        <v>14.222439399760409</v>
      </c>
      <c r="U312" s="23">
        <f>IFERROR(VLOOKUP(R312,[47]conductor_pz_summary_hftd_23_re!$B$2:$Q$3636,14,FALSE),0)</f>
        <v>27</v>
      </c>
      <c r="V312" s="37">
        <f t="shared" si="59"/>
        <v>27.983766868840789</v>
      </c>
      <c r="W312" s="202">
        <f>IFERROR(VLOOKUP(R312,[47]conductor_pz_summary_hftd_23_re!$B$2:$Q$3636,13,FALSE),0)</f>
        <v>0.54870131115374099</v>
      </c>
      <c r="X312" s="181">
        <f>IFERROR(VLOOKUP(R312,conductor_pz_summary_hftd_23_re!$B$2:$N$3636,13,FALSE),0)</f>
        <v>33</v>
      </c>
      <c r="Y312" s="203" t="e">
        <f t="shared" si="60"/>
        <v>#DIV/0!</v>
      </c>
      <c r="Z312" s="182"/>
      <c r="AA312" s="183" t="s">
        <v>5418</v>
      </c>
      <c r="AB312" s="183" t="s">
        <v>5298</v>
      </c>
      <c r="AC312" s="94" t="s">
        <v>5463</v>
      </c>
      <c r="AD312" s="182" t="s">
        <v>4873</v>
      </c>
      <c r="AE312" s="182" t="s">
        <v>4874</v>
      </c>
      <c r="AF312" s="182" t="s">
        <v>4875</v>
      </c>
      <c r="AG312" s="183">
        <v>5794549</v>
      </c>
      <c r="AH312" s="183" t="s">
        <v>6416</v>
      </c>
      <c r="AI312" s="183">
        <v>120504177</v>
      </c>
      <c r="AJ312" s="183">
        <v>35231631</v>
      </c>
      <c r="AK312" s="183" t="s">
        <v>6428</v>
      </c>
      <c r="AL312" s="205"/>
      <c r="AM312" s="205"/>
      <c r="AN312" s="205"/>
      <c r="AO312" s="205"/>
      <c r="AP312" s="182"/>
      <c r="AQ312" s="39" t="s">
        <v>5590</v>
      </c>
      <c r="AR312" s="183"/>
      <c r="AS312" s="183"/>
      <c r="AT312" s="92"/>
      <c r="AU312" s="48" t="s">
        <v>6383</v>
      </c>
      <c r="AV312" s="183"/>
      <c r="AW312" s="183"/>
      <c r="AX312" s="183"/>
      <c r="AY312" s="23"/>
      <c r="AZ312" s="40"/>
      <c r="BA312" s="173"/>
      <c r="BB312" s="188"/>
      <c r="BC312" s="189"/>
      <c r="BD312" s="191">
        <f t="shared" si="70"/>
        <v>0</v>
      </c>
      <c r="BE312" s="182"/>
      <c r="BF312" s="182"/>
      <c r="BG312" s="182"/>
      <c r="BH312" s="182"/>
      <c r="BI312" s="182"/>
      <c r="BJ312" s="182"/>
      <c r="BK312" s="182"/>
      <c r="BL312" s="182"/>
      <c r="BM312" s="182"/>
      <c r="BN312" s="182"/>
      <c r="BO312" s="182"/>
      <c r="BP312" s="182"/>
      <c r="BQ312" s="182"/>
      <c r="BR312" s="182"/>
      <c r="BS312" s="182"/>
      <c r="BT312" s="182"/>
    </row>
    <row r="313" spans="1:72" s="180" customFormat="1" x14ac:dyDescent="0.25">
      <c r="A313" s="218">
        <v>35219260</v>
      </c>
      <c r="B313" s="116" t="s">
        <v>5413</v>
      </c>
      <c r="C313" s="183">
        <v>13</v>
      </c>
      <c r="D313" s="23" t="str" cm="1">
        <f t="array" ref="D313">IFERROR(_xlfn.IFS(U313&lt;727,"MEET", AB313="FRRB","MEET", AB313="PSPS","MEET"),"No")</f>
        <v>MEET</v>
      </c>
      <c r="E313" s="23" t="str" cm="1">
        <f t="array" ref="E313">IFERROR(_xlfn.IFS(AM313&gt;0,"MEET", AN313&gt;0,"MEET"),"No")</f>
        <v>No</v>
      </c>
      <c r="F313" s="100">
        <v>2021254</v>
      </c>
      <c r="G313" s="188">
        <v>0.84</v>
      </c>
      <c r="H313" s="37">
        <f t="shared" si="68"/>
        <v>0.84431818181818186</v>
      </c>
      <c r="I313" s="37">
        <f t="shared" si="69"/>
        <v>0.84431818181818186</v>
      </c>
      <c r="J313" s="183">
        <v>2021</v>
      </c>
      <c r="K313" s="182"/>
      <c r="L313" s="182"/>
      <c r="M313" s="37">
        <f t="shared" si="71"/>
        <v>0</v>
      </c>
      <c r="N313" s="21">
        <v>11750.94</v>
      </c>
      <c r="O313" s="183" t="s">
        <v>4878</v>
      </c>
      <c r="P313" s="182">
        <v>102911109</v>
      </c>
      <c r="Q313" s="182" t="s">
        <v>4784</v>
      </c>
      <c r="R313" s="183" t="s">
        <v>4787</v>
      </c>
      <c r="S313" s="38">
        <f>IFERROR(VLOOKUP(R313,[47]conductor_pz_summary_hftd_23_re!$B$2:$Q$3636,8,FALSE),0)</f>
        <v>15</v>
      </c>
      <c r="T313" s="201">
        <f>IFERROR(VLOOKUP(R313,[48]conductor_pz_summary_hftd_23_re!$B$2:$H$3636,7,0),0)/1609</f>
        <v>1.3417394071275264</v>
      </c>
      <c r="U313" s="23">
        <f>IFERROR(VLOOKUP(R313,[47]conductor_pz_summary_hftd_23_re!$B$2:$Q$3636,14,FALSE),0)</f>
        <v>29</v>
      </c>
      <c r="V313" s="37">
        <f t="shared" si="59"/>
        <v>7.9480957197220192</v>
      </c>
      <c r="W313" s="202">
        <f>IFERROR(VLOOKUP(R313,[47]conductor_pz_summary_hftd_23_re!$B$2:$Q$3636,13,FALSE),0)</f>
        <v>0.52987304798146795</v>
      </c>
      <c r="X313" s="181">
        <f>IFERROR(VLOOKUP(R313,conductor_pz_summary_hftd_23_re!$B$2:$N$3636,13,FALSE),0)</f>
        <v>260</v>
      </c>
      <c r="Y313" s="203">
        <f t="shared" si="60"/>
        <v>3.1009355830449583</v>
      </c>
      <c r="Z313" s="182"/>
      <c r="AA313" s="183" t="s">
        <v>4903</v>
      </c>
      <c r="AB313" s="183" t="s">
        <v>5298</v>
      </c>
      <c r="AC313" s="94" t="s">
        <v>5436</v>
      </c>
      <c r="AD313" s="182" t="s">
        <v>5215</v>
      </c>
      <c r="AE313" s="182" t="s">
        <v>5210</v>
      </c>
      <c r="AF313" s="182" t="s">
        <v>4875</v>
      </c>
      <c r="AG313" s="183">
        <v>5543352</v>
      </c>
      <c r="AH313" s="183" t="s">
        <v>5394</v>
      </c>
      <c r="AI313" s="183">
        <v>120141880</v>
      </c>
      <c r="AJ313" s="183">
        <v>35219260</v>
      </c>
      <c r="AK313" s="183" t="s">
        <v>6240</v>
      </c>
      <c r="AL313" s="205">
        <v>4458</v>
      </c>
      <c r="AM313" s="205">
        <v>0</v>
      </c>
      <c r="AN313" s="205">
        <v>0</v>
      </c>
      <c r="AO313" s="205">
        <v>0</v>
      </c>
      <c r="AP313" s="117"/>
      <c r="AQ313" s="39" t="s">
        <v>5606</v>
      </c>
      <c r="AR313" s="183">
        <f>AS313*5280</f>
        <v>6916.8</v>
      </c>
      <c r="AS313" s="183">
        <v>1.31</v>
      </c>
      <c r="AT313" s="92">
        <v>2194368</v>
      </c>
      <c r="AU313" s="39" t="s">
        <v>6341</v>
      </c>
      <c r="AV313" s="183"/>
      <c r="AW313" s="183"/>
      <c r="AX313" s="183"/>
      <c r="AY313" s="23">
        <f>AW313+AX313</f>
        <v>0</v>
      </c>
      <c r="AZ313" s="40">
        <f>AY313/5280</f>
        <v>0</v>
      </c>
      <c r="BA313" s="173"/>
      <c r="BB313" s="188">
        <v>6.25</v>
      </c>
      <c r="BC313" s="189">
        <v>4000</v>
      </c>
      <c r="BD313" s="191">
        <f t="shared" si="70"/>
        <v>640</v>
      </c>
      <c r="BE313" s="182"/>
      <c r="BF313" s="182"/>
      <c r="BG313" s="182"/>
      <c r="BH313" s="182"/>
      <c r="BI313" s="182"/>
      <c r="BJ313" s="182"/>
      <c r="BK313" s="182"/>
      <c r="BL313" s="182"/>
      <c r="BM313" s="182"/>
      <c r="BN313" s="182"/>
      <c r="BO313" s="182"/>
      <c r="BP313" s="182"/>
      <c r="BQ313" s="182"/>
      <c r="BR313" s="182"/>
      <c r="BS313" s="182"/>
      <c r="BT313" s="182"/>
    </row>
    <row r="314" spans="1:72" s="180" customFormat="1" x14ac:dyDescent="0.25">
      <c r="A314" s="218">
        <v>35226700</v>
      </c>
      <c r="B314" s="116" t="s">
        <v>5413</v>
      </c>
      <c r="C314" s="183">
        <v>13</v>
      </c>
      <c r="D314" s="23" t="str" cm="1">
        <f t="array" ref="D314">IFERROR(_xlfn.IFS(U314&lt;727,"MEET", AB314="FRRB","MEET", AB314="PSPS","MEET"),"No")</f>
        <v>MEET</v>
      </c>
      <c r="E314" s="23" t="str" cm="1">
        <f t="array" ref="E314">IFERROR(_xlfn.IFS(AM314&gt;0,"MEET", AN314&gt;0,"MEET"),"No")</f>
        <v>MEET</v>
      </c>
      <c r="F314" s="100">
        <v>2021255</v>
      </c>
      <c r="G314" s="188">
        <v>0.46</v>
      </c>
      <c r="H314" s="37">
        <f t="shared" si="68"/>
        <v>0.45757575757575758</v>
      </c>
      <c r="I314" s="37">
        <f t="shared" si="69"/>
        <v>0.45757575757575758</v>
      </c>
      <c r="J314" s="183">
        <v>2021</v>
      </c>
      <c r="K314" s="182"/>
      <c r="L314" s="182"/>
      <c r="M314" s="37">
        <f t="shared" si="71"/>
        <v>0</v>
      </c>
      <c r="N314" s="21">
        <v>0</v>
      </c>
      <c r="O314" s="183" t="s">
        <v>4878</v>
      </c>
      <c r="P314" s="182">
        <v>102911109</v>
      </c>
      <c r="Q314" s="182" t="s">
        <v>4784</v>
      </c>
      <c r="R314" s="183" t="s">
        <v>4787</v>
      </c>
      <c r="S314" s="38">
        <f>IFERROR(VLOOKUP(R314,[47]conductor_pz_summary_hftd_23_re!$B$2:$Q$3636,8,FALSE),0)</f>
        <v>15</v>
      </c>
      <c r="T314" s="201">
        <f>IFERROR(VLOOKUP(R314,[48]conductor_pz_summary_hftd_23_re!$B$2:$H$3636,7,0),0)/1609</f>
        <v>1.3417394071275264</v>
      </c>
      <c r="U314" s="23">
        <f>IFERROR(VLOOKUP(R314,[47]conductor_pz_summary_hftd_23_re!$B$2:$Q$3636,14,FALSE),0)</f>
        <v>29</v>
      </c>
      <c r="V314" s="37">
        <f t="shared" si="59"/>
        <v>7.9480957197220192</v>
      </c>
      <c r="W314" s="202">
        <f>IFERROR(VLOOKUP(R314,[47]conductor_pz_summary_hftd_23_re!$B$2:$Q$3636,13,FALSE),0)</f>
        <v>0.52987304798146795</v>
      </c>
      <c r="X314" s="181">
        <f>IFERROR(VLOOKUP(R314,conductor_pz_summary_hftd_23_re!$B$2:$N$3636,13,FALSE),0)</f>
        <v>260</v>
      </c>
      <c r="Y314" s="203">
        <f t="shared" si="60"/>
        <v>2.6834475770091659</v>
      </c>
      <c r="Z314" s="182"/>
      <c r="AA314" s="183" t="s">
        <v>4903</v>
      </c>
      <c r="AB314" s="183" t="s">
        <v>5298</v>
      </c>
      <c r="AC314" s="94" t="s">
        <v>5436</v>
      </c>
      <c r="AD314" s="182" t="s">
        <v>5215</v>
      </c>
      <c r="AE314" s="182" t="s">
        <v>5210</v>
      </c>
      <c r="AF314" s="182" t="s">
        <v>4875</v>
      </c>
      <c r="AG314" s="183">
        <v>5543352</v>
      </c>
      <c r="AH314" s="183" t="s">
        <v>6242</v>
      </c>
      <c r="AI314" s="183">
        <v>120447112</v>
      </c>
      <c r="AJ314" s="183">
        <v>35226700</v>
      </c>
      <c r="AK314" s="183" t="s">
        <v>6241</v>
      </c>
      <c r="AL314" s="205">
        <v>0</v>
      </c>
      <c r="AM314" s="205">
        <v>2416</v>
      </c>
      <c r="AN314" s="205">
        <v>0</v>
      </c>
      <c r="AO314" s="205">
        <v>0</v>
      </c>
      <c r="AP314" s="117"/>
      <c r="AQ314" s="39" t="s">
        <v>5606</v>
      </c>
      <c r="AR314" s="183"/>
      <c r="AS314" s="183"/>
      <c r="AT314" s="92"/>
      <c r="AU314" s="39" t="s">
        <v>6341</v>
      </c>
      <c r="AV314" s="183"/>
      <c r="AW314" s="183"/>
      <c r="AX314" s="183"/>
      <c r="AY314" s="23"/>
      <c r="AZ314" s="40"/>
      <c r="BA314" s="173"/>
      <c r="BB314" s="188">
        <v>0</v>
      </c>
      <c r="BC314" s="189">
        <v>0</v>
      </c>
      <c r="BD314" s="191">
        <f t="shared" si="70"/>
        <v>0</v>
      </c>
      <c r="BE314" s="182"/>
      <c r="BF314" s="182"/>
      <c r="BG314" s="182"/>
      <c r="BH314" s="182"/>
      <c r="BI314" s="182"/>
      <c r="BJ314" s="182"/>
      <c r="BK314" s="182"/>
      <c r="BL314" s="182"/>
      <c r="BM314" s="182"/>
      <c r="BN314" s="182"/>
      <c r="BO314" s="182"/>
      <c r="BP314" s="182"/>
      <c r="BQ314" s="182"/>
      <c r="BR314" s="182"/>
      <c r="BS314" s="182"/>
      <c r="BT314" s="182"/>
    </row>
    <row r="315" spans="1:72" x14ac:dyDescent="0.25">
      <c r="A315" s="218">
        <v>35219266</v>
      </c>
      <c r="B315" s="116" t="s">
        <v>5413</v>
      </c>
      <c r="C315" s="183">
        <v>14</v>
      </c>
      <c r="D315" s="23" t="str" cm="1">
        <f t="array" ref="D315">IFERROR(_xlfn.IFS(U315&lt;727,"MEET", AB315="FRRB","MEET", AB315="PSPS","MEET"),"No")</f>
        <v>MEET</v>
      </c>
      <c r="E315" s="23" t="str" cm="1">
        <f t="array" ref="E315">IFERROR(_xlfn.IFS(AM315&gt;0,"MEET", AN315&gt;0,"MEET"),"No")</f>
        <v>No</v>
      </c>
      <c r="F315" s="100">
        <v>2021256</v>
      </c>
      <c r="H315" s="37">
        <f t="shared" si="68"/>
        <v>2.6</v>
      </c>
      <c r="I315" s="37">
        <f t="shared" si="69"/>
        <v>2.6</v>
      </c>
      <c r="J315" s="183">
        <v>2021</v>
      </c>
      <c r="K315" s="182"/>
      <c r="L315" s="182"/>
      <c r="M315" s="37">
        <f t="shared" si="71"/>
        <v>0</v>
      </c>
      <c r="N315" s="21">
        <v>45633.67</v>
      </c>
      <c r="O315" s="183" t="s">
        <v>4870</v>
      </c>
      <c r="P315" s="182">
        <v>254452102</v>
      </c>
      <c r="Q315" s="182" t="s">
        <v>2319</v>
      </c>
      <c r="R315" s="183" t="s">
        <v>2328</v>
      </c>
      <c r="S315" s="38">
        <f>IFERROR(VLOOKUP(R315,[47]conductor_pz_summary_hftd_23_re!$B$2:$Q$3636,8,FALSE),0)</f>
        <v>31</v>
      </c>
      <c r="T315" s="201">
        <f>IFERROR(VLOOKUP(R315,[48]conductor_pz_summary_hftd_23_re!$B$2:$H$3636,7,0),0)/1609</f>
        <v>5.253888981142623</v>
      </c>
      <c r="U315" s="23">
        <f>IFERROR(VLOOKUP(R315,[47]conductor_pz_summary_hftd_23_re!$B$2:$Q$3636,14,FALSE),0)</f>
        <v>35</v>
      </c>
      <c r="V315" s="37">
        <f t="shared" si="59"/>
        <v>14.621190514867758</v>
      </c>
      <c r="W315" s="202">
        <f>IFERROR(VLOOKUP(R315,[47]conductor_pz_summary_hftd_23_re!$B$2:$Q$3636,13,FALSE),0)</f>
        <v>0.47165130693121798</v>
      </c>
      <c r="X315" s="73">
        <f>IFERROR(VLOOKUP(R315,conductor_pz_summary_hftd_23_re!$B$2:$N$3636,13,FALSE),0)</f>
        <v>205</v>
      </c>
      <c r="Y315" s="203">
        <f t="shared" si="60"/>
        <v>4.4860786351905233</v>
      </c>
      <c r="Z315" s="182"/>
      <c r="AA315" s="183" t="s">
        <v>4903</v>
      </c>
      <c r="AB315" s="183" t="s">
        <v>5298</v>
      </c>
      <c r="AC315" s="182" t="s">
        <v>5451</v>
      </c>
      <c r="AD315" s="182" t="s">
        <v>5417</v>
      </c>
      <c r="AE315" s="182" t="s">
        <v>4944</v>
      </c>
      <c r="AF315" s="182" t="s">
        <v>4939</v>
      </c>
      <c r="AG315" s="183">
        <v>5794552</v>
      </c>
      <c r="AH315" s="183" t="s">
        <v>5313</v>
      </c>
      <c r="AI315" s="183">
        <v>120141949</v>
      </c>
      <c r="AJ315" s="183">
        <v>35219266</v>
      </c>
      <c r="AK315" s="183" t="s">
        <v>6254</v>
      </c>
      <c r="AL315" s="205">
        <f>2.6*5280</f>
        <v>13728</v>
      </c>
      <c r="AM315" s="205">
        <v>0</v>
      </c>
      <c r="AN315" s="205">
        <v>0</v>
      </c>
      <c r="AO315" s="205">
        <v>0</v>
      </c>
      <c r="AP315" s="117"/>
      <c r="AQ315" s="39" t="s">
        <v>5632</v>
      </c>
      <c r="AR315" s="183">
        <f>AS315*5280</f>
        <v>27720</v>
      </c>
      <c r="AS315" s="183">
        <v>5.25</v>
      </c>
      <c r="AT315" s="92">
        <v>8003586</v>
      </c>
      <c r="AU315" s="183"/>
      <c r="AV315" s="183"/>
      <c r="AW315" s="183"/>
      <c r="AX315" s="183"/>
      <c r="AY315" s="23">
        <f>AW315+AX315</f>
        <v>0</v>
      </c>
      <c r="AZ315" s="40">
        <f>AY315/5280</f>
        <v>0</v>
      </c>
      <c r="BD315" s="191">
        <f t="shared" si="70"/>
        <v>0</v>
      </c>
      <c r="BE315" s="182"/>
      <c r="BF315" s="182"/>
      <c r="BG315" s="182"/>
      <c r="BH315" s="182"/>
      <c r="BI315" s="182"/>
      <c r="BJ315" s="182"/>
      <c r="BK315" s="182"/>
      <c r="BL315" s="182"/>
      <c r="BM315" s="182"/>
      <c r="BN315" s="182"/>
      <c r="BO315" s="182"/>
      <c r="BP315" s="182"/>
      <c r="BQ315" s="182"/>
      <c r="BR315" s="182"/>
      <c r="BS315" s="182"/>
      <c r="BT315" s="182"/>
    </row>
    <row r="316" spans="1:72" s="59" customFormat="1" x14ac:dyDescent="0.25">
      <c r="A316" s="218">
        <v>35227263</v>
      </c>
      <c r="B316" s="116" t="s">
        <v>5413</v>
      </c>
      <c r="C316" s="183">
        <v>14</v>
      </c>
      <c r="D316" s="23" t="str" cm="1">
        <f t="array" ref="D316">IFERROR(_xlfn.IFS(U316&lt;727,"MEET", AB316="FRRB","MEET", AB316="PSPS","MEET"),"No")</f>
        <v>MEET</v>
      </c>
      <c r="E316" s="23" t="str" cm="1">
        <f t="array" ref="E316">IFERROR(_xlfn.IFS(AM316&gt;0,"MEET", AN316&gt;0,"MEET"),"No")</f>
        <v>No</v>
      </c>
      <c r="F316" s="100">
        <v>2021257</v>
      </c>
      <c r="G316" s="188"/>
      <c r="H316" s="37">
        <f t="shared" si="68"/>
        <v>2.6083333333333334</v>
      </c>
      <c r="I316" s="37">
        <f t="shared" si="69"/>
        <v>2.6083333333333334</v>
      </c>
      <c r="J316" s="183">
        <v>2021</v>
      </c>
      <c r="K316" s="182"/>
      <c r="L316" s="182"/>
      <c r="M316" s="37">
        <f t="shared" si="71"/>
        <v>0</v>
      </c>
      <c r="N316" s="21">
        <v>12113.02</v>
      </c>
      <c r="O316" s="183" t="s">
        <v>4870</v>
      </c>
      <c r="P316" s="182">
        <v>254452102</v>
      </c>
      <c r="Q316" s="182" t="s">
        <v>2319</v>
      </c>
      <c r="R316" s="183" t="s">
        <v>2328</v>
      </c>
      <c r="S316" s="38">
        <f>IFERROR(VLOOKUP(R316,[47]conductor_pz_summary_hftd_23_re!$B$2:$Q$3636,8,FALSE),0)</f>
        <v>31</v>
      </c>
      <c r="T316" s="201">
        <f>IFERROR(VLOOKUP(R316,[48]conductor_pz_summary_hftd_23_re!$B$2:$H$3636,7,0),0)/1609</f>
        <v>5.253888981142623</v>
      </c>
      <c r="U316" s="23">
        <f>IFERROR(VLOOKUP(R316,[47]conductor_pz_summary_hftd_23_re!$B$2:$Q$3636,14,FALSE),0)</f>
        <v>35</v>
      </c>
      <c r="V316" s="37">
        <f t="shared" ref="V316:V379" si="72">IFERROR(W316*S316,0)</f>
        <v>14.621190514867758</v>
      </c>
      <c r="W316" s="202">
        <f>IFERROR(VLOOKUP(R316,[47]conductor_pz_summary_hftd_23_re!$B$2:$Q$3636,13,FALSE),0)</f>
        <v>0.47165130693121798</v>
      </c>
      <c r="X316" s="73">
        <f>IFERROR(VLOOKUP(R316,conductor_pz_summary_hftd_23_re!$B$2:$N$3636,13,FALSE),0)</f>
        <v>205</v>
      </c>
      <c r="Y316" s="203">
        <f t="shared" ref="Y316:Y379" si="73">(AL316*0.62+AM316*0.99+AN316+AO316*0.99)/(SUM(AL316:AO316))*V316*(H316/T316)</f>
        <v>4.500457092354595</v>
      </c>
      <c r="Z316" s="182"/>
      <c r="AA316" s="183" t="s">
        <v>4903</v>
      </c>
      <c r="AB316" s="183" t="s">
        <v>5298</v>
      </c>
      <c r="AC316" s="182" t="s">
        <v>5451</v>
      </c>
      <c r="AD316" s="182" t="s">
        <v>5417</v>
      </c>
      <c r="AE316" s="182" t="s">
        <v>4944</v>
      </c>
      <c r="AF316" s="182" t="s">
        <v>4939</v>
      </c>
      <c r="AG316" s="183">
        <v>5794552</v>
      </c>
      <c r="AH316" s="183" t="s">
        <v>6256</v>
      </c>
      <c r="AI316" s="183">
        <v>120457435</v>
      </c>
      <c r="AJ316" s="183">
        <v>35227263</v>
      </c>
      <c r="AK316" s="183" t="s">
        <v>6255</v>
      </c>
      <c r="AL316" s="205">
        <v>13772</v>
      </c>
      <c r="AM316" s="205">
        <v>0</v>
      </c>
      <c r="AN316" s="205">
        <v>0</v>
      </c>
      <c r="AO316" s="205">
        <v>0</v>
      </c>
      <c r="AP316" s="117"/>
      <c r="AQ316" s="48"/>
      <c r="AR316" s="183"/>
      <c r="AS316" s="183"/>
      <c r="AT316" s="92"/>
      <c r="AU316" s="183"/>
      <c r="AV316" s="183"/>
      <c r="AW316" s="183"/>
      <c r="AX316" s="183"/>
      <c r="AY316" s="23"/>
      <c r="AZ316" s="40"/>
      <c r="BA316" s="173"/>
      <c r="BB316" s="188"/>
      <c r="BC316" s="189"/>
      <c r="BD316" s="191">
        <f t="shared" si="70"/>
        <v>0</v>
      </c>
      <c r="BE316" s="182"/>
      <c r="BF316" s="182"/>
      <c r="BG316" s="182"/>
      <c r="BH316" s="182"/>
      <c r="BI316" s="182"/>
      <c r="BJ316" s="182"/>
      <c r="BK316" s="182"/>
      <c r="BL316" s="182"/>
      <c r="BM316" s="182"/>
      <c r="BN316" s="182"/>
      <c r="BO316" s="182"/>
      <c r="BP316" s="182"/>
      <c r="BQ316" s="182"/>
      <c r="BR316" s="182"/>
      <c r="BS316" s="182"/>
      <c r="BT316" s="182"/>
    </row>
    <row r="317" spans="1:72" x14ac:dyDescent="0.25">
      <c r="A317" s="218">
        <v>35219268</v>
      </c>
      <c r="B317" s="116" t="s">
        <v>5413</v>
      </c>
      <c r="C317" s="183">
        <v>14</v>
      </c>
      <c r="D317" s="23" t="str" cm="1">
        <f t="array" ref="D317">IFERROR(_xlfn.IFS(U317&lt;727,"MEET", AB317="FRRB","MEET", AB317="PSPS","MEET"),"No")</f>
        <v>MEET</v>
      </c>
      <c r="E317" s="23" t="str" cm="1">
        <f t="array" ref="E317">IFERROR(_xlfn.IFS(AM317&gt;0,"MEET", AN317&gt;0,"MEET"),"No")</f>
        <v>No</v>
      </c>
      <c r="F317" s="100">
        <v>2021258</v>
      </c>
      <c r="H317" s="37">
        <f t="shared" si="68"/>
        <v>1.6212121212121211</v>
      </c>
      <c r="I317" s="37">
        <f t="shared" si="69"/>
        <v>1.6212121212121211</v>
      </c>
      <c r="J317" s="183">
        <v>2021</v>
      </c>
      <c r="K317" s="182"/>
      <c r="L317" s="182"/>
      <c r="M317" s="37">
        <f t="shared" si="71"/>
        <v>0</v>
      </c>
      <c r="N317" s="21">
        <v>77148.45</v>
      </c>
      <c r="O317" s="183" t="s">
        <v>4870</v>
      </c>
      <c r="P317" s="182">
        <v>254452101</v>
      </c>
      <c r="Q317" s="182" t="s">
        <v>2304</v>
      </c>
      <c r="R317" s="183" t="s">
        <v>2316</v>
      </c>
      <c r="S317" s="38">
        <f>IFERROR(VLOOKUP(R317,[47]conductor_pz_summary_hftd_23_re!$B$2:$Q$3636,8,FALSE),0)</f>
        <v>40</v>
      </c>
      <c r="T317" s="201">
        <f>IFERROR(VLOOKUP(R317,[48]conductor_pz_summary_hftd_23_re!$B$2:$H$3636,7,0),0)/1609</f>
        <v>4.602897171829671</v>
      </c>
      <c r="U317" s="23">
        <f>IFERROR(VLOOKUP(R317,[47]conductor_pz_summary_hftd_23_re!$B$2:$Q$3636,14,FALSE),0)</f>
        <v>36</v>
      </c>
      <c r="V317" s="37">
        <f t="shared" si="72"/>
        <v>18.84867942931816</v>
      </c>
      <c r="W317" s="202">
        <f>IFERROR(VLOOKUP(R317,[47]conductor_pz_summary_hftd_23_re!$B$2:$Q$3636,13,FALSE),0)</f>
        <v>0.47121698573295401</v>
      </c>
      <c r="X317" s="73">
        <f>IFERROR(VLOOKUP(R317,conductor_pz_summary_hftd_23_re!$B$2:$N$3636,13,FALSE),0)</f>
        <v>66</v>
      </c>
      <c r="Y317" s="203">
        <f t="shared" si="73"/>
        <v>4.11605516693594</v>
      </c>
      <c r="Z317" s="182"/>
      <c r="AA317" s="183" t="s">
        <v>4903</v>
      </c>
      <c r="AB317" s="183" t="s">
        <v>5298</v>
      </c>
      <c r="AC317" s="182" t="s">
        <v>5451</v>
      </c>
      <c r="AD317" s="182" t="s">
        <v>5417</v>
      </c>
      <c r="AE317" s="182" t="s">
        <v>4944</v>
      </c>
      <c r="AF317" s="182" t="s">
        <v>4939</v>
      </c>
      <c r="AG317" s="183">
        <v>5794541</v>
      </c>
      <c r="AH317" s="183" t="s">
        <v>5398</v>
      </c>
      <c r="AI317" s="183">
        <v>120142035</v>
      </c>
      <c r="AJ317" s="183">
        <v>35219268</v>
      </c>
      <c r="AK317" s="183" t="s">
        <v>6088</v>
      </c>
      <c r="AL317" s="205">
        <v>8560</v>
      </c>
      <c r="AM317" s="205">
        <v>0</v>
      </c>
      <c r="AN317" s="205">
        <v>0</v>
      </c>
      <c r="AO317" s="205">
        <v>0</v>
      </c>
      <c r="AP317" s="117"/>
      <c r="AQ317" s="39" t="s">
        <v>5603</v>
      </c>
      <c r="AR317" s="183">
        <f>AS317*5280</f>
        <v>24287.999999999996</v>
      </c>
      <c r="AS317" s="183">
        <v>4.5999999999999996</v>
      </c>
      <c r="AT317" s="92">
        <v>7389000</v>
      </c>
      <c r="AU317" s="183"/>
      <c r="AV317" s="183"/>
      <c r="AW317" s="183"/>
      <c r="AX317" s="183"/>
      <c r="AY317" s="23">
        <f>AW317+AX317</f>
        <v>0</v>
      </c>
      <c r="AZ317" s="40">
        <f>AY317/5280</f>
        <v>0</v>
      </c>
      <c r="BD317" s="191">
        <f t="shared" si="70"/>
        <v>0</v>
      </c>
      <c r="BE317" s="182"/>
      <c r="BF317" s="182"/>
      <c r="BG317" s="182"/>
      <c r="BH317" s="182"/>
      <c r="BI317" s="182"/>
      <c r="BJ317" s="182"/>
      <c r="BK317" s="182"/>
      <c r="BL317" s="182"/>
      <c r="BM317" s="182"/>
      <c r="BN317" s="182"/>
      <c r="BO317" s="182"/>
      <c r="BP317" s="182"/>
      <c r="BQ317" s="182"/>
      <c r="BR317" s="182"/>
      <c r="BS317" s="182"/>
      <c r="BT317" s="182"/>
    </row>
    <row r="318" spans="1:72" x14ac:dyDescent="0.25">
      <c r="A318" s="218">
        <v>35226241</v>
      </c>
      <c r="B318" s="116" t="s">
        <v>5413</v>
      </c>
      <c r="C318" s="183">
        <v>15</v>
      </c>
      <c r="D318" s="23" t="str" cm="1">
        <f t="array" ref="D318">IFERROR(_xlfn.IFS(U318&lt;727,"MEET", AB318="FRRB","MEET", AB318="PSPS","MEET"),"No")</f>
        <v>MEET</v>
      </c>
      <c r="E318" s="23" t="str" cm="1">
        <f t="array" ref="E318">IFERROR(_xlfn.IFS(AM318&gt;0,"MEET", AN318&gt;0,"MEET"),"No")</f>
        <v>No</v>
      </c>
      <c r="F318" s="100">
        <v>2021259</v>
      </c>
      <c r="H318" s="37">
        <f t="shared" si="68"/>
        <v>1.4799242424242425</v>
      </c>
      <c r="I318" s="37">
        <f t="shared" si="69"/>
        <v>1.4799242424242425</v>
      </c>
      <c r="J318" s="183">
        <v>2021</v>
      </c>
      <c r="K318" s="182"/>
      <c r="L318" s="182"/>
      <c r="M318" s="37">
        <f t="shared" si="71"/>
        <v>0</v>
      </c>
      <c r="N318" s="21">
        <v>36185.31</v>
      </c>
      <c r="O318" s="183" t="s">
        <v>5118</v>
      </c>
      <c r="P318" s="182">
        <v>254452101</v>
      </c>
      <c r="Q318" s="182" t="s">
        <v>2304</v>
      </c>
      <c r="R318" s="183" t="s">
        <v>2316</v>
      </c>
      <c r="S318" s="38">
        <f>IFERROR(VLOOKUP(R318,[47]conductor_pz_summary_hftd_23_re!$B$2:$Q$3636,8,FALSE),0)</f>
        <v>40</v>
      </c>
      <c r="T318" s="201">
        <f>IFERROR(VLOOKUP(R318,[48]conductor_pz_summary_hftd_23_re!$B$2:$H$3636,7,0),0)/1609</f>
        <v>4.602897171829671</v>
      </c>
      <c r="U318" s="23">
        <f>IFERROR(VLOOKUP(R318,[47]conductor_pz_summary_hftd_23_re!$B$2:$Q$3636,14,FALSE),0)</f>
        <v>36</v>
      </c>
      <c r="V318" s="37">
        <f t="shared" si="72"/>
        <v>18.84867942931816</v>
      </c>
      <c r="W318" s="202">
        <f>IFERROR(VLOOKUP(R318,[47]conductor_pz_summary_hftd_23_re!$B$2:$Q$3636,13,FALSE),0)</f>
        <v>0.47121698573295401</v>
      </c>
      <c r="X318" s="73">
        <f>IFERROR(VLOOKUP(R318,conductor_pz_summary_hftd_23_re!$B$2:$N$3636,13,FALSE),0)</f>
        <v>66</v>
      </c>
      <c r="Y318" s="203">
        <f t="shared" si="73"/>
        <v>3.7573428825277384</v>
      </c>
      <c r="Z318" s="182"/>
      <c r="AA318" s="183" t="s">
        <v>4903</v>
      </c>
      <c r="AB318" s="183" t="s">
        <v>5298</v>
      </c>
      <c r="AC318" s="182" t="s">
        <v>5451</v>
      </c>
      <c r="AD318" s="182" t="s">
        <v>5417</v>
      </c>
      <c r="AE318" s="182" t="s">
        <v>4944</v>
      </c>
      <c r="AF318" s="182" t="s">
        <v>4939</v>
      </c>
      <c r="AG318" s="183">
        <v>5794541</v>
      </c>
      <c r="AH318" s="183" t="s">
        <v>6091</v>
      </c>
      <c r="AI318" s="183">
        <v>120431331</v>
      </c>
      <c r="AJ318" s="183">
        <v>35226241</v>
      </c>
      <c r="AK318" s="183" t="s">
        <v>6089</v>
      </c>
      <c r="AL318" s="205">
        <v>7814</v>
      </c>
      <c r="AM318" s="205">
        <v>0</v>
      </c>
      <c r="AN318" s="205">
        <v>0</v>
      </c>
      <c r="AO318" s="205">
        <v>0</v>
      </c>
      <c r="AP318" s="117"/>
      <c r="AQ318" s="48"/>
      <c r="AR318" s="183"/>
      <c r="AS318" s="183"/>
      <c r="AT318" s="92"/>
      <c r="AU318" s="183"/>
      <c r="AV318" s="183"/>
      <c r="AW318" s="183"/>
      <c r="AX318" s="183"/>
      <c r="AY318" s="23"/>
      <c r="AZ318" s="40"/>
      <c r="BD318" s="191">
        <f t="shared" si="70"/>
        <v>0</v>
      </c>
      <c r="BE318" s="182"/>
      <c r="BF318" s="182"/>
      <c r="BG318" s="182"/>
      <c r="BH318" s="182"/>
      <c r="BI318" s="182"/>
      <c r="BJ318" s="182"/>
      <c r="BK318" s="182"/>
      <c r="BL318" s="182"/>
      <c r="BM318" s="182"/>
      <c r="BN318" s="182"/>
      <c r="BO318" s="182"/>
      <c r="BP318" s="182"/>
      <c r="BQ318" s="182"/>
      <c r="BR318" s="182"/>
      <c r="BS318" s="182"/>
      <c r="BT318" s="182"/>
    </row>
    <row r="319" spans="1:72" x14ac:dyDescent="0.25">
      <c r="A319" s="218">
        <v>35226240</v>
      </c>
      <c r="B319" s="116" t="s">
        <v>5413</v>
      </c>
      <c r="C319" s="183">
        <v>14</v>
      </c>
      <c r="D319" s="23" t="str" cm="1">
        <f t="array" ref="D319">IFERROR(_xlfn.IFS(U319&lt;727,"MEET", AB319="FRRB","MEET", AB319="PSPS","MEET"),"No")</f>
        <v>MEET</v>
      </c>
      <c r="E319" s="23" t="str" cm="1">
        <f t="array" ref="E319">IFERROR(_xlfn.IFS(AM319&gt;0,"MEET", AN319&gt;0,"MEET"),"No")</f>
        <v>No</v>
      </c>
      <c r="F319" s="100">
        <v>2021260</v>
      </c>
      <c r="H319" s="37">
        <f t="shared" si="68"/>
        <v>1.4624999999999999</v>
      </c>
      <c r="I319" s="37">
        <f t="shared" si="69"/>
        <v>1.4624999999999999</v>
      </c>
      <c r="J319" s="183">
        <v>2021</v>
      </c>
      <c r="K319" s="182"/>
      <c r="L319" s="182"/>
      <c r="M319" s="37">
        <f t="shared" si="71"/>
        <v>0</v>
      </c>
      <c r="N319" s="21">
        <v>34659.33</v>
      </c>
      <c r="O319" s="183" t="s">
        <v>4870</v>
      </c>
      <c r="P319" s="182">
        <v>254452101</v>
      </c>
      <c r="Q319" s="182" t="s">
        <v>2304</v>
      </c>
      <c r="R319" s="183" t="s">
        <v>2316</v>
      </c>
      <c r="S319" s="38">
        <f>IFERROR(VLOOKUP(R319,[47]conductor_pz_summary_hftd_23_re!$B$2:$Q$3636,8,FALSE),0)</f>
        <v>40</v>
      </c>
      <c r="T319" s="201">
        <f>IFERROR(VLOOKUP(R319,[48]conductor_pz_summary_hftd_23_re!$B$2:$H$3636,7,0),0)/1609</f>
        <v>4.602897171829671</v>
      </c>
      <c r="U319" s="23">
        <f>IFERROR(VLOOKUP(R319,[47]conductor_pz_summary_hftd_23_re!$B$2:$Q$3636,14,FALSE),0)</f>
        <v>36</v>
      </c>
      <c r="V319" s="37">
        <f t="shared" si="72"/>
        <v>18.84867942931816</v>
      </c>
      <c r="W319" s="202">
        <f>IFERROR(VLOOKUP(R319,[47]conductor_pz_summary_hftd_23_re!$B$2:$Q$3636,13,FALSE),0)</f>
        <v>0.47121698573295401</v>
      </c>
      <c r="X319" s="73">
        <f>IFERROR(VLOOKUP(R319,conductor_pz_summary_hftd_23_re!$B$2:$N$3636,13,FALSE),0)</f>
        <v>66</v>
      </c>
      <c r="Y319" s="203">
        <f t="shared" si="73"/>
        <v>3.7131049064345016</v>
      </c>
      <c r="Z319" s="182"/>
      <c r="AA319" s="183" t="s">
        <v>4903</v>
      </c>
      <c r="AB319" s="183" t="s">
        <v>5298</v>
      </c>
      <c r="AC319" s="182" t="s">
        <v>5451</v>
      </c>
      <c r="AD319" s="182" t="s">
        <v>5417</v>
      </c>
      <c r="AE319" s="182" t="s">
        <v>4944</v>
      </c>
      <c r="AF319" s="182" t="s">
        <v>4939</v>
      </c>
      <c r="AG319" s="183">
        <v>5794541</v>
      </c>
      <c r="AH319" s="183" t="s">
        <v>6092</v>
      </c>
      <c r="AI319" s="183">
        <v>120431332</v>
      </c>
      <c r="AJ319" s="183">
        <v>35226240</v>
      </c>
      <c r="AK319" s="183" t="s">
        <v>6090</v>
      </c>
      <c r="AL319" s="205">
        <v>7722</v>
      </c>
      <c r="AM319" s="205">
        <v>0</v>
      </c>
      <c r="AN319" s="205">
        <v>0</v>
      </c>
      <c r="AO319" s="205">
        <v>0</v>
      </c>
      <c r="AP319" s="117"/>
      <c r="AQ319" s="48"/>
      <c r="AR319" s="183"/>
      <c r="AS319" s="183"/>
      <c r="AT319" s="92"/>
      <c r="AU319" s="183"/>
      <c r="AV319" s="183"/>
      <c r="AW319" s="183"/>
      <c r="AX319" s="183"/>
      <c r="AY319" s="23"/>
      <c r="AZ319" s="40"/>
      <c r="BD319" s="191">
        <f t="shared" si="70"/>
        <v>0</v>
      </c>
      <c r="BE319" s="182"/>
      <c r="BF319" s="182"/>
      <c r="BG319" s="182"/>
      <c r="BH319" s="182"/>
      <c r="BI319" s="182"/>
      <c r="BJ319" s="182"/>
      <c r="BK319" s="182"/>
      <c r="BL319" s="182"/>
      <c r="BM319" s="182"/>
      <c r="BN319" s="182"/>
      <c r="BO319" s="182"/>
      <c r="BP319" s="182"/>
      <c r="BQ319" s="182"/>
      <c r="BR319" s="182"/>
      <c r="BS319" s="182"/>
      <c r="BT319" s="182"/>
    </row>
    <row r="320" spans="1:72" s="59" customFormat="1" x14ac:dyDescent="0.25">
      <c r="A320" s="218">
        <v>35219269</v>
      </c>
      <c r="B320" s="116" t="s">
        <v>5413</v>
      </c>
      <c r="C320" s="183">
        <v>8</v>
      </c>
      <c r="D320" s="23" t="str" cm="1">
        <f t="array" ref="D320">IFERROR(_xlfn.IFS(U320&lt;727,"MEET", AB320="FRRB","MEET", AB320="PSPS","MEET"),"No")</f>
        <v>MEET</v>
      </c>
      <c r="E320" s="23" t="str" cm="1">
        <f t="array" ref="E320">IFERROR(_xlfn.IFS(AM320&gt;0,"MEET", AN320&gt;0,"MEET"),"No")</f>
        <v>MEET</v>
      </c>
      <c r="F320" s="100">
        <v>2021261</v>
      </c>
      <c r="G320" s="188"/>
      <c r="H320" s="37">
        <f t="shared" si="68"/>
        <v>32.72</v>
      </c>
      <c r="I320" s="37">
        <f t="shared" si="69"/>
        <v>32.72</v>
      </c>
      <c r="J320" s="183">
        <v>2021</v>
      </c>
      <c r="K320" s="182"/>
      <c r="L320" s="182"/>
      <c r="M320" s="37">
        <f t="shared" si="71"/>
        <v>0</v>
      </c>
      <c r="N320" s="21">
        <v>7398.58</v>
      </c>
      <c r="O320" s="183" t="s">
        <v>4878</v>
      </c>
      <c r="P320" s="182">
        <v>63591105</v>
      </c>
      <c r="Q320" s="182" t="s">
        <v>4461</v>
      </c>
      <c r="R320" s="183" t="s">
        <v>4460</v>
      </c>
      <c r="S320" s="38">
        <f>IFERROR(VLOOKUP(R320,[47]conductor_pz_summary_hftd_23_re!$B$2:$Q$3636,8,FALSE),0)</f>
        <v>464</v>
      </c>
      <c r="T320" s="201">
        <f>IFERROR(VLOOKUP(R320,[48]conductor_pz_summary_hftd_23_re!$B$2:$H$3636,7,0),0)/1609</f>
        <v>23.165292462931696</v>
      </c>
      <c r="U320" s="23">
        <f>IFERROR(VLOOKUP(R320,[47]conductor_pz_summary_hftd_23_re!$B$2:$Q$3636,14,FALSE),0)</f>
        <v>37</v>
      </c>
      <c r="V320" s="37">
        <f t="shared" si="72"/>
        <v>217.02195680530696</v>
      </c>
      <c r="W320" s="202">
        <f>IFERROR(VLOOKUP(R320,[47]conductor_pz_summary_hftd_23_re!$B$2:$Q$3636,13,FALSE),0)</f>
        <v>0.46771973449419602</v>
      </c>
      <c r="X320" s="73">
        <f>IFERROR(VLOOKUP(R320,conductor_pz_summary_hftd_23_re!$B$2:$N$3636,13,FALSE),0)</f>
        <v>100</v>
      </c>
      <c r="Y320" s="203">
        <f t="shared" si="73"/>
        <v>251.59895492298881</v>
      </c>
      <c r="Z320" s="182"/>
      <c r="AA320" s="183"/>
      <c r="AB320" s="183" t="s">
        <v>5298</v>
      </c>
      <c r="AC320" s="182" t="s">
        <v>5450</v>
      </c>
      <c r="AD320" s="182" t="s">
        <v>5453</v>
      </c>
      <c r="AE320" s="182" t="s">
        <v>5278</v>
      </c>
      <c r="AF320" s="182" t="s">
        <v>4875</v>
      </c>
      <c r="AG320" s="183">
        <v>5794542</v>
      </c>
      <c r="AH320" s="183" t="s">
        <v>5399</v>
      </c>
      <c r="AI320" s="183">
        <v>120142106</v>
      </c>
      <c r="AJ320" s="183">
        <v>35219269</v>
      </c>
      <c r="AK320" s="183" t="s">
        <v>5307</v>
      </c>
      <c r="AL320" s="205">
        <v>80150.399999999994</v>
      </c>
      <c r="AM320" s="205">
        <v>50424</v>
      </c>
      <c r="AN320" s="205">
        <v>42187.199999999997</v>
      </c>
      <c r="AO320" s="205">
        <v>0</v>
      </c>
      <c r="AP320" s="117"/>
      <c r="AQ320" s="167" t="s">
        <v>6320</v>
      </c>
      <c r="AR320" s="182">
        <f>AS320*5280</f>
        <v>130574.40000000001</v>
      </c>
      <c r="AS320" s="183">
        <v>24.73</v>
      </c>
      <c r="AT320" s="92">
        <v>28158240</v>
      </c>
      <c r="AU320" s="183"/>
      <c r="AV320" s="183"/>
      <c r="AW320" s="183"/>
      <c r="AX320" s="183"/>
      <c r="AY320" s="23">
        <f>AW320+AX320</f>
        <v>0</v>
      </c>
      <c r="AZ320" s="40">
        <f>AY320/5280</f>
        <v>0</v>
      </c>
      <c r="BA320" s="173"/>
      <c r="BB320" s="188"/>
      <c r="BC320" s="189"/>
      <c r="BD320" s="191">
        <f t="shared" si="70"/>
        <v>0</v>
      </c>
      <c r="BE320" s="182"/>
      <c r="BF320" s="182"/>
      <c r="BG320" s="182"/>
      <c r="BH320" s="182"/>
      <c r="BI320" s="182"/>
      <c r="BJ320" s="182"/>
      <c r="BK320" s="182"/>
      <c r="BL320" s="182"/>
      <c r="BM320" s="182"/>
      <c r="BN320" s="182"/>
      <c r="BO320" s="182"/>
      <c r="BP320" s="182"/>
      <c r="BQ320" s="182"/>
      <c r="BR320" s="182"/>
      <c r="BS320" s="182"/>
      <c r="BT320" s="182"/>
    </row>
    <row r="321" spans="1:72" x14ac:dyDescent="0.25">
      <c r="A321" s="218">
        <v>35219272</v>
      </c>
      <c r="B321" s="116" t="s">
        <v>5413</v>
      </c>
      <c r="C321" s="183">
        <v>14</v>
      </c>
      <c r="D321" s="23" t="str" cm="1">
        <f t="array" ref="D321">IFERROR(_xlfn.IFS(U321&lt;727,"MEET", AB321="FRRB","MEET", AB321="PSPS","MEET"),"No")</f>
        <v>MEET</v>
      </c>
      <c r="E321" s="23" t="str" cm="1">
        <f t="array" ref="E321">IFERROR(_xlfn.IFS(AM321&gt;0,"MEET", AN321&gt;0,"MEET"),"No")</f>
        <v>No</v>
      </c>
      <c r="F321" s="100">
        <v>2021262</v>
      </c>
      <c r="H321" s="37">
        <f t="shared" si="68"/>
        <v>0.85435606060606062</v>
      </c>
      <c r="I321" s="37">
        <f t="shared" si="69"/>
        <v>0.85435606060606062</v>
      </c>
      <c r="J321" s="183">
        <v>2021</v>
      </c>
      <c r="K321" s="182"/>
      <c r="L321" s="182"/>
      <c r="M321" s="37">
        <f t="shared" si="71"/>
        <v>0</v>
      </c>
      <c r="N321" s="21">
        <v>8598</v>
      </c>
      <c r="O321" s="183" t="s">
        <v>4870</v>
      </c>
      <c r="P321" s="182">
        <v>43141101</v>
      </c>
      <c r="Q321" s="182" t="s">
        <v>2411</v>
      </c>
      <c r="R321" s="183" t="s">
        <v>2416</v>
      </c>
      <c r="S321" s="38">
        <f>IFERROR(VLOOKUP(R321,[47]conductor_pz_summary_hftd_23_re!$B$2:$Q$3636,8,FALSE),0)</f>
        <v>14</v>
      </c>
      <c r="T321" s="201">
        <f>IFERROR(VLOOKUP(R321,[48]conductor_pz_summary_hftd_23_re!$B$2:$H$3636,7,0),0)/1609</f>
        <v>0.85339726114313852</v>
      </c>
      <c r="U321" s="23">
        <f>IFERROR(VLOOKUP(R321,[47]conductor_pz_summary_hftd_23_re!$B$2:$Q$3636,14,FALSE),0)</f>
        <v>38</v>
      </c>
      <c r="V321" s="37">
        <f t="shared" si="72"/>
        <v>6.5476193415170023</v>
      </c>
      <c r="W321" s="202">
        <f>IFERROR(VLOOKUP(R321,[47]conductor_pz_summary_hftd_23_re!$B$2:$Q$3636,13,FALSE),0)</f>
        <v>0.46768709582264301</v>
      </c>
      <c r="X321" s="73">
        <f>IFERROR(VLOOKUP(R321,conductor_pz_summary_hftd_23_re!$B$2:$N$3636,13,FALSE),0)</f>
        <v>46</v>
      </c>
      <c r="Y321" s="203">
        <f t="shared" si="73"/>
        <v>4.064084903288097</v>
      </c>
      <c r="Z321" s="182"/>
      <c r="AA321" s="183" t="s">
        <v>5418</v>
      </c>
      <c r="AB321" s="183" t="s">
        <v>5298</v>
      </c>
      <c r="AC321" s="182" t="s">
        <v>4872</v>
      </c>
      <c r="AD321" s="182" t="s">
        <v>4873</v>
      </c>
      <c r="AE321" s="182" t="s">
        <v>4874</v>
      </c>
      <c r="AF321" s="182" t="s">
        <v>4875</v>
      </c>
      <c r="AG321" s="183">
        <v>5794547</v>
      </c>
      <c r="AH321" s="183" t="s">
        <v>5315</v>
      </c>
      <c r="AI321" s="183">
        <v>120142171</v>
      </c>
      <c r="AJ321" s="183">
        <v>35219272</v>
      </c>
      <c r="AK321" s="183" t="s">
        <v>5308</v>
      </c>
      <c r="AL321" s="205">
        <v>4511</v>
      </c>
      <c r="AM321" s="205">
        <v>0</v>
      </c>
      <c r="AN321" s="205">
        <v>0</v>
      </c>
      <c r="AO321" s="205">
        <v>0</v>
      </c>
      <c r="AP321" s="117"/>
      <c r="AQ321" s="39" t="s">
        <v>5574</v>
      </c>
      <c r="AR321" s="183">
        <f>AS321*5280</f>
        <v>4857.6000000000004</v>
      </c>
      <c r="AS321" s="183">
        <v>0.92</v>
      </c>
      <c r="AT321" s="92">
        <v>1280000</v>
      </c>
      <c r="AU321" s="39" t="s">
        <v>6336</v>
      </c>
      <c r="AV321" s="183"/>
      <c r="AW321" s="183"/>
      <c r="AX321" s="183"/>
      <c r="AY321" s="23">
        <f>AW321+AX321</f>
        <v>0</v>
      </c>
      <c r="AZ321" s="40">
        <f>AY321/5280</f>
        <v>0</v>
      </c>
      <c r="BD321" s="191">
        <f t="shared" si="70"/>
        <v>0</v>
      </c>
      <c r="BE321" s="182"/>
      <c r="BF321" s="182"/>
      <c r="BG321" s="182"/>
      <c r="BH321" s="182"/>
      <c r="BI321" s="182"/>
      <c r="BJ321" s="182"/>
      <c r="BK321" s="182"/>
      <c r="BL321" s="182"/>
      <c r="BM321" s="182"/>
      <c r="BN321" s="182"/>
      <c r="BO321" s="182"/>
      <c r="BP321" s="182"/>
      <c r="BQ321" s="182"/>
      <c r="BR321" s="182"/>
      <c r="BS321" s="182"/>
      <c r="BT321" s="182"/>
    </row>
    <row r="322" spans="1:72" s="59" customFormat="1" x14ac:dyDescent="0.25">
      <c r="A322" s="218">
        <v>35219273</v>
      </c>
      <c r="B322" s="116" t="s">
        <v>5413</v>
      </c>
      <c r="C322" s="183">
        <v>14</v>
      </c>
      <c r="D322" s="23" t="str" cm="1">
        <f t="array" ref="D322">IFERROR(_xlfn.IFS(U322&lt;727,"MEET", AB322="FRRB","MEET", AB322="PSPS","MEET"),"No")</f>
        <v>MEET</v>
      </c>
      <c r="E322" s="23" t="str" cm="1">
        <f t="array" ref="E322">IFERROR(_xlfn.IFS(AM322&gt;0,"MEET", AN322&gt;0,"MEET"),"No")</f>
        <v>No</v>
      </c>
      <c r="F322" s="100">
        <v>2021263</v>
      </c>
      <c r="G322" s="188">
        <v>3.46</v>
      </c>
      <c r="H322" s="37">
        <f t="shared" ref="H322:H347" si="74">SUM(AL322:AO322)/5280</f>
        <v>3.4609848484848484</v>
      </c>
      <c r="I322" s="37">
        <f t="shared" ref="I322:I340" si="75">H322-M322</f>
        <v>3.4609848484848484</v>
      </c>
      <c r="J322" s="183">
        <v>2021</v>
      </c>
      <c r="K322" s="182"/>
      <c r="L322" s="182"/>
      <c r="M322" s="37">
        <f t="shared" si="71"/>
        <v>0</v>
      </c>
      <c r="N322" s="21">
        <v>9004.69</v>
      </c>
      <c r="O322" s="183" t="s">
        <v>4870</v>
      </c>
      <c r="P322" s="182">
        <v>102541101</v>
      </c>
      <c r="Q322" s="182" t="s">
        <v>4559</v>
      </c>
      <c r="R322" s="183" t="s">
        <v>4563</v>
      </c>
      <c r="S322" s="38">
        <f>IFERROR(VLOOKUP(R322,[47]conductor_pz_summary_hftd_23_re!$B$2:$Q$3636,8,FALSE),0)</f>
        <v>28</v>
      </c>
      <c r="T322" s="201">
        <f>IFERROR(VLOOKUP(R322,[48]conductor_pz_summary_hftd_23_re!$B$2:$H$3636,7,0),0)/1609</f>
        <v>3.4766045747279302</v>
      </c>
      <c r="U322" s="23">
        <f>IFERROR(VLOOKUP(R322,[47]conductor_pz_summary_hftd_23_re!$B$2:$Q$3636,14,FALSE),0)</f>
        <v>39</v>
      </c>
      <c r="V322" s="37">
        <f t="shared" si="72"/>
        <v>13.001261839054944</v>
      </c>
      <c r="W322" s="202">
        <f>IFERROR(VLOOKUP(R322,[47]conductor_pz_summary_hftd_23_re!$B$2:$Q$3636,13,FALSE),0)</f>
        <v>0.464330779966248</v>
      </c>
      <c r="X322" s="73">
        <f>IFERROR(VLOOKUP(R322,conductor_pz_summary_hftd_23_re!$B$2:$N$3636,13,FALSE),0)</f>
        <v>6</v>
      </c>
      <c r="Y322" s="203">
        <f t="shared" si="73"/>
        <v>8.0245667710422204</v>
      </c>
      <c r="Z322" s="182"/>
      <c r="AA322" s="183" t="s">
        <v>4903</v>
      </c>
      <c r="AB322" s="183" t="s">
        <v>5298</v>
      </c>
      <c r="AC322" s="182" t="s">
        <v>5464</v>
      </c>
      <c r="AD322" s="182" t="s">
        <v>5465</v>
      </c>
      <c r="AE322" s="182" t="s">
        <v>5210</v>
      </c>
      <c r="AF322" s="182" t="s">
        <v>4875</v>
      </c>
      <c r="AG322" s="183">
        <v>5794543</v>
      </c>
      <c r="AH322" s="183" t="s">
        <v>5400</v>
      </c>
      <c r="AI322" s="183">
        <v>120142173</v>
      </c>
      <c r="AJ322" s="183">
        <v>35219273</v>
      </c>
      <c r="AK322" s="183" t="s">
        <v>5309</v>
      </c>
      <c r="AL322" s="205">
        <v>18274</v>
      </c>
      <c r="AM322" s="205">
        <v>0</v>
      </c>
      <c r="AN322" s="205">
        <v>0</v>
      </c>
      <c r="AO322" s="205">
        <v>0</v>
      </c>
      <c r="AP322" s="117"/>
      <c r="AQ322" s="39" t="s">
        <v>5593</v>
      </c>
      <c r="AR322" s="183">
        <f>AS322*5280</f>
        <v>18374.400000000001</v>
      </c>
      <c r="AS322" s="183">
        <v>3.48</v>
      </c>
      <c r="AT322" s="92">
        <v>8182317</v>
      </c>
      <c r="AU322" s="39" t="s">
        <v>6329</v>
      </c>
      <c r="AV322" s="183">
        <v>0</v>
      </c>
      <c r="AW322" s="183">
        <v>0</v>
      </c>
      <c r="AX322" s="183">
        <f>3.55*5280</f>
        <v>18744</v>
      </c>
      <c r="AY322" s="23">
        <f>AW322+AX322</f>
        <v>18744</v>
      </c>
      <c r="AZ322" s="40">
        <f>AY322/5280</f>
        <v>3.55</v>
      </c>
      <c r="BA322" s="174">
        <v>6700000</v>
      </c>
      <c r="BB322" s="192"/>
      <c r="BC322" s="193"/>
      <c r="BD322" s="191">
        <f t="shared" ref="BD322:BD340" si="76">IFERROR(BC322/BB322,0)</f>
        <v>0</v>
      </c>
      <c r="BE322" s="182"/>
      <c r="BF322" s="182"/>
      <c r="BG322" s="182"/>
      <c r="BH322" s="182"/>
      <c r="BI322" s="182"/>
      <c r="BJ322" s="182"/>
      <c r="BK322" s="182"/>
      <c r="BL322" s="182"/>
      <c r="BM322" s="182"/>
      <c r="BN322" s="182"/>
      <c r="BO322" s="182"/>
      <c r="BP322" s="182"/>
      <c r="BQ322" s="182"/>
      <c r="BR322" s="182"/>
      <c r="BS322" s="182"/>
      <c r="BT322" s="182"/>
    </row>
    <row r="323" spans="1:72" s="59" customFormat="1" x14ac:dyDescent="0.25">
      <c r="A323" s="218">
        <v>35219275</v>
      </c>
      <c r="B323" s="116" t="s">
        <v>5413</v>
      </c>
      <c r="C323" s="183">
        <v>17</v>
      </c>
      <c r="D323" s="23" t="str" cm="1">
        <f t="array" ref="D323">IFERROR(_xlfn.IFS(U323&lt;727,"MEET", AB323="FRRB","MEET", AB323="PSPS","MEET"),"No")</f>
        <v>MEET</v>
      </c>
      <c r="E323" s="23" t="str" cm="1">
        <f t="array" ref="E323">IFERROR(_xlfn.IFS(AM323&gt;0,"MEET", AN323&gt;0,"MEET"),"No")</f>
        <v>No</v>
      </c>
      <c r="F323" s="100">
        <v>2021264</v>
      </c>
      <c r="G323" s="188"/>
      <c r="H323" s="37">
        <f t="shared" si="74"/>
        <v>0.52</v>
      </c>
      <c r="I323" s="37">
        <f t="shared" si="75"/>
        <v>0.52</v>
      </c>
      <c r="J323" s="183">
        <v>2021</v>
      </c>
      <c r="K323" s="182"/>
      <c r="L323" s="182"/>
      <c r="M323" s="37">
        <f t="shared" si="71"/>
        <v>0</v>
      </c>
      <c r="N323" s="21">
        <v>5860.46</v>
      </c>
      <c r="O323" s="183" t="s">
        <v>5129</v>
      </c>
      <c r="P323" s="182">
        <v>63681102</v>
      </c>
      <c r="Q323" s="182" t="s">
        <v>3468</v>
      </c>
      <c r="R323" s="183" t="s">
        <v>3467</v>
      </c>
      <c r="S323" s="38">
        <f>IFERROR(VLOOKUP(R323,[47]conductor_pz_summary_hftd_23_re!$B$2:$Q$3636,8,FALSE),0)</f>
        <v>38</v>
      </c>
      <c r="T323" s="201">
        <f>IFERROR(VLOOKUP(R323,[48]conductor_pz_summary_hftd_23_re!$B$2:$H$3636,7,0),0)/1609</f>
        <v>0.63713158826654448</v>
      </c>
      <c r="U323" s="23">
        <f>IFERROR(VLOOKUP(R323,[47]conductor_pz_summary_hftd_23_re!$B$2:$Q$3636,14,FALSE),0)</f>
        <v>41</v>
      </c>
      <c r="V323" s="37">
        <f t="shared" si="72"/>
        <v>17.311484727723496</v>
      </c>
      <c r="W323" s="202">
        <f>IFERROR(VLOOKUP(R323,[47]conductor_pz_summary_hftd_23_re!$B$2:$Q$3636,13,FALSE),0)</f>
        <v>0.45556538757167098</v>
      </c>
      <c r="X323" s="73">
        <f>IFERROR(VLOOKUP(R323,conductor_pz_summary_hftd_23_re!$B$2:$N$3636,13,FALSE),0)</f>
        <v>96</v>
      </c>
      <c r="Y323" s="203">
        <f t="shared" si="73"/>
        <v>8.759921465207821</v>
      </c>
      <c r="Z323" s="182"/>
      <c r="AA323" s="183" t="s">
        <v>4903</v>
      </c>
      <c r="AB323" s="183" t="s">
        <v>5298</v>
      </c>
      <c r="AC323" s="182" t="s">
        <v>5466</v>
      </c>
      <c r="AD323" s="182" t="s">
        <v>5453</v>
      </c>
      <c r="AE323" s="182" t="s">
        <v>5278</v>
      </c>
      <c r="AF323" s="182" t="s">
        <v>4875</v>
      </c>
      <c r="AG323" s="183">
        <v>5543347</v>
      </c>
      <c r="AH323" s="183" t="s">
        <v>5401</v>
      </c>
      <c r="AI323" s="183">
        <v>120142210</v>
      </c>
      <c r="AJ323" s="183">
        <v>35219275</v>
      </c>
      <c r="AK323" s="183" t="s">
        <v>5310</v>
      </c>
      <c r="AL323" s="205">
        <f>0.52*5280</f>
        <v>2745.6</v>
      </c>
      <c r="AM323" s="205">
        <v>0</v>
      </c>
      <c r="AN323" s="205">
        <v>0</v>
      </c>
      <c r="AO323" s="205">
        <v>0</v>
      </c>
      <c r="AP323" s="117"/>
      <c r="AQ323" s="39" t="s">
        <v>5564</v>
      </c>
      <c r="AR323" s="183">
        <f>AS323*5280</f>
        <v>2745.6</v>
      </c>
      <c r="AS323" s="183">
        <v>0.52</v>
      </c>
      <c r="AT323" s="92">
        <v>566066</v>
      </c>
      <c r="AU323" s="183"/>
      <c r="AV323" s="183"/>
      <c r="AW323" s="183"/>
      <c r="AX323" s="183"/>
      <c r="AY323" s="23">
        <f>AW323+AX323</f>
        <v>0</v>
      </c>
      <c r="AZ323" s="40">
        <f>AY323/5280</f>
        <v>0</v>
      </c>
      <c r="BA323" s="173"/>
      <c r="BB323" s="188"/>
      <c r="BC323" s="189"/>
      <c r="BD323" s="191">
        <f t="shared" si="76"/>
        <v>0</v>
      </c>
      <c r="BE323" s="182"/>
      <c r="BF323" s="182"/>
      <c r="BG323" s="182"/>
      <c r="BH323" s="182"/>
      <c r="BI323" s="182"/>
      <c r="BJ323" s="182"/>
      <c r="BK323" s="182"/>
      <c r="BL323" s="182"/>
      <c r="BM323" s="182"/>
      <c r="BN323" s="182"/>
      <c r="BO323" s="182"/>
      <c r="BP323" s="182"/>
      <c r="BQ323" s="182"/>
      <c r="BR323" s="182"/>
      <c r="BS323" s="182"/>
      <c r="BT323" s="182"/>
    </row>
    <row r="324" spans="1:72" x14ac:dyDescent="0.25">
      <c r="A324" s="218">
        <v>35219276</v>
      </c>
      <c r="B324" s="116" t="s">
        <v>5413</v>
      </c>
      <c r="C324" s="183">
        <v>9</v>
      </c>
      <c r="D324" s="23" t="str" cm="1">
        <f t="array" ref="D324">IFERROR(_xlfn.IFS(U324&lt;727,"MEET", AB324="FRRB","MEET", AB324="PSPS","MEET"),"No")</f>
        <v>MEET</v>
      </c>
      <c r="E324" s="23" t="str" cm="1">
        <f t="array" ref="E324">IFERROR(_xlfn.IFS(AM324&gt;0,"MEET", AN324&gt;0,"MEET"),"No")</f>
        <v>MEET</v>
      </c>
      <c r="F324" s="100">
        <v>2021265</v>
      </c>
      <c r="H324" s="37">
        <f t="shared" si="74"/>
        <v>2.16</v>
      </c>
      <c r="I324" s="37">
        <f t="shared" si="75"/>
        <v>2.16</v>
      </c>
      <c r="J324" s="183">
        <v>2021</v>
      </c>
      <c r="K324" s="182"/>
      <c r="L324" s="182"/>
      <c r="M324" s="37">
        <f t="shared" si="71"/>
        <v>0</v>
      </c>
      <c r="N324" s="21">
        <v>30622.52</v>
      </c>
      <c r="O324" s="183" t="s">
        <v>4878</v>
      </c>
      <c r="P324" s="182">
        <v>63601104</v>
      </c>
      <c r="Q324" s="182" t="s">
        <v>4465</v>
      </c>
      <c r="R324" s="183" t="s">
        <v>4464</v>
      </c>
      <c r="S324" s="38">
        <f>IFERROR(VLOOKUP(R324,[47]conductor_pz_summary_hftd_23_re!$B$2:$Q$3636,8,FALSE),0)</f>
        <v>140</v>
      </c>
      <c r="T324" s="201">
        <f>IFERROR(VLOOKUP(R324,[48]conductor_pz_summary_hftd_23_re!$B$2:$H$3636,7,0),0)/1609</f>
        <v>14.660160930794284</v>
      </c>
      <c r="U324" s="23">
        <f>IFERROR(VLOOKUP(R324,[47]conductor_pz_summary_hftd_23_re!$B$2:$Q$3636,14,FALSE),0)</f>
        <v>42</v>
      </c>
      <c r="V324" s="37">
        <f t="shared" si="72"/>
        <v>62.498549265155361</v>
      </c>
      <c r="W324" s="202">
        <f>IFERROR(VLOOKUP(R324,[47]conductor_pz_summary_hftd_23_re!$B$2:$Q$3636,13,FALSE),0)</f>
        <v>0.446418209036824</v>
      </c>
      <c r="X324" s="73">
        <f>IFERROR(VLOOKUP(R324,conductor_pz_summary_hftd_23_re!$B$2:$N$3636,13,FALSE),0)</f>
        <v>86</v>
      </c>
      <c r="Y324" s="203">
        <f t="shared" si="73"/>
        <v>9.1163322407926177</v>
      </c>
      <c r="Z324" s="182"/>
      <c r="AA324" s="183" t="s">
        <v>4871</v>
      </c>
      <c r="AB324" s="183" t="s">
        <v>5298</v>
      </c>
      <c r="AC324" s="182" t="s">
        <v>5450</v>
      </c>
      <c r="AD324" s="182" t="s">
        <v>5453</v>
      </c>
      <c r="AE324" s="182" t="s">
        <v>5278</v>
      </c>
      <c r="AF324" s="182" t="s">
        <v>4875</v>
      </c>
      <c r="AG324" s="183">
        <v>5794545</v>
      </c>
      <c r="AH324" s="183" t="s">
        <v>5402</v>
      </c>
      <c r="AI324" s="183">
        <v>120142212</v>
      </c>
      <c r="AJ324" s="183">
        <v>35219276</v>
      </c>
      <c r="AK324" s="183" t="s">
        <v>6262</v>
      </c>
      <c r="AL324" s="205">
        <v>0</v>
      </c>
      <c r="AM324" s="205">
        <f>2.16*5280</f>
        <v>11404.800000000001</v>
      </c>
      <c r="AN324" s="205">
        <v>0</v>
      </c>
      <c r="AO324" s="205">
        <v>0</v>
      </c>
      <c r="AP324" s="117"/>
      <c r="AQ324" s="39" t="s">
        <v>5629</v>
      </c>
      <c r="AR324" s="183">
        <f>AS324*5280</f>
        <v>40444.800000000003</v>
      </c>
      <c r="AS324" s="183">
        <v>7.66</v>
      </c>
      <c r="AT324" s="92">
        <v>11826060</v>
      </c>
      <c r="AU324" s="183"/>
      <c r="AV324" s="183"/>
      <c r="AW324" s="183"/>
      <c r="AX324" s="183"/>
      <c r="AY324" s="23">
        <f>AW324+AX324</f>
        <v>0</v>
      </c>
      <c r="AZ324" s="40">
        <f>AY324/5280</f>
        <v>0</v>
      </c>
      <c r="BD324" s="191">
        <f t="shared" si="76"/>
        <v>0</v>
      </c>
      <c r="BE324" s="182"/>
      <c r="BF324" s="182"/>
      <c r="BG324" s="182"/>
      <c r="BH324" s="182"/>
      <c r="BI324" s="182"/>
      <c r="BJ324" s="182"/>
      <c r="BK324" s="182"/>
      <c r="BL324" s="182"/>
      <c r="BM324" s="182"/>
      <c r="BN324" s="182"/>
      <c r="BO324" s="182"/>
      <c r="BP324" s="182"/>
      <c r="BQ324" s="182"/>
      <c r="BR324" s="182"/>
      <c r="BS324" s="182"/>
      <c r="BT324" s="182"/>
    </row>
    <row r="325" spans="1:72" x14ac:dyDescent="0.25">
      <c r="A325" s="218">
        <v>35227651</v>
      </c>
      <c r="B325" s="116" t="s">
        <v>5413</v>
      </c>
      <c r="C325" s="183">
        <v>9</v>
      </c>
      <c r="D325" s="23" t="str" cm="1">
        <f t="array" ref="D325">IFERROR(_xlfn.IFS(U325&lt;727,"MEET", AB325="FRRB","MEET", AB325="PSPS","MEET"),"No")</f>
        <v>MEET</v>
      </c>
      <c r="E325" s="23" t="str" cm="1">
        <f t="array" ref="E325">IFERROR(_xlfn.IFS(AM325&gt;0,"MEET", AN325&gt;0,"MEET"),"No")</f>
        <v>No</v>
      </c>
      <c r="F325" s="100">
        <v>2021266</v>
      </c>
      <c r="H325" s="37">
        <f t="shared" si="74"/>
        <v>2.31</v>
      </c>
      <c r="I325" s="37">
        <f t="shared" si="75"/>
        <v>2.31</v>
      </c>
      <c r="J325" s="183">
        <v>2021</v>
      </c>
      <c r="K325" s="182"/>
      <c r="L325" s="182"/>
      <c r="M325" s="37">
        <f t="shared" si="71"/>
        <v>0</v>
      </c>
      <c r="N325" s="21">
        <v>0</v>
      </c>
      <c r="O325" s="183" t="s">
        <v>4878</v>
      </c>
      <c r="P325" s="182">
        <v>63601104</v>
      </c>
      <c r="Q325" s="182" t="s">
        <v>4465</v>
      </c>
      <c r="R325" s="183" t="s">
        <v>4464</v>
      </c>
      <c r="S325" s="38">
        <f>IFERROR(VLOOKUP(R325,[47]conductor_pz_summary_hftd_23_re!$B$2:$Q$3636,8,FALSE),0)</f>
        <v>140</v>
      </c>
      <c r="T325" s="201">
        <f>IFERROR(VLOOKUP(R325,[48]conductor_pz_summary_hftd_23_re!$B$2:$H$3636,7,0),0)/1609</f>
        <v>14.660160930794284</v>
      </c>
      <c r="U325" s="23">
        <f>IFERROR(VLOOKUP(R325,[47]conductor_pz_summary_hftd_23_re!$B$2:$Q$3636,14,FALSE),0)</f>
        <v>42</v>
      </c>
      <c r="V325" s="37">
        <f t="shared" si="72"/>
        <v>62.498549265155361</v>
      </c>
      <c r="W325" s="202">
        <f>IFERROR(VLOOKUP(R325,[47]conductor_pz_summary_hftd_23_re!$B$2:$Q$3636,13,FALSE),0)</f>
        <v>0.446418209036824</v>
      </c>
      <c r="X325" s="73">
        <f>IFERROR(VLOOKUP(R325,conductor_pz_summary_hftd_23_re!$B$2:$N$3636,13,FALSE),0)</f>
        <v>86</v>
      </c>
      <c r="Y325" s="203">
        <f t="shared" si="73"/>
        <v>6.1056916550987577</v>
      </c>
      <c r="Z325" s="182"/>
      <c r="AA325" s="183" t="s">
        <v>4871</v>
      </c>
      <c r="AB325" s="183" t="s">
        <v>5298</v>
      </c>
      <c r="AC325" s="182" t="s">
        <v>5450</v>
      </c>
      <c r="AD325" s="182" t="s">
        <v>5453</v>
      </c>
      <c r="AE325" s="182" t="s">
        <v>5278</v>
      </c>
      <c r="AF325" s="182" t="s">
        <v>4875</v>
      </c>
      <c r="AG325" s="183">
        <v>5794545</v>
      </c>
      <c r="AH325" s="183" t="s">
        <v>6267</v>
      </c>
      <c r="AI325" s="183">
        <v>120462109</v>
      </c>
      <c r="AJ325" s="183">
        <v>35227651</v>
      </c>
      <c r="AK325" s="183" t="s">
        <v>6263</v>
      </c>
      <c r="AL325" s="205">
        <f>2.31*5280</f>
        <v>12196.800000000001</v>
      </c>
      <c r="AM325" s="205">
        <v>0</v>
      </c>
      <c r="AN325" s="205">
        <v>0</v>
      </c>
      <c r="AO325" s="205">
        <v>0</v>
      </c>
      <c r="AP325" s="117"/>
      <c r="AQ325" s="39" t="s">
        <v>5629</v>
      </c>
      <c r="AR325" s="183"/>
      <c r="AS325" s="183"/>
      <c r="AT325" s="92"/>
      <c r="AU325" s="183"/>
      <c r="AV325" s="183"/>
      <c r="AW325" s="183"/>
      <c r="AX325" s="183"/>
      <c r="AY325" s="23"/>
      <c r="AZ325" s="40"/>
      <c r="BD325" s="191">
        <f t="shared" si="76"/>
        <v>0</v>
      </c>
      <c r="BE325" s="182"/>
      <c r="BF325" s="182"/>
      <c r="BG325" s="182"/>
      <c r="BH325" s="182"/>
      <c r="BI325" s="182"/>
      <c r="BJ325" s="182"/>
      <c r="BK325" s="182"/>
      <c r="BL325" s="182"/>
      <c r="BM325" s="182"/>
      <c r="BN325" s="182"/>
      <c r="BO325" s="182"/>
      <c r="BP325" s="182"/>
      <c r="BQ325" s="182"/>
      <c r="BR325" s="182"/>
      <c r="BS325" s="182"/>
      <c r="BT325" s="182"/>
    </row>
    <row r="326" spans="1:72" x14ac:dyDescent="0.25">
      <c r="A326" s="218">
        <v>35227652</v>
      </c>
      <c r="B326" s="116" t="s">
        <v>5413</v>
      </c>
      <c r="C326" s="183">
        <v>9</v>
      </c>
      <c r="D326" s="23" t="str" cm="1">
        <f t="array" ref="D326">IFERROR(_xlfn.IFS(U326&lt;727,"MEET", AB326="FRRB","MEET", AB326="PSPS","MEET"),"No")</f>
        <v>MEET</v>
      </c>
      <c r="E326" s="23" t="str" cm="1">
        <f t="array" ref="E326">IFERROR(_xlfn.IFS(AM326&gt;0,"MEET", AN326&gt;0,"MEET"),"No")</f>
        <v>MEET</v>
      </c>
      <c r="F326" s="100">
        <v>2021267</v>
      </c>
      <c r="H326" s="37">
        <f t="shared" si="74"/>
        <v>0.41</v>
      </c>
      <c r="I326" s="37">
        <f t="shared" si="75"/>
        <v>0.41</v>
      </c>
      <c r="J326" s="183">
        <v>2021</v>
      </c>
      <c r="K326" s="182"/>
      <c r="L326" s="182"/>
      <c r="M326" s="37">
        <f t="shared" si="71"/>
        <v>0</v>
      </c>
      <c r="N326" s="21">
        <v>0</v>
      </c>
      <c r="O326" s="183" t="s">
        <v>4878</v>
      </c>
      <c r="P326" s="182">
        <v>63601104</v>
      </c>
      <c r="Q326" s="182" t="s">
        <v>4465</v>
      </c>
      <c r="R326" s="183" t="s">
        <v>4464</v>
      </c>
      <c r="S326" s="38">
        <f>IFERROR(VLOOKUP(R326,[47]conductor_pz_summary_hftd_23_re!$B$2:$Q$3636,8,FALSE),0)</f>
        <v>140</v>
      </c>
      <c r="T326" s="201">
        <f>IFERROR(VLOOKUP(R326,[48]conductor_pz_summary_hftd_23_re!$B$2:$H$3636,7,0),0)/1609</f>
        <v>14.660160930794284</v>
      </c>
      <c r="U326" s="23">
        <f>IFERROR(VLOOKUP(R326,[47]conductor_pz_summary_hftd_23_re!$B$2:$Q$3636,14,FALSE),0)</f>
        <v>42</v>
      </c>
      <c r="V326" s="37">
        <f t="shared" si="72"/>
        <v>62.498549265155361</v>
      </c>
      <c r="W326" s="202">
        <f>IFERROR(VLOOKUP(R326,[47]conductor_pz_summary_hftd_23_re!$B$2:$Q$3636,13,FALSE),0)</f>
        <v>0.446418209036824</v>
      </c>
      <c r="X326" s="73">
        <f>IFERROR(VLOOKUP(R326,conductor_pz_summary_hftd_23_re!$B$2:$N$3636,13,FALSE),0)</f>
        <v>86</v>
      </c>
      <c r="Y326" s="203">
        <f t="shared" si="73"/>
        <v>1.730414916076376</v>
      </c>
      <c r="Z326" s="182"/>
      <c r="AA326" s="183" t="s">
        <v>4871</v>
      </c>
      <c r="AB326" s="183" t="s">
        <v>5298</v>
      </c>
      <c r="AC326" s="182" t="s">
        <v>5450</v>
      </c>
      <c r="AD326" s="182" t="s">
        <v>5453</v>
      </c>
      <c r="AE326" s="182" t="s">
        <v>5278</v>
      </c>
      <c r="AF326" s="182" t="s">
        <v>4875</v>
      </c>
      <c r="AG326" s="183">
        <v>5794545</v>
      </c>
      <c r="AH326" s="183" t="s">
        <v>6268</v>
      </c>
      <c r="AI326" s="183">
        <v>120462111</v>
      </c>
      <c r="AJ326" s="183">
        <v>35227652</v>
      </c>
      <c r="AK326" s="183" t="s">
        <v>6264</v>
      </c>
      <c r="AL326" s="205">
        <v>0</v>
      </c>
      <c r="AM326" s="205">
        <f>0.41*5280</f>
        <v>2164.7999999999997</v>
      </c>
      <c r="AN326" s="205">
        <v>0</v>
      </c>
      <c r="AO326" s="205">
        <v>0</v>
      </c>
      <c r="AP326" s="117"/>
      <c r="AQ326" s="39" t="s">
        <v>5629</v>
      </c>
      <c r="AR326" s="183"/>
      <c r="AS326" s="183"/>
      <c r="AT326" s="92"/>
      <c r="AU326" s="183"/>
      <c r="AV326" s="183"/>
      <c r="AW326" s="183"/>
      <c r="AX326" s="183"/>
      <c r="AY326" s="23"/>
      <c r="AZ326" s="40"/>
      <c r="BD326" s="191">
        <f t="shared" si="76"/>
        <v>0</v>
      </c>
      <c r="BE326" s="182"/>
      <c r="BF326" s="182"/>
      <c r="BG326" s="182"/>
      <c r="BH326" s="182"/>
      <c r="BI326" s="182"/>
      <c r="BJ326" s="182"/>
      <c r="BK326" s="182"/>
      <c r="BL326" s="182"/>
      <c r="BM326" s="182"/>
      <c r="BN326" s="182"/>
      <c r="BO326" s="182"/>
      <c r="BP326" s="182"/>
      <c r="BQ326" s="182"/>
      <c r="BR326" s="182"/>
      <c r="BS326" s="182"/>
      <c r="BT326" s="182"/>
    </row>
    <row r="327" spans="1:72" x14ac:dyDescent="0.25">
      <c r="A327" s="218">
        <v>35227653</v>
      </c>
      <c r="B327" s="116" t="s">
        <v>5413</v>
      </c>
      <c r="C327" s="183">
        <v>9</v>
      </c>
      <c r="D327" s="23" t="str" cm="1">
        <f t="array" ref="D327">IFERROR(_xlfn.IFS(U327&lt;727,"MEET", AB327="FRRB","MEET", AB327="PSPS","MEET"),"No")</f>
        <v>MEET</v>
      </c>
      <c r="E327" s="23" t="str" cm="1">
        <f t="array" ref="E327">IFERROR(_xlfn.IFS(AM327&gt;0,"MEET", AN327&gt;0,"MEET"),"No")</f>
        <v>No</v>
      </c>
      <c r="F327" s="100">
        <v>2021268</v>
      </c>
      <c r="H327" s="37">
        <f t="shared" si="74"/>
        <v>2</v>
      </c>
      <c r="I327" s="37">
        <f t="shared" si="75"/>
        <v>2</v>
      </c>
      <c r="J327" s="183">
        <v>2021</v>
      </c>
      <c r="K327" s="182"/>
      <c r="L327" s="182"/>
      <c r="M327" s="37">
        <f t="shared" si="71"/>
        <v>0</v>
      </c>
      <c r="N327" s="21">
        <v>0</v>
      </c>
      <c r="O327" s="183" t="s">
        <v>4878</v>
      </c>
      <c r="P327" s="182">
        <v>63601104</v>
      </c>
      <c r="Q327" s="182" t="s">
        <v>4465</v>
      </c>
      <c r="R327" s="183" t="s">
        <v>4464</v>
      </c>
      <c r="S327" s="38">
        <f>IFERROR(VLOOKUP(R327,[47]conductor_pz_summary_hftd_23_re!$B$2:$Q$3636,8,FALSE),0)</f>
        <v>140</v>
      </c>
      <c r="T327" s="201">
        <f>IFERROR(VLOOKUP(R327,[48]conductor_pz_summary_hftd_23_re!$B$2:$H$3636,7,0),0)/1609</f>
        <v>14.660160930794284</v>
      </c>
      <c r="U327" s="23">
        <f>IFERROR(VLOOKUP(R327,[47]conductor_pz_summary_hftd_23_re!$B$2:$Q$3636,14,FALSE),0)</f>
        <v>42</v>
      </c>
      <c r="V327" s="37">
        <f t="shared" si="72"/>
        <v>62.498549265155361</v>
      </c>
      <c r="W327" s="202">
        <f>IFERROR(VLOOKUP(R327,[47]conductor_pz_summary_hftd_23_re!$B$2:$Q$3636,13,FALSE),0)</f>
        <v>0.446418209036824</v>
      </c>
      <c r="X327" s="73">
        <f>IFERROR(VLOOKUP(R327,conductor_pz_summary_hftd_23_re!$B$2:$N$3636,13,FALSE),0)</f>
        <v>86</v>
      </c>
      <c r="Y327" s="203">
        <f t="shared" si="73"/>
        <v>5.286313121297626</v>
      </c>
      <c r="Z327" s="182"/>
      <c r="AA327" s="183" t="s">
        <v>4871</v>
      </c>
      <c r="AB327" s="183" t="s">
        <v>5298</v>
      </c>
      <c r="AC327" s="182" t="s">
        <v>5450</v>
      </c>
      <c r="AD327" s="182" t="s">
        <v>5453</v>
      </c>
      <c r="AE327" s="182" t="s">
        <v>5278</v>
      </c>
      <c r="AF327" s="182" t="s">
        <v>4875</v>
      </c>
      <c r="AG327" s="183">
        <v>5794545</v>
      </c>
      <c r="AH327" s="183" t="s">
        <v>6269</v>
      </c>
      <c r="AI327" s="183">
        <v>120462112</v>
      </c>
      <c r="AJ327" s="183">
        <v>35227653</v>
      </c>
      <c r="AK327" s="183" t="s">
        <v>6265</v>
      </c>
      <c r="AL327" s="205">
        <f>2*5280</f>
        <v>10560</v>
      </c>
      <c r="AM327" s="205">
        <v>0</v>
      </c>
      <c r="AN327" s="205">
        <v>0</v>
      </c>
      <c r="AO327" s="205">
        <v>0</v>
      </c>
      <c r="AP327" s="117"/>
      <c r="AQ327" s="39" t="s">
        <v>5629</v>
      </c>
      <c r="AR327" s="183"/>
      <c r="AS327" s="183"/>
      <c r="AT327" s="92"/>
      <c r="AU327" s="183"/>
      <c r="AV327" s="183"/>
      <c r="AW327" s="183"/>
      <c r="AX327" s="183"/>
      <c r="AY327" s="23"/>
      <c r="AZ327" s="40"/>
      <c r="BD327" s="191">
        <f t="shared" si="76"/>
        <v>0</v>
      </c>
      <c r="BE327" s="182"/>
      <c r="BF327" s="182"/>
      <c r="BG327" s="182"/>
      <c r="BH327" s="182"/>
      <c r="BI327" s="182"/>
      <c r="BJ327" s="182"/>
      <c r="BK327" s="182"/>
      <c r="BL327" s="182"/>
      <c r="BM327" s="182"/>
      <c r="BN327" s="182"/>
      <c r="BO327" s="182"/>
      <c r="BP327" s="182"/>
      <c r="BQ327" s="182"/>
      <c r="BR327" s="182"/>
      <c r="BS327" s="182"/>
      <c r="BT327" s="182"/>
    </row>
    <row r="328" spans="1:72" x14ac:dyDescent="0.25">
      <c r="A328" s="218">
        <v>35227654</v>
      </c>
      <c r="B328" s="116" t="s">
        <v>5413</v>
      </c>
      <c r="C328" s="183">
        <v>9</v>
      </c>
      <c r="D328" s="23" t="str" cm="1">
        <f t="array" ref="D328">IFERROR(_xlfn.IFS(U328&lt;727,"MEET", AB328="FRRB","MEET", AB328="PSPS","MEET"),"No")</f>
        <v>MEET</v>
      </c>
      <c r="E328" s="23" t="str" cm="1">
        <f t="array" ref="E328">IFERROR(_xlfn.IFS(AM328&gt;0,"MEET", AN328&gt;0,"MEET"),"No")</f>
        <v>No</v>
      </c>
      <c r="F328" s="100">
        <v>2021269</v>
      </c>
      <c r="H328" s="37">
        <f t="shared" si="74"/>
        <v>0.72</v>
      </c>
      <c r="I328" s="37">
        <f t="shared" si="75"/>
        <v>0.72</v>
      </c>
      <c r="J328" s="183">
        <v>2021</v>
      </c>
      <c r="K328" s="182"/>
      <c r="L328" s="182"/>
      <c r="M328" s="37">
        <f t="shared" si="71"/>
        <v>0</v>
      </c>
      <c r="N328" s="21">
        <v>0</v>
      </c>
      <c r="O328" s="183" t="s">
        <v>4878</v>
      </c>
      <c r="P328" s="182">
        <v>63601104</v>
      </c>
      <c r="Q328" s="182" t="s">
        <v>4465</v>
      </c>
      <c r="R328" s="183" t="s">
        <v>4464</v>
      </c>
      <c r="S328" s="38">
        <f>IFERROR(VLOOKUP(R328,[47]conductor_pz_summary_hftd_23_re!$B$2:$Q$3636,8,FALSE),0)</f>
        <v>140</v>
      </c>
      <c r="T328" s="201">
        <f>IFERROR(VLOOKUP(R328,[48]conductor_pz_summary_hftd_23_re!$B$2:$H$3636,7,0),0)/1609</f>
        <v>14.660160930794284</v>
      </c>
      <c r="U328" s="23">
        <f>IFERROR(VLOOKUP(R328,[47]conductor_pz_summary_hftd_23_re!$B$2:$Q$3636,14,FALSE),0)</f>
        <v>42</v>
      </c>
      <c r="V328" s="37">
        <f t="shared" si="72"/>
        <v>62.498549265155361</v>
      </c>
      <c r="W328" s="202">
        <f>IFERROR(VLOOKUP(R328,[47]conductor_pz_summary_hftd_23_re!$B$2:$Q$3636,13,FALSE),0)</f>
        <v>0.446418209036824</v>
      </c>
      <c r="X328" s="73">
        <f>IFERROR(VLOOKUP(R328,conductor_pz_summary_hftd_23_re!$B$2:$N$3636,13,FALSE),0)</f>
        <v>86</v>
      </c>
      <c r="Y328" s="203">
        <f t="shared" si="73"/>
        <v>1.9030727236671452</v>
      </c>
      <c r="Z328" s="182"/>
      <c r="AA328" s="183" t="s">
        <v>4871</v>
      </c>
      <c r="AB328" s="183" t="s">
        <v>5298</v>
      </c>
      <c r="AC328" s="182" t="s">
        <v>5450</v>
      </c>
      <c r="AD328" s="182" t="s">
        <v>5453</v>
      </c>
      <c r="AE328" s="182" t="s">
        <v>5278</v>
      </c>
      <c r="AF328" s="182" t="s">
        <v>4875</v>
      </c>
      <c r="AG328" s="183">
        <v>5794545</v>
      </c>
      <c r="AH328" s="183" t="s">
        <v>6270</v>
      </c>
      <c r="AI328" s="183">
        <v>120462113</v>
      </c>
      <c r="AJ328" s="183">
        <v>35227654</v>
      </c>
      <c r="AK328" s="183" t="s">
        <v>6266</v>
      </c>
      <c r="AL328" s="205">
        <f>0.72*5280</f>
        <v>3801.6</v>
      </c>
      <c r="AM328" s="205">
        <v>0</v>
      </c>
      <c r="AN328" s="205">
        <v>0</v>
      </c>
      <c r="AO328" s="205">
        <v>0</v>
      </c>
      <c r="AP328" s="117"/>
      <c r="AQ328" s="39" t="s">
        <v>5629</v>
      </c>
      <c r="AR328" s="183"/>
      <c r="AS328" s="183"/>
      <c r="AT328" s="92"/>
      <c r="AU328" s="183"/>
      <c r="AV328" s="183"/>
      <c r="AW328" s="183"/>
      <c r="AX328" s="183"/>
      <c r="AY328" s="23"/>
      <c r="AZ328" s="40"/>
      <c r="BD328" s="191">
        <f t="shared" si="76"/>
        <v>0</v>
      </c>
      <c r="BE328" s="182"/>
      <c r="BF328" s="182"/>
      <c r="BG328" s="182"/>
      <c r="BH328" s="182"/>
      <c r="BI328" s="182"/>
      <c r="BJ328" s="182"/>
      <c r="BK328" s="182"/>
      <c r="BL328" s="182"/>
      <c r="BM328" s="182"/>
      <c r="BN328" s="182"/>
      <c r="BO328" s="182"/>
      <c r="BP328" s="182"/>
      <c r="BQ328" s="182"/>
      <c r="BR328" s="182"/>
      <c r="BS328" s="182"/>
      <c r="BT328" s="182"/>
    </row>
    <row r="329" spans="1:72" s="59" customFormat="1" x14ac:dyDescent="0.25">
      <c r="A329" s="218">
        <v>35224378</v>
      </c>
      <c r="B329" s="116" t="s">
        <v>5413</v>
      </c>
      <c r="C329" s="183">
        <v>9</v>
      </c>
      <c r="D329" s="23" t="str" cm="1">
        <f t="array" ref="D329">IFERROR(_xlfn.IFS(U329&lt;727,"MEET", AB329="FRRB","MEET", AB329="PSPS","MEET"),"No")</f>
        <v>MEET</v>
      </c>
      <c r="E329" s="23" t="str" cm="1">
        <f t="array" ref="E329">IFERROR(_xlfn.IFS(AM329&gt;0,"MEET", AN329&gt;0,"MEET"),"No")</f>
        <v>No</v>
      </c>
      <c r="F329" s="100">
        <v>2021270</v>
      </c>
      <c r="G329" s="96"/>
      <c r="H329" s="37">
        <f t="shared" si="74"/>
        <v>3.6</v>
      </c>
      <c r="I329" s="37">
        <f t="shared" si="75"/>
        <v>3.6</v>
      </c>
      <c r="J329" s="183">
        <v>2021</v>
      </c>
      <c r="K329" s="182"/>
      <c r="L329" s="182"/>
      <c r="M329" s="37">
        <f t="shared" si="71"/>
        <v>0</v>
      </c>
      <c r="N329" s="21">
        <v>14637.68</v>
      </c>
      <c r="O329" s="183" t="s">
        <v>4878</v>
      </c>
      <c r="P329" s="182">
        <v>63601104</v>
      </c>
      <c r="Q329" s="182" t="s">
        <v>4465</v>
      </c>
      <c r="R329" s="183" t="s">
        <v>4464</v>
      </c>
      <c r="S329" s="38">
        <f>IFERROR(VLOOKUP(R329,[47]conductor_pz_summary_hftd_23_re!$B$2:$Q$3636,8,FALSE),0)</f>
        <v>140</v>
      </c>
      <c r="T329" s="201">
        <f>IFERROR(VLOOKUP(R329,[48]conductor_pz_summary_hftd_23_re!$B$2:$H$3636,7,0),0)/1609</f>
        <v>14.660160930794284</v>
      </c>
      <c r="U329" s="23">
        <f>IFERROR(VLOOKUP(R329,[47]conductor_pz_summary_hftd_23_re!$B$2:$Q$3636,14,FALSE),0)</f>
        <v>42</v>
      </c>
      <c r="V329" s="37">
        <f t="shared" si="72"/>
        <v>62.498549265155361</v>
      </c>
      <c r="W329" s="202">
        <f>IFERROR(VLOOKUP(R329,[47]conductor_pz_summary_hftd_23_re!$B$2:$Q$3636,13,FALSE),0)</f>
        <v>0.446418209036824</v>
      </c>
      <c r="X329" s="73">
        <f>IFERROR(VLOOKUP(R329,conductor_pz_summary_hftd_23_re!$B$2:$N$3636,13,FALSE),0)</f>
        <v>86</v>
      </c>
      <c r="Y329" s="203">
        <f t="shared" si="73"/>
        <v>9.5153636183357264</v>
      </c>
      <c r="Z329" s="182"/>
      <c r="AA329" s="183" t="s">
        <v>4871</v>
      </c>
      <c r="AB329" s="183" t="s">
        <v>5298</v>
      </c>
      <c r="AC329" s="182" t="s">
        <v>5450</v>
      </c>
      <c r="AD329" s="182" t="s">
        <v>5453</v>
      </c>
      <c r="AE329" s="182" t="s">
        <v>5278</v>
      </c>
      <c r="AF329" s="182" t="s">
        <v>4875</v>
      </c>
      <c r="AG329" s="183">
        <v>5794545</v>
      </c>
      <c r="AH329" s="183" t="s">
        <v>5607</v>
      </c>
      <c r="AI329" s="183">
        <v>120406213</v>
      </c>
      <c r="AJ329" s="183">
        <v>35224378</v>
      </c>
      <c r="AK329" s="183" t="s">
        <v>6291</v>
      </c>
      <c r="AL329" s="205">
        <f>3.6*5280</f>
        <v>19008</v>
      </c>
      <c r="AM329" s="205">
        <v>0</v>
      </c>
      <c r="AN329" s="205">
        <v>0</v>
      </c>
      <c r="AO329" s="205">
        <v>0</v>
      </c>
      <c r="AP329" s="117"/>
      <c r="AQ329" s="39" t="s">
        <v>5628</v>
      </c>
      <c r="AR329" s="183">
        <f>AS329*5280</f>
        <v>36854.400000000001</v>
      </c>
      <c r="AS329" s="183">
        <v>6.98</v>
      </c>
      <c r="AT329" s="92">
        <v>8840920</v>
      </c>
      <c r="AU329" s="48" t="s">
        <v>6390</v>
      </c>
      <c r="AV329" s="183"/>
      <c r="AW329" s="183"/>
      <c r="AX329" s="183"/>
      <c r="AY329" s="23"/>
      <c r="AZ329" s="40"/>
      <c r="BA329" s="173"/>
      <c r="BB329" s="188"/>
      <c r="BC329" s="189"/>
      <c r="BD329" s="191">
        <f t="shared" si="76"/>
        <v>0</v>
      </c>
      <c r="BE329" s="182"/>
      <c r="BF329" s="182"/>
      <c r="BG329" s="182"/>
      <c r="BH329" s="182"/>
      <c r="BI329" s="182"/>
      <c r="BJ329" s="182"/>
      <c r="BK329" s="182"/>
      <c r="BL329" s="182"/>
      <c r="BM329" s="182"/>
      <c r="BN329" s="182"/>
      <c r="BO329" s="182"/>
      <c r="BP329" s="182"/>
      <c r="BQ329" s="182"/>
      <c r="BR329" s="182"/>
      <c r="BS329" s="182"/>
      <c r="BT329" s="182"/>
    </row>
    <row r="330" spans="1:72" s="59" customFormat="1" x14ac:dyDescent="0.25">
      <c r="A330" s="218">
        <v>35227870</v>
      </c>
      <c r="B330" s="116" t="s">
        <v>5413</v>
      </c>
      <c r="C330" s="183">
        <v>9</v>
      </c>
      <c r="D330" s="23" t="str" cm="1">
        <f t="array" ref="D330">IFERROR(_xlfn.IFS(U330&lt;727,"MEET", AB330="FRRB","MEET", AB330="PSPS","MEET"),"No")</f>
        <v>MEET</v>
      </c>
      <c r="E330" s="23" t="str" cm="1">
        <f t="array" ref="E330">IFERROR(_xlfn.IFS(AM330&gt;0,"MEET", AN330&gt;0,"MEET"),"No")</f>
        <v>MEET</v>
      </c>
      <c r="F330" s="100">
        <v>2021271</v>
      </c>
      <c r="G330" s="96"/>
      <c r="H330" s="37">
        <f t="shared" si="74"/>
        <v>1.35</v>
      </c>
      <c r="I330" s="37">
        <f t="shared" si="75"/>
        <v>1.35</v>
      </c>
      <c r="J330" s="183">
        <v>2021</v>
      </c>
      <c r="K330" s="182"/>
      <c r="L330" s="182"/>
      <c r="M330" s="37">
        <f t="shared" ref="M330:M361" si="77">SUM(K330:L330)</f>
        <v>0</v>
      </c>
      <c r="N330" s="21">
        <v>0</v>
      </c>
      <c r="O330" s="183" t="s">
        <v>4878</v>
      </c>
      <c r="P330" s="182">
        <v>63601104</v>
      </c>
      <c r="Q330" s="182" t="s">
        <v>4465</v>
      </c>
      <c r="R330" s="183" t="s">
        <v>4464</v>
      </c>
      <c r="S330" s="38">
        <f>IFERROR(VLOOKUP(R330,[47]conductor_pz_summary_hftd_23_re!$B$2:$Q$3636,8,FALSE),0)</f>
        <v>140</v>
      </c>
      <c r="T330" s="201">
        <f>IFERROR(VLOOKUP(R330,[48]conductor_pz_summary_hftd_23_re!$B$2:$H$3636,7,0),0)/1609</f>
        <v>14.660160930794284</v>
      </c>
      <c r="U330" s="23">
        <f>IFERROR(VLOOKUP(R330,[47]conductor_pz_summary_hftd_23_re!$B$2:$Q$3636,14,FALSE),0)</f>
        <v>42</v>
      </c>
      <c r="V330" s="37">
        <f t="shared" si="72"/>
        <v>62.498549265155361</v>
      </c>
      <c r="W330" s="202">
        <f>IFERROR(VLOOKUP(R330,[47]conductor_pz_summary_hftd_23_re!$B$2:$Q$3636,13,FALSE),0)</f>
        <v>0.446418209036824</v>
      </c>
      <c r="X330" s="73">
        <f>IFERROR(VLOOKUP(R330,conductor_pz_summary_hftd_23_re!$B$2:$N$3636,13,FALSE),0)</f>
        <v>86</v>
      </c>
      <c r="Y330" s="203">
        <f t="shared" si="73"/>
        <v>5.6977076504953859</v>
      </c>
      <c r="Z330" s="182"/>
      <c r="AA330" s="183" t="s">
        <v>4871</v>
      </c>
      <c r="AB330" s="183" t="s">
        <v>5298</v>
      </c>
      <c r="AC330" s="182" t="s">
        <v>5450</v>
      </c>
      <c r="AD330" s="182" t="s">
        <v>5453</v>
      </c>
      <c r="AE330" s="182" t="s">
        <v>5278</v>
      </c>
      <c r="AF330" s="182" t="s">
        <v>4875</v>
      </c>
      <c r="AG330" s="183">
        <v>5794545</v>
      </c>
      <c r="AH330" s="183" t="s">
        <v>6297</v>
      </c>
      <c r="AI330" s="183">
        <v>120462116</v>
      </c>
      <c r="AJ330" s="183">
        <v>35227870</v>
      </c>
      <c r="AK330" s="183" t="s">
        <v>6292</v>
      </c>
      <c r="AL330" s="205">
        <v>0</v>
      </c>
      <c r="AM330" s="205">
        <f>1.35*5280</f>
        <v>7128.0000000000009</v>
      </c>
      <c r="AN330" s="205">
        <v>0</v>
      </c>
      <c r="AO330" s="205">
        <v>0</v>
      </c>
      <c r="AP330" s="117"/>
      <c r="AQ330" s="39" t="s">
        <v>5628</v>
      </c>
      <c r="AR330" s="183"/>
      <c r="AS330" s="183"/>
      <c r="AT330" s="92"/>
      <c r="AU330" s="48" t="s">
        <v>6390</v>
      </c>
      <c r="AV330" s="183"/>
      <c r="AW330" s="183"/>
      <c r="AX330" s="183"/>
      <c r="AY330" s="23"/>
      <c r="AZ330" s="40"/>
      <c r="BA330" s="173"/>
      <c r="BB330" s="188"/>
      <c r="BC330" s="189"/>
      <c r="BD330" s="191">
        <f t="shared" si="76"/>
        <v>0</v>
      </c>
      <c r="BE330" s="182"/>
      <c r="BF330" s="182"/>
      <c r="BG330" s="182"/>
      <c r="BH330" s="182"/>
      <c r="BI330" s="182"/>
      <c r="BJ330" s="182"/>
      <c r="BK330" s="182"/>
      <c r="BL330" s="182"/>
      <c r="BM330" s="182"/>
      <c r="BN330" s="182"/>
      <c r="BO330" s="182"/>
      <c r="BP330" s="182"/>
      <c r="BQ330" s="182"/>
      <c r="BR330" s="182"/>
      <c r="BS330" s="182"/>
      <c r="BT330" s="182"/>
    </row>
    <row r="331" spans="1:72" s="59" customFormat="1" x14ac:dyDescent="0.25">
      <c r="A331" s="218">
        <v>35227656</v>
      </c>
      <c r="B331" s="116" t="s">
        <v>5413</v>
      </c>
      <c r="C331" s="183">
        <v>9</v>
      </c>
      <c r="D331" s="23" t="str" cm="1">
        <f t="array" ref="D331">IFERROR(_xlfn.IFS(U331&lt;727,"MEET", AB331="FRRB","MEET", AB331="PSPS","MEET"),"No")</f>
        <v>MEET</v>
      </c>
      <c r="E331" s="23" t="str" cm="1">
        <f t="array" ref="E331">IFERROR(_xlfn.IFS(AM331&gt;0,"MEET", AN331&gt;0,"MEET"),"No")</f>
        <v>MEET</v>
      </c>
      <c r="F331" s="100">
        <v>2021272</v>
      </c>
      <c r="G331" s="96"/>
      <c r="H331" s="37">
        <f t="shared" si="74"/>
        <v>0.75</v>
      </c>
      <c r="I331" s="37">
        <f t="shared" si="75"/>
        <v>0.75</v>
      </c>
      <c r="J331" s="183">
        <v>2021</v>
      </c>
      <c r="K331" s="182"/>
      <c r="L331" s="182"/>
      <c r="M331" s="37">
        <f t="shared" si="77"/>
        <v>0</v>
      </c>
      <c r="N331" s="21">
        <v>0</v>
      </c>
      <c r="O331" s="183" t="s">
        <v>4878</v>
      </c>
      <c r="P331" s="182">
        <v>63601104</v>
      </c>
      <c r="Q331" s="182" t="s">
        <v>4465</v>
      </c>
      <c r="R331" s="183" t="s">
        <v>4464</v>
      </c>
      <c r="S331" s="38">
        <f>IFERROR(VLOOKUP(R331,[47]conductor_pz_summary_hftd_23_re!$B$2:$Q$3636,8,FALSE),0)</f>
        <v>140</v>
      </c>
      <c r="T331" s="201">
        <f>IFERROR(VLOOKUP(R331,[48]conductor_pz_summary_hftd_23_re!$B$2:$H$3636,7,0),0)/1609</f>
        <v>14.660160930794284</v>
      </c>
      <c r="U331" s="23">
        <f>IFERROR(VLOOKUP(R331,[47]conductor_pz_summary_hftd_23_re!$B$2:$Q$3636,14,FALSE),0)</f>
        <v>42</v>
      </c>
      <c r="V331" s="37">
        <f t="shared" si="72"/>
        <v>62.498549265155361</v>
      </c>
      <c r="W331" s="202">
        <f>IFERROR(VLOOKUP(R331,[47]conductor_pz_summary_hftd_23_re!$B$2:$Q$3636,13,FALSE),0)</f>
        <v>0.446418209036824</v>
      </c>
      <c r="X331" s="73">
        <f>IFERROR(VLOOKUP(R331,conductor_pz_summary_hftd_23_re!$B$2:$N$3636,13,FALSE),0)</f>
        <v>86</v>
      </c>
      <c r="Y331" s="203">
        <f t="shared" si="73"/>
        <v>3.1653931391641028</v>
      </c>
      <c r="Z331" s="182"/>
      <c r="AA331" s="183" t="s">
        <v>4871</v>
      </c>
      <c r="AB331" s="183" t="s">
        <v>5298</v>
      </c>
      <c r="AC331" s="182" t="s">
        <v>5450</v>
      </c>
      <c r="AD331" s="182" t="s">
        <v>5453</v>
      </c>
      <c r="AE331" s="182" t="s">
        <v>5278</v>
      </c>
      <c r="AF331" s="182" t="s">
        <v>4875</v>
      </c>
      <c r="AG331" s="183">
        <v>5794545</v>
      </c>
      <c r="AH331" s="183" t="s">
        <v>6298</v>
      </c>
      <c r="AI331" s="183">
        <v>120462117</v>
      </c>
      <c r="AJ331" s="183">
        <v>35227656</v>
      </c>
      <c r="AK331" s="183" t="s">
        <v>6293</v>
      </c>
      <c r="AL331" s="205">
        <v>0</v>
      </c>
      <c r="AM331" s="205">
        <f>0.75*5280</f>
        <v>3960</v>
      </c>
      <c r="AN331" s="205">
        <v>0</v>
      </c>
      <c r="AO331" s="205">
        <v>0</v>
      </c>
      <c r="AP331" s="117"/>
      <c r="AQ331" s="39" t="s">
        <v>5628</v>
      </c>
      <c r="AR331" s="183"/>
      <c r="AS331" s="183"/>
      <c r="AT331" s="92"/>
      <c r="AU331" s="48" t="s">
        <v>6390</v>
      </c>
      <c r="AV331" s="183"/>
      <c r="AW331" s="183"/>
      <c r="AX331" s="183"/>
      <c r="AY331" s="23"/>
      <c r="AZ331" s="40"/>
      <c r="BA331" s="173"/>
      <c r="BB331" s="188"/>
      <c r="BC331" s="189"/>
      <c r="BD331" s="191">
        <f t="shared" si="76"/>
        <v>0</v>
      </c>
      <c r="BE331" s="182"/>
      <c r="BF331" s="182"/>
      <c r="BG331" s="182"/>
      <c r="BH331" s="182"/>
      <c r="BI331" s="182"/>
      <c r="BJ331" s="182"/>
      <c r="BK331" s="182"/>
      <c r="BL331" s="182"/>
      <c r="BM331" s="182"/>
      <c r="BN331" s="182"/>
      <c r="BO331" s="182"/>
      <c r="BP331" s="182"/>
      <c r="BQ331" s="182"/>
      <c r="BR331" s="182"/>
      <c r="BS331" s="182"/>
      <c r="BT331" s="182"/>
    </row>
    <row r="332" spans="1:72" s="59" customFormat="1" x14ac:dyDescent="0.25">
      <c r="A332" s="218">
        <v>35227657</v>
      </c>
      <c r="B332" s="116" t="s">
        <v>5413</v>
      </c>
      <c r="C332" s="183">
        <v>9</v>
      </c>
      <c r="D332" s="23" t="str" cm="1">
        <f t="array" ref="D332">IFERROR(_xlfn.IFS(U332&lt;727,"MEET", AB332="FRRB","MEET", AB332="PSPS","MEET"),"No")</f>
        <v>MEET</v>
      </c>
      <c r="E332" s="23" t="str" cm="1">
        <f t="array" ref="E332">IFERROR(_xlfn.IFS(AM332&gt;0,"MEET", AN332&gt;0,"MEET"),"No")</f>
        <v>No</v>
      </c>
      <c r="F332" s="100">
        <v>2021273</v>
      </c>
      <c r="G332" s="96"/>
      <c r="H332" s="37">
        <f t="shared" si="74"/>
        <v>1</v>
      </c>
      <c r="I332" s="37">
        <f t="shared" si="75"/>
        <v>1</v>
      </c>
      <c r="J332" s="183">
        <v>2021</v>
      </c>
      <c r="K332" s="182"/>
      <c r="L332" s="182"/>
      <c r="M332" s="37">
        <f t="shared" si="77"/>
        <v>0</v>
      </c>
      <c r="N332" s="21">
        <v>0</v>
      </c>
      <c r="O332" s="183" t="s">
        <v>4878</v>
      </c>
      <c r="P332" s="182">
        <v>63601104</v>
      </c>
      <c r="Q332" s="182" t="s">
        <v>4465</v>
      </c>
      <c r="R332" s="183" t="s">
        <v>4464</v>
      </c>
      <c r="S332" s="38">
        <f>IFERROR(VLOOKUP(R332,[47]conductor_pz_summary_hftd_23_re!$B$2:$Q$3636,8,FALSE),0)</f>
        <v>140</v>
      </c>
      <c r="T332" s="201">
        <f>IFERROR(VLOOKUP(R332,[48]conductor_pz_summary_hftd_23_re!$B$2:$H$3636,7,0),0)/1609</f>
        <v>14.660160930794284</v>
      </c>
      <c r="U332" s="23">
        <f>IFERROR(VLOOKUP(R332,[47]conductor_pz_summary_hftd_23_re!$B$2:$Q$3636,14,FALSE),0)</f>
        <v>42</v>
      </c>
      <c r="V332" s="37">
        <f t="shared" si="72"/>
        <v>62.498549265155361</v>
      </c>
      <c r="W332" s="202">
        <f>IFERROR(VLOOKUP(R332,[47]conductor_pz_summary_hftd_23_re!$B$2:$Q$3636,13,FALSE),0)</f>
        <v>0.446418209036824</v>
      </c>
      <c r="X332" s="73">
        <f>IFERROR(VLOOKUP(R332,conductor_pz_summary_hftd_23_re!$B$2:$N$3636,13,FALSE),0)</f>
        <v>86</v>
      </c>
      <c r="Y332" s="203">
        <f t="shared" si="73"/>
        <v>2.643156560648813</v>
      </c>
      <c r="Z332" s="182"/>
      <c r="AA332" s="183" t="s">
        <v>4871</v>
      </c>
      <c r="AB332" s="183" t="s">
        <v>5298</v>
      </c>
      <c r="AC332" s="182" t="s">
        <v>5450</v>
      </c>
      <c r="AD332" s="182" t="s">
        <v>5453</v>
      </c>
      <c r="AE332" s="182" t="s">
        <v>5278</v>
      </c>
      <c r="AF332" s="182" t="s">
        <v>4875</v>
      </c>
      <c r="AG332" s="183">
        <v>5794545</v>
      </c>
      <c r="AH332" s="183" t="s">
        <v>6299</v>
      </c>
      <c r="AI332" s="183">
        <v>120462180</v>
      </c>
      <c r="AJ332" s="183">
        <v>35227657</v>
      </c>
      <c r="AK332" s="183" t="s">
        <v>6294</v>
      </c>
      <c r="AL332" s="205">
        <f>1*5280</f>
        <v>5280</v>
      </c>
      <c r="AM332" s="205">
        <v>0</v>
      </c>
      <c r="AN332" s="205">
        <v>0</v>
      </c>
      <c r="AO332" s="205">
        <v>0</v>
      </c>
      <c r="AP332" s="117"/>
      <c r="AQ332" s="39" t="s">
        <v>5628</v>
      </c>
      <c r="AR332" s="183"/>
      <c r="AS332" s="183"/>
      <c r="AT332" s="92"/>
      <c r="AU332" s="48" t="s">
        <v>6390</v>
      </c>
      <c r="AV332" s="183"/>
      <c r="AW332" s="183"/>
      <c r="AX332" s="183"/>
      <c r="AY332" s="23"/>
      <c r="AZ332" s="40"/>
      <c r="BA332" s="173"/>
      <c r="BB332" s="188"/>
      <c r="BC332" s="189"/>
      <c r="BD332" s="191">
        <f t="shared" si="76"/>
        <v>0</v>
      </c>
      <c r="BE332" s="182"/>
      <c r="BF332" s="182"/>
      <c r="BG332" s="182"/>
      <c r="BH332" s="182"/>
      <c r="BI332" s="182"/>
      <c r="BJ332" s="182"/>
      <c r="BK332" s="182"/>
      <c r="BL332" s="182"/>
      <c r="BM332" s="182"/>
      <c r="BN332" s="182"/>
      <c r="BO332" s="182"/>
      <c r="BP332" s="182"/>
      <c r="BQ332" s="182"/>
      <c r="BR332" s="182"/>
      <c r="BS332" s="182"/>
      <c r="BT332" s="182"/>
    </row>
    <row r="333" spans="1:72" s="59" customFormat="1" x14ac:dyDescent="0.25">
      <c r="A333" s="218">
        <v>35227658</v>
      </c>
      <c r="B333" s="116" t="s">
        <v>5413</v>
      </c>
      <c r="C333" s="183">
        <v>9</v>
      </c>
      <c r="D333" s="23" t="str" cm="1">
        <f t="array" ref="D333">IFERROR(_xlfn.IFS(U333&lt;727,"MEET", AB333="FRRB","MEET", AB333="PSPS","MEET"),"No")</f>
        <v>MEET</v>
      </c>
      <c r="E333" s="23" t="str" cm="1">
        <f t="array" ref="E333">IFERROR(_xlfn.IFS(AM333&gt;0,"MEET", AN333&gt;0,"MEET"),"No")</f>
        <v>No</v>
      </c>
      <c r="F333" s="100">
        <v>2021274</v>
      </c>
      <c r="G333" s="96"/>
      <c r="H333" s="37">
        <f t="shared" si="74"/>
        <v>0.04</v>
      </c>
      <c r="I333" s="37">
        <f t="shared" si="75"/>
        <v>0.04</v>
      </c>
      <c r="J333" s="183">
        <v>2021</v>
      </c>
      <c r="K333" s="182"/>
      <c r="L333" s="182"/>
      <c r="M333" s="37">
        <f t="shared" si="77"/>
        <v>0</v>
      </c>
      <c r="N333" s="21">
        <v>0</v>
      </c>
      <c r="O333" s="183" t="s">
        <v>4878</v>
      </c>
      <c r="P333" s="182">
        <v>63601104</v>
      </c>
      <c r="Q333" s="182" t="s">
        <v>4465</v>
      </c>
      <c r="R333" s="183" t="s">
        <v>4464</v>
      </c>
      <c r="S333" s="38">
        <f>IFERROR(VLOOKUP(R333,[47]conductor_pz_summary_hftd_23_re!$B$2:$Q$3636,8,FALSE),0)</f>
        <v>140</v>
      </c>
      <c r="T333" s="201">
        <f>IFERROR(VLOOKUP(R333,[48]conductor_pz_summary_hftd_23_re!$B$2:$H$3636,7,0),0)/1609</f>
        <v>14.660160930794284</v>
      </c>
      <c r="U333" s="23">
        <f>IFERROR(VLOOKUP(R333,[47]conductor_pz_summary_hftd_23_re!$B$2:$Q$3636,14,FALSE),0)</f>
        <v>42</v>
      </c>
      <c r="V333" s="37">
        <f t="shared" si="72"/>
        <v>62.498549265155361</v>
      </c>
      <c r="W333" s="202">
        <f>IFERROR(VLOOKUP(R333,[47]conductor_pz_summary_hftd_23_re!$B$2:$Q$3636,13,FALSE),0)</f>
        <v>0.446418209036824</v>
      </c>
      <c r="X333" s="73">
        <f>IFERROR(VLOOKUP(R333,conductor_pz_summary_hftd_23_re!$B$2:$N$3636,13,FALSE),0)</f>
        <v>86</v>
      </c>
      <c r="Y333" s="203">
        <f t="shared" si="73"/>
        <v>0.10572626242595251</v>
      </c>
      <c r="Z333" s="182"/>
      <c r="AA333" s="183" t="s">
        <v>4871</v>
      </c>
      <c r="AB333" s="183" t="s">
        <v>5298</v>
      </c>
      <c r="AC333" s="182" t="s">
        <v>5450</v>
      </c>
      <c r="AD333" s="182" t="s">
        <v>5453</v>
      </c>
      <c r="AE333" s="182" t="s">
        <v>5278</v>
      </c>
      <c r="AF333" s="182" t="s">
        <v>4875</v>
      </c>
      <c r="AG333" s="183">
        <v>5794545</v>
      </c>
      <c r="AH333" s="183" t="s">
        <v>6300</v>
      </c>
      <c r="AI333" s="183">
        <v>120462182</v>
      </c>
      <c r="AJ333" s="183">
        <v>35227658</v>
      </c>
      <c r="AK333" s="183" t="s">
        <v>6295</v>
      </c>
      <c r="AL333" s="205">
        <f>0.04*5280</f>
        <v>211.20000000000002</v>
      </c>
      <c r="AM333" s="205">
        <v>0</v>
      </c>
      <c r="AN333" s="205">
        <v>0</v>
      </c>
      <c r="AO333" s="205">
        <v>0</v>
      </c>
      <c r="AP333" s="117"/>
      <c r="AQ333" s="39" t="s">
        <v>5628</v>
      </c>
      <c r="AR333" s="183"/>
      <c r="AS333" s="183"/>
      <c r="AT333" s="92"/>
      <c r="AU333" s="48" t="s">
        <v>6390</v>
      </c>
      <c r="AV333" s="183"/>
      <c r="AW333" s="183"/>
      <c r="AX333" s="183"/>
      <c r="AY333" s="23"/>
      <c r="AZ333" s="40"/>
      <c r="BA333" s="173"/>
      <c r="BB333" s="188"/>
      <c r="BC333" s="189"/>
      <c r="BD333" s="191">
        <f t="shared" si="76"/>
        <v>0</v>
      </c>
      <c r="BE333" s="182"/>
      <c r="BF333" s="182"/>
      <c r="BG333" s="182"/>
      <c r="BH333" s="182"/>
      <c r="BI333" s="182"/>
      <c r="BJ333" s="182"/>
      <c r="BK333" s="182"/>
      <c r="BL333" s="182"/>
      <c r="BM333" s="182"/>
      <c r="BN333" s="182"/>
      <c r="BO333" s="182"/>
      <c r="BP333" s="182"/>
      <c r="BQ333" s="182"/>
      <c r="BR333" s="182"/>
      <c r="BS333" s="182"/>
      <c r="BT333" s="182"/>
    </row>
    <row r="334" spans="1:72" s="159" customFormat="1" x14ac:dyDescent="0.25">
      <c r="A334" s="218">
        <v>35227659</v>
      </c>
      <c r="B334" s="116" t="s">
        <v>5413</v>
      </c>
      <c r="C334" s="183">
        <v>9</v>
      </c>
      <c r="D334" s="23" t="str" cm="1">
        <f t="array" ref="D334">IFERROR(_xlfn.IFS(U334&lt;727,"MEET", AB334="FRRB","MEET", AB334="PSPS","MEET"),"No")</f>
        <v>MEET</v>
      </c>
      <c r="E334" s="23" t="str" cm="1">
        <f t="array" ref="E334">IFERROR(_xlfn.IFS(AM334&gt;0,"MEET", AN334&gt;0,"MEET"),"No")</f>
        <v>No</v>
      </c>
      <c r="F334" s="100">
        <v>2021275</v>
      </c>
      <c r="G334" s="96"/>
      <c r="H334" s="37">
        <f t="shared" si="74"/>
        <v>0.24000000000000002</v>
      </c>
      <c r="I334" s="37">
        <f t="shared" si="75"/>
        <v>0.24000000000000002</v>
      </c>
      <c r="J334" s="183">
        <v>2021</v>
      </c>
      <c r="K334" s="182"/>
      <c r="L334" s="182"/>
      <c r="M334" s="37">
        <f t="shared" si="77"/>
        <v>0</v>
      </c>
      <c r="N334" s="21">
        <v>0</v>
      </c>
      <c r="O334" s="183" t="s">
        <v>4878</v>
      </c>
      <c r="P334" s="182">
        <v>63601104</v>
      </c>
      <c r="Q334" s="182" t="s">
        <v>4465</v>
      </c>
      <c r="R334" s="183" t="s">
        <v>4464</v>
      </c>
      <c r="S334" s="38">
        <f>IFERROR(VLOOKUP(R334,[47]conductor_pz_summary_hftd_23_re!$B$2:$Q$3636,8,FALSE),0)</f>
        <v>140</v>
      </c>
      <c r="T334" s="201">
        <f>IFERROR(VLOOKUP(R334,[48]conductor_pz_summary_hftd_23_re!$B$2:$H$3636,7,0),0)/1609</f>
        <v>14.660160930794284</v>
      </c>
      <c r="U334" s="23">
        <f>IFERROR(VLOOKUP(R334,[47]conductor_pz_summary_hftd_23_re!$B$2:$Q$3636,14,FALSE),0)</f>
        <v>42</v>
      </c>
      <c r="V334" s="37">
        <f t="shared" si="72"/>
        <v>62.498549265155361</v>
      </c>
      <c r="W334" s="202">
        <f>IFERROR(VLOOKUP(R334,[47]conductor_pz_summary_hftd_23_re!$B$2:$Q$3636,13,FALSE),0)</f>
        <v>0.446418209036824</v>
      </c>
      <c r="X334" s="160">
        <f>IFERROR(VLOOKUP(R334,conductor_pz_summary_hftd_23_re!$B$2:$N$3636,13,FALSE),0)</f>
        <v>86</v>
      </c>
      <c r="Y334" s="203">
        <f t="shared" si="73"/>
        <v>0.63435757455571518</v>
      </c>
      <c r="Z334" s="182"/>
      <c r="AA334" s="183" t="s">
        <v>4871</v>
      </c>
      <c r="AB334" s="183" t="s">
        <v>5298</v>
      </c>
      <c r="AC334" s="182" t="s">
        <v>5450</v>
      </c>
      <c r="AD334" s="182" t="s">
        <v>5453</v>
      </c>
      <c r="AE334" s="182" t="s">
        <v>5278</v>
      </c>
      <c r="AF334" s="182" t="s">
        <v>4875</v>
      </c>
      <c r="AG334" s="183">
        <v>5794545</v>
      </c>
      <c r="AH334" s="183" t="s">
        <v>6301</v>
      </c>
      <c r="AI334" s="183">
        <v>120462184</v>
      </c>
      <c r="AJ334" s="183">
        <v>35227659</v>
      </c>
      <c r="AK334" s="183" t="s">
        <v>6296</v>
      </c>
      <c r="AL334" s="205">
        <f>0.24*5280</f>
        <v>1267.2</v>
      </c>
      <c r="AM334" s="205">
        <v>0</v>
      </c>
      <c r="AN334" s="205">
        <v>0</v>
      </c>
      <c r="AO334" s="205">
        <v>0</v>
      </c>
      <c r="AP334" s="117"/>
      <c r="AQ334" s="39" t="s">
        <v>5628</v>
      </c>
      <c r="AR334" s="183"/>
      <c r="AS334" s="183"/>
      <c r="AT334" s="92"/>
      <c r="AU334" s="48" t="s">
        <v>6390</v>
      </c>
      <c r="AV334" s="183"/>
      <c r="AW334" s="183"/>
      <c r="AX334" s="183"/>
      <c r="AY334" s="23"/>
      <c r="AZ334" s="40"/>
      <c r="BA334" s="173"/>
      <c r="BB334" s="188"/>
      <c r="BC334" s="189"/>
      <c r="BD334" s="191">
        <f t="shared" si="76"/>
        <v>0</v>
      </c>
      <c r="BE334" s="182"/>
      <c r="BF334" s="182"/>
      <c r="BG334" s="182"/>
      <c r="BH334" s="182"/>
      <c r="BI334" s="182"/>
      <c r="BJ334" s="182"/>
      <c r="BK334" s="182"/>
      <c r="BL334" s="182"/>
      <c r="BM334" s="182"/>
      <c r="BN334" s="182"/>
      <c r="BO334" s="182"/>
      <c r="BP334" s="182"/>
      <c r="BQ334" s="182"/>
      <c r="BR334" s="182"/>
      <c r="BS334" s="182"/>
      <c r="BT334" s="182"/>
    </row>
    <row r="335" spans="1:72" s="159" customFormat="1" x14ac:dyDescent="0.25">
      <c r="A335" s="218">
        <v>35219280</v>
      </c>
      <c r="B335" s="116" t="s">
        <v>5413</v>
      </c>
      <c r="C335" s="183">
        <v>13</v>
      </c>
      <c r="D335" s="23" t="str" cm="1">
        <f t="array" ref="D335">IFERROR(_xlfn.IFS(U335&lt;727,"MEET", AB335="FRRB","MEET", AB335="PSPS","MEET"),"No")</f>
        <v>MEET</v>
      </c>
      <c r="E335" s="23" t="str" cm="1">
        <f t="array" ref="E335">IFERROR(_xlfn.IFS(AM335&gt;0,"MEET", AN335&gt;0,"MEET"),"No")</f>
        <v>MEET</v>
      </c>
      <c r="F335" s="100">
        <v>2021276</v>
      </c>
      <c r="G335" s="188"/>
      <c r="H335" s="37">
        <f t="shared" si="74"/>
        <v>0.15151515151515152</v>
      </c>
      <c r="I335" s="37">
        <f t="shared" si="75"/>
        <v>0.15151515151515152</v>
      </c>
      <c r="J335" s="183">
        <v>2021</v>
      </c>
      <c r="K335" s="182"/>
      <c r="L335" s="182"/>
      <c r="M335" s="37">
        <f t="shared" si="77"/>
        <v>0</v>
      </c>
      <c r="N335" s="21">
        <v>4376.2700000000004</v>
      </c>
      <c r="O335" s="183" t="s">
        <v>4878</v>
      </c>
      <c r="P335" s="182">
        <v>42281105</v>
      </c>
      <c r="Q335" s="182" t="s">
        <v>3420</v>
      </c>
      <c r="R335" s="183" t="s">
        <v>3422</v>
      </c>
      <c r="S335" s="38">
        <f>IFERROR(VLOOKUP(R335,[47]conductor_pz_summary_hftd_23_re!$B$2:$Q$3636,8,FALSE),0)</f>
        <v>101</v>
      </c>
      <c r="T335" s="201">
        <f>IFERROR(VLOOKUP(R335,[48]conductor_pz_summary_hftd_23_re!$B$2:$H$3636,7,0),0)/1609</f>
        <v>1.6450859394185147</v>
      </c>
      <c r="U335" s="23">
        <f>IFERROR(VLOOKUP(R335,[47]conductor_pz_summary_hftd_23_re!$B$2:$Q$3636,14,FALSE),0)</f>
        <v>43</v>
      </c>
      <c r="V335" s="37">
        <f t="shared" si="72"/>
        <v>44.704557679382383</v>
      </c>
      <c r="W335" s="202">
        <f>IFERROR(VLOOKUP(R335,[47]conductor_pz_summary_hftd_23_re!$B$2:$Q$3636,13,FALSE),0)</f>
        <v>0.44261938296418202</v>
      </c>
      <c r="X335" s="160">
        <f>IFERROR(VLOOKUP(R335,conductor_pz_summary_hftd_23_re!$B$2:$N$3636,13,FALSE),0)</f>
        <v>427</v>
      </c>
      <c r="Y335" s="203">
        <f t="shared" si="73"/>
        <v>4.0761904841747061</v>
      </c>
      <c r="Z335" s="182"/>
      <c r="AA335" s="183" t="s">
        <v>4903</v>
      </c>
      <c r="AB335" s="183" t="s">
        <v>5298</v>
      </c>
      <c r="AC335" s="182" t="s">
        <v>5467</v>
      </c>
      <c r="AD335" s="182" t="s">
        <v>5468</v>
      </c>
      <c r="AE335" s="182" t="s">
        <v>4874</v>
      </c>
      <c r="AF335" s="182" t="s">
        <v>4875</v>
      </c>
      <c r="AG335" s="183">
        <v>5794548</v>
      </c>
      <c r="AH335" s="183" t="s">
        <v>5403</v>
      </c>
      <c r="AI335" s="183">
        <v>120142216</v>
      </c>
      <c r="AJ335" s="183">
        <v>35219280</v>
      </c>
      <c r="AK335" s="183" t="s">
        <v>6116</v>
      </c>
      <c r="AL335" s="205">
        <v>0</v>
      </c>
      <c r="AM335" s="205">
        <v>800</v>
      </c>
      <c r="AN335" s="205">
        <v>0</v>
      </c>
      <c r="AO335" s="205">
        <v>0</v>
      </c>
      <c r="AP335" s="117"/>
      <c r="AQ335" s="39" t="s">
        <v>5572</v>
      </c>
      <c r="AR335" s="183">
        <f>AS335*5280</f>
        <v>9820.8000000000011</v>
      </c>
      <c r="AS335" s="183">
        <v>1.86</v>
      </c>
      <c r="AT335" s="92">
        <v>2340000</v>
      </c>
      <c r="AU335" s="39" t="s">
        <v>6330</v>
      </c>
      <c r="AV335" s="183"/>
      <c r="AW335" s="183"/>
      <c r="AX335" s="183"/>
      <c r="AY335" s="23">
        <f>AW335+AX335</f>
        <v>0</v>
      </c>
      <c r="AZ335" s="40">
        <f>AY335/5280</f>
        <v>0</v>
      </c>
      <c r="BA335" s="173"/>
      <c r="BB335" s="188"/>
      <c r="BC335" s="189"/>
      <c r="BD335" s="191">
        <f t="shared" si="76"/>
        <v>0</v>
      </c>
      <c r="BE335" s="182"/>
      <c r="BF335" s="182"/>
      <c r="BG335" s="182"/>
      <c r="BH335" s="182"/>
      <c r="BI335" s="182"/>
      <c r="BJ335" s="182"/>
      <c r="BK335" s="182"/>
      <c r="BL335" s="182"/>
      <c r="BM335" s="182"/>
      <c r="BN335" s="182"/>
      <c r="BO335" s="182"/>
      <c r="BP335" s="182"/>
      <c r="BQ335" s="182"/>
      <c r="BR335" s="182"/>
      <c r="BS335" s="182"/>
      <c r="BT335" s="182"/>
    </row>
    <row r="336" spans="1:72" s="159" customFormat="1" x14ac:dyDescent="0.25">
      <c r="A336" s="218">
        <v>35226632</v>
      </c>
      <c r="B336" s="116" t="s">
        <v>5413</v>
      </c>
      <c r="C336" s="183">
        <v>13</v>
      </c>
      <c r="D336" s="23" t="str" cm="1">
        <f t="array" ref="D336">IFERROR(_xlfn.IFS(U336&lt;727,"MEET", AB336="FRRB","MEET", AB336="PSPS","MEET"),"No")</f>
        <v>MEET</v>
      </c>
      <c r="E336" s="23" t="str" cm="1">
        <f t="array" ref="E336">IFERROR(_xlfn.IFS(AM336&gt;0,"MEET", AN336&gt;0,"MEET"),"No")</f>
        <v>No</v>
      </c>
      <c r="F336" s="100">
        <v>2021277</v>
      </c>
      <c r="G336" s="188"/>
      <c r="H336" s="37">
        <f t="shared" si="74"/>
        <v>1.6827651515151516</v>
      </c>
      <c r="I336" s="37">
        <f t="shared" si="75"/>
        <v>1.6827651515151516</v>
      </c>
      <c r="J336" s="183">
        <v>2021</v>
      </c>
      <c r="K336" s="182"/>
      <c r="L336" s="182"/>
      <c r="M336" s="37">
        <f t="shared" si="77"/>
        <v>0</v>
      </c>
      <c r="N336" s="21">
        <v>919.75</v>
      </c>
      <c r="O336" s="183" t="s">
        <v>4878</v>
      </c>
      <c r="P336" s="182">
        <v>42281105</v>
      </c>
      <c r="Q336" s="182" t="s">
        <v>3420</v>
      </c>
      <c r="R336" s="183" t="s">
        <v>3422</v>
      </c>
      <c r="S336" s="38">
        <f>IFERROR(VLOOKUP(R336,[47]conductor_pz_summary_hftd_23_re!$B$2:$Q$3636,8,FALSE),0)</f>
        <v>101</v>
      </c>
      <c r="T336" s="201">
        <f>IFERROR(VLOOKUP(R336,[48]conductor_pz_summary_hftd_23_re!$B$2:$H$3636,7,0),0)/1609</f>
        <v>1.6450859394185147</v>
      </c>
      <c r="U336" s="23">
        <f>IFERROR(VLOOKUP(R336,[47]conductor_pz_summary_hftd_23_re!$B$2:$Q$3636,14,FALSE),0)</f>
        <v>43</v>
      </c>
      <c r="V336" s="37">
        <f t="shared" si="72"/>
        <v>44.704557679382383</v>
      </c>
      <c r="W336" s="202">
        <f>IFERROR(VLOOKUP(R336,[47]conductor_pz_summary_hftd_23_re!$B$2:$Q$3636,13,FALSE),0)</f>
        <v>0.44261938296418202</v>
      </c>
      <c r="X336" s="160">
        <f>IFERROR(VLOOKUP(R336,conductor_pz_summary_hftd_23_re!$B$2:$N$3636,13,FALSE),0)</f>
        <v>427</v>
      </c>
      <c r="Y336" s="203">
        <f t="shared" si="73"/>
        <v>28.351654697188394</v>
      </c>
      <c r="Z336" s="182"/>
      <c r="AA336" s="183"/>
      <c r="AB336" s="183" t="s">
        <v>5298</v>
      </c>
      <c r="AC336" s="182" t="s">
        <v>5467</v>
      </c>
      <c r="AD336" s="182" t="s">
        <v>5468</v>
      </c>
      <c r="AE336" s="182" t="s">
        <v>4874</v>
      </c>
      <c r="AF336" s="182" t="s">
        <v>4875</v>
      </c>
      <c r="AG336" s="183">
        <v>5794548</v>
      </c>
      <c r="AH336" s="183" t="s">
        <v>6115</v>
      </c>
      <c r="AI336" s="183">
        <v>120445424</v>
      </c>
      <c r="AJ336" s="183">
        <v>35226632</v>
      </c>
      <c r="AK336" s="183" t="s">
        <v>6117</v>
      </c>
      <c r="AL336" s="205">
        <v>8885</v>
      </c>
      <c r="AM336" s="205">
        <v>0</v>
      </c>
      <c r="AN336" s="205">
        <v>0</v>
      </c>
      <c r="AO336" s="205">
        <v>0</v>
      </c>
      <c r="AP336" s="117"/>
      <c r="AQ336" s="39" t="s">
        <v>5572</v>
      </c>
      <c r="AR336" s="183" t="s">
        <v>4883</v>
      </c>
      <c r="AS336" s="183" t="s">
        <v>4883</v>
      </c>
      <c r="AT336" s="163" t="s">
        <v>4883</v>
      </c>
      <c r="AU336" s="39" t="s">
        <v>6330</v>
      </c>
      <c r="AV336" s="183"/>
      <c r="AW336" s="183"/>
      <c r="AX336" s="183"/>
      <c r="AY336" s="23"/>
      <c r="AZ336" s="40"/>
      <c r="BA336" s="173"/>
      <c r="BB336" s="188"/>
      <c r="BC336" s="189"/>
      <c r="BD336" s="191">
        <f t="shared" si="76"/>
        <v>0</v>
      </c>
      <c r="BE336" s="182"/>
      <c r="BF336" s="182"/>
      <c r="BG336" s="182"/>
      <c r="BH336" s="182"/>
      <c r="BI336" s="182"/>
      <c r="BJ336" s="182"/>
      <c r="BK336" s="182"/>
      <c r="BL336" s="182"/>
      <c r="BM336" s="182"/>
      <c r="BN336" s="182"/>
      <c r="BO336" s="182"/>
      <c r="BP336" s="182"/>
      <c r="BQ336" s="182"/>
      <c r="BR336" s="182"/>
      <c r="BS336" s="182"/>
      <c r="BT336" s="182"/>
    </row>
    <row r="337" spans="1:72" s="159" customFormat="1" x14ac:dyDescent="0.25">
      <c r="A337" s="218">
        <v>35219281</v>
      </c>
      <c r="B337" s="116" t="s">
        <v>5413</v>
      </c>
      <c r="C337" s="183">
        <v>13</v>
      </c>
      <c r="D337" s="23" t="str" cm="1">
        <f t="array" ref="D337">IFERROR(_xlfn.IFS(U337&lt;727,"MEET", AB337="FRRB","MEET", AB337="PSPS","MEET"),"No")</f>
        <v>MEET</v>
      </c>
      <c r="E337" s="23" t="str" cm="1">
        <f t="array" ref="E337">IFERROR(_xlfn.IFS(AM337&gt;0,"MEET", AN337&gt;0,"MEET"),"No")</f>
        <v>MEET</v>
      </c>
      <c r="F337" s="100">
        <v>2021278</v>
      </c>
      <c r="G337" s="188"/>
      <c r="H337" s="37">
        <f t="shared" si="74"/>
        <v>2.5</v>
      </c>
      <c r="I337" s="37">
        <f t="shared" si="75"/>
        <v>2.5</v>
      </c>
      <c r="J337" s="183">
        <v>2021</v>
      </c>
      <c r="K337" s="182"/>
      <c r="L337" s="182"/>
      <c r="M337" s="37">
        <f t="shared" si="77"/>
        <v>0</v>
      </c>
      <c r="N337" s="21">
        <v>18741.89</v>
      </c>
      <c r="O337" s="183" t="s">
        <v>4878</v>
      </c>
      <c r="P337" s="182">
        <v>152282101</v>
      </c>
      <c r="Q337" s="182" t="s">
        <v>2681</v>
      </c>
      <c r="R337" s="183" t="s">
        <v>2690</v>
      </c>
      <c r="S337" s="38">
        <f>IFERROR(VLOOKUP(R337,[47]conductor_pz_summary_hftd_23_re!$B$2:$Q$3636,8,FALSE),0)</f>
        <v>58</v>
      </c>
      <c r="T337" s="201">
        <f>IFERROR(VLOOKUP(R337,[48]conductor_pz_summary_hftd_23_re!$B$2:$H$3636,7,0),0)/1609</f>
        <v>5.7103623206985512</v>
      </c>
      <c r="U337" s="23">
        <f>IFERROR(VLOOKUP(R337,[47]conductor_pz_summary_hftd_23_re!$B$2:$Q$3636,14,FALSE),0)</f>
        <v>45</v>
      </c>
      <c r="V337" s="37">
        <f t="shared" si="72"/>
        <v>25.247337522026598</v>
      </c>
      <c r="W337" s="202">
        <f>IFERROR(VLOOKUP(R337,[47]conductor_pz_summary_hftd_23_re!$B$2:$Q$3636,13,FALSE),0)</f>
        <v>0.43529892279356203</v>
      </c>
      <c r="X337" s="160">
        <f>IFERROR(VLOOKUP(R337,conductor_pz_summary_hftd_23_re!$B$2:$N$3636,13,FALSE),0)</f>
        <v>135</v>
      </c>
      <c r="Y337" s="203">
        <f t="shared" si="73"/>
        <v>10.942766300575434</v>
      </c>
      <c r="Z337" s="182"/>
      <c r="AA337" s="183"/>
      <c r="AB337" s="183" t="s">
        <v>5298</v>
      </c>
      <c r="AC337" s="182" t="s">
        <v>5469</v>
      </c>
      <c r="AD337" s="182" t="s">
        <v>4886</v>
      </c>
      <c r="AE337" s="182" t="s">
        <v>4887</v>
      </c>
      <c r="AF337" s="182" t="s">
        <v>4875</v>
      </c>
      <c r="AG337" s="183">
        <v>5794551</v>
      </c>
      <c r="AH337" s="183" t="s">
        <v>5404</v>
      </c>
      <c r="AI337" s="183">
        <v>120142240</v>
      </c>
      <c r="AJ337" s="183">
        <v>35219281</v>
      </c>
      <c r="AK337" s="183" t="s">
        <v>6455</v>
      </c>
      <c r="AL337" s="205">
        <v>0</v>
      </c>
      <c r="AM337" s="205">
        <v>13200</v>
      </c>
      <c r="AN337" s="205">
        <v>0</v>
      </c>
      <c r="AO337" s="205">
        <v>0</v>
      </c>
      <c r="AP337" s="117"/>
      <c r="AQ337" s="39" t="s">
        <v>5591</v>
      </c>
      <c r="AR337" s="183">
        <f>AS337*5280</f>
        <v>30940.800000000003</v>
      </c>
      <c r="AS337" s="183">
        <v>5.86</v>
      </c>
      <c r="AT337" s="92">
        <v>8236794</v>
      </c>
      <c r="AU337" s="39" t="s">
        <v>6571</v>
      </c>
      <c r="AV337" s="183"/>
      <c r="AW337" s="183"/>
      <c r="AX337" s="183"/>
      <c r="AY337" s="23">
        <f>AW337+AX337</f>
        <v>0</v>
      </c>
      <c r="AZ337" s="40">
        <f>AY337/5280</f>
        <v>0</v>
      </c>
      <c r="BA337" s="173"/>
      <c r="BB337" s="188"/>
      <c r="BC337" s="189"/>
      <c r="BD337" s="191">
        <f t="shared" si="76"/>
        <v>0</v>
      </c>
      <c r="BE337" s="182"/>
      <c r="BF337" s="182"/>
      <c r="BG337" s="182"/>
      <c r="BH337" s="182"/>
      <c r="BI337" s="182"/>
      <c r="BJ337" s="182"/>
      <c r="BK337" s="182"/>
      <c r="BL337" s="182"/>
      <c r="BM337" s="182"/>
      <c r="BN337" s="182"/>
      <c r="BO337" s="182"/>
      <c r="BP337" s="182"/>
      <c r="BQ337" s="182"/>
      <c r="BR337" s="182"/>
      <c r="BS337" s="182"/>
      <c r="BT337" s="182"/>
    </row>
    <row r="338" spans="1:72" s="159" customFormat="1" x14ac:dyDescent="0.25">
      <c r="A338" s="218" t="s">
        <v>6453</v>
      </c>
      <c r="B338" s="116" t="s">
        <v>5413</v>
      </c>
      <c r="C338" s="183">
        <v>13</v>
      </c>
      <c r="D338" s="23" t="str" cm="1">
        <f t="array" ref="D338">IFERROR(_xlfn.IFS(U338&lt;727,"MEET", AB338="FRRB","MEET", AB338="PSPS","MEET"),"No")</f>
        <v>MEET</v>
      </c>
      <c r="E338" s="23" t="str" cm="1">
        <f t="array" ref="E338">IFERROR(_xlfn.IFS(AM338&gt;0,"MEET", AN338&gt;0,"MEET"),"No")</f>
        <v>MEET</v>
      </c>
      <c r="F338" s="100">
        <v>2021279</v>
      </c>
      <c r="G338" s="188"/>
      <c r="H338" s="37">
        <f t="shared" si="74"/>
        <v>1.7100378787878787</v>
      </c>
      <c r="I338" s="37">
        <f t="shared" si="75"/>
        <v>1.7100378787878787</v>
      </c>
      <c r="J338" s="183">
        <v>2021</v>
      </c>
      <c r="K338" s="182"/>
      <c r="L338" s="182"/>
      <c r="M338" s="37">
        <f t="shared" si="77"/>
        <v>0</v>
      </c>
      <c r="N338" s="21"/>
      <c r="O338" s="183" t="s">
        <v>4878</v>
      </c>
      <c r="P338" s="182">
        <v>152282101</v>
      </c>
      <c r="Q338" s="182" t="s">
        <v>2681</v>
      </c>
      <c r="R338" s="183" t="s">
        <v>2690</v>
      </c>
      <c r="S338" s="38">
        <f>IFERROR(VLOOKUP(R338,[47]conductor_pz_summary_hftd_23_re!$B$2:$Q$3636,8,FALSE),0)</f>
        <v>58</v>
      </c>
      <c r="T338" s="201">
        <f>IFERROR(VLOOKUP(R338,[48]conductor_pz_summary_hftd_23_re!$B$2:$H$3636,7,0),0)/1609</f>
        <v>5.7103623206985512</v>
      </c>
      <c r="U338" s="23">
        <f>IFERROR(VLOOKUP(R338,[47]conductor_pz_summary_hftd_23_re!$B$2:$Q$3636,14,FALSE),0)</f>
        <v>45</v>
      </c>
      <c r="V338" s="37">
        <f t="shared" si="72"/>
        <v>25.247337522026598</v>
      </c>
      <c r="W338" s="202">
        <f>IFERROR(VLOOKUP(R338,[47]conductor_pz_summary_hftd_23_re!$B$2:$Q$3636,13,FALSE),0)</f>
        <v>0.43529892279356203</v>
      </c>
      <c r="X338" s="160">
        <f>IFERROR(VLOOKUP(R338,conductor_pz_summary_hftd_23_re!$B$2:$N$3636,13,FALSE),0)</f>
        <v>135</v>
      </c>
      <c r="Y338" s="203">
        <f t="shared" si="73"/>
        <v>7.4850179490829971</v>
      </c>
      <c r="Z338" s="182"/>
      <c r="AA338" s="183"/>
      <c r="AB338" s="183" t="s">
        <v>5298</v>
      </c>
      <c r="AC338" s="182" t="s">
        <v>5469</v>
      </c>
      <c r="AD338" s="182" t="s">
        <v>4886</v>
      </c>
      <c r="AE338" s="182" t="s">
        <v>4887</v>
      </c>
      <c r="AF338" s="182" t="s">
        <v>4875</v>
      </c>
      <c r="AG338" s="183">
        <v>5794551</v>
      </c>
      <c r="AH338" s="183" t="s">
        <v>6443</v>
      </c>
      <c r="AI338" s="183">
        <v>120529254</v>
      </c>
      <c r="AJ338" s="183" t="s">
        <v>6453</v>
      </c>
      <c r="AK338" s="183" t="s">
        <v>6445</v>
      </c>
      <c r="AL338" s="205">
        <v>0</v>
      </c>
      <c r="AM338" s="205">
        <v>9029</v>
      </c>
      <c r="AN338" s="205">
        <v>0</v>
      </c>
      <c r="AO338" s="205">
        <v>0</v>
      </c>
      <c r="AP338" s="117"/>
      <c r="AQ338" s="39" t="s">
        <v>5591</v>
      </c>
      <c r="AR338" s="183"/>
      <c r="AS338" s="183"/>
      <c r="AT338" s="92"/>
      <c r="AU338" s="39" t="s">
        <v>6571</v>
      </c>
      <c r="AV338" s="183"/>
      <c r="AW338" s="183"/>
      <c r="AX338" s="183"/>
      <c r="AY338" s="23"/>
      <c r="AZ338" s="40"/>
      <c r="BA338" s="173"/>
      <c r="BB338" s="188"/>
      <c r="BC338" s="189"/>
      <c r="BD338" s="191">
        <f t="shared" si="76"/>
        <v>0</v>
      </c>
      <c r="BE338" s="182"/>
      <c r="BF338" s="182"/>
      <c r="BG338" s="182"/>
      <c r="BH338" s="182"/>
      <c r="BI338" s="182"/>
      <c r="BJ338" s="182"/>
      <c r="BK338" s="182"/>
      <c r="BL338" s="182"/>
      <c r="BM338" s="182"/>
      <c r="BN338" s="182"/>
      <c r="BO338" s="182"/>
      <c r="BP338" s="182"/>
      <c r="BQ338" s="182"/>
      <c r="BR338" s="182"/>
      <c r="BS338" s="182"/>
      <c r="BT338" s="182"/>
    </row>
    <row r="339" spans="1:72" x14ac:dyDescent="0.25">
      <c r="A339" s="218" t="s">
        <v>6454</v>
      </c>
      <c r="B339" s="116" t="s">
        <v>5413</v>
      </c>
      <c r="C339" s="183">
        <v>13</v>
      </c>
      <c r="D339" s="23" t="str" cm="1">
        <f t="array" ref="D339">IFERROR(_xlfn.IFS(U339&lt;727,"MEET", AB339="FRRB","MEET", AB339="PSPS","MEET"),"No")</f>
        <v>MEET</v>
      </c>
      <c r="E339" s="23" t="str" cm="1">
        <f t="array" ref="E339">IFERROR(_xlfn.IFS(AM339&gt;0,"MEET", AN339&gt;0,"MEET"),"No")</f>
        <v>No</v>
      </c>
      <c r="F339" s="100">
        <v>2021280</v>
      </c>
      <c r="H339" s="37">
        <f t="shared" si="74"/>
        <v>1.7399621212121212</v>
      </c>
      <c r="I339" s="37">
        <f t="shared" si="75"/>
        <v>1.7399621212121212</v>
      </c>
      <c r="J339" s="183">
        <v>2021</v>
      </c>
      <c r="K339" s="182"/>
      <c r="L339" s="182"/>
      <c r="M339" s="37">
        <f t="shared" si="77"/>
        <v>0</v>
      </c>
      <c r="N339" s="21"/>
      <c r="O339" s="183" t="s">
        <v>4878</v>
      </c>
      <c r="P339" s="182">
        <v>152282101</v>
      </c>
      <c r="Q339" s="182" t="s">
        <v>2681</v>
      </c>
      <c r="R339" s="183" t="s">
        <v>2690</v>
      </c>
      <c r="S339" s="38">
        <f>IFERROR(VLOOKUP(R339,[47]conductor_pz_summary_hftd_23_re!$B$2:$Q$3636,8,FALSE),0)</f>
        <v>58</v>
      </c>
      <c r="T339" s="201">
        <f>IFERROR(VLOOKUP(R339,[48]conductor_pz_summary_hftd_23_re!$B$2:$H$3636,7,0),0)/1609</f>
        <v>5.7103623206985512</v>
      </c>
      <c r="U339" s="23">
        <f>IFERROR(VLOOKUP(R339,[47]conductor_pz_summary_hftd_23_re!$B$2:$Q$3636,14,FALSE),0)</f>
        <v>45</v>
      </c>
      <c r="V339" s="37">
        <f t="shared" si="72"/>
        <v>25.247337522026598</v>
      </c>
      <c r="W339" s="202">
        <f>IFERROR(VLOOKUP(R339,[47]conductor_pz_summary_hftd_23_re!$B$2:$Q$3636,13,FALSE),0)</f>
        <v>0.43529892279356203</v>
      </c>
      <c r="X339" s="73">
        <f>IFERROR(VLOOKUP(R339,conductor_pz_summary_hftd_23_re!$B$2:$N$3636,13,FALSE),0)</f>
        <v>135</v>
      </c>
      <c r="Y339" s="203">
        <f t="shared" si="73"/>
        <v>4.7696158771120016</v>
      </c>
      <c r="Z339" s="182"/>
      <c r="AA339" s="183"/>
      <c r="AB339" s="183" t="s">
        <v>5298</v>
      </c>
      <c r="AC339" s="182" t="s">
        <v>5469</v>
      </c>
      <c r="AD339" s="182" t="s">
        <v>4886</v>
      </c>
      <c r="AE339" s="182" t="s">
        <v>4887</v>
      </c>
      <c r="AF339" s="182" t="s">
        <v>4875</v>
      </c>
      <c r="AG339" s="183">
        <v>5794551</v>
      </c>
      <c r="AH339" s="183" t="s">
        <v>6444</v>
      </c>
      <c r="AI339" s="183">
        <v>120529255</v>
      </c>
      <c r="AJ339" s="183" t="s">
        <v>6454</v>
      </c>
      <c r="AK339" s="183" t="s">
        <v>6446</v>
      </c>
      <c r="AL339" s="205">
        <v>9187</v>
      </c>
      <c r="AM339" s="205">
        <v>0</v>
      </c>
      <c r="AN339" s="205">
        <v>0</v>
      </c>
      <c r="AO339" s="205">
        <v>0</v>
      </c>
      <c r="AP339" s="117"/>
      <c r="AQ339" s="39" t="s">
        <v>5591</v>
      </c>
      <c r="AR339" s="183"/>
      <c r="AS339" s="183"/>
      <c r="AT339" s="92"/>
      <c r="AU339" s="39" t="s">
        <v>6571</v>
      </c>
      <c r="AV339" s="183"/>
      <c r="AW339" s="183"/>
      <c r="AX339" s="183"/>
      <c r="AY339" s="23"/>
      <c r="AZ339" s="40"/>
      <c r="BD339" s="191">
        <f t="shared" si="76"/>
        <v>0</v>
      </c>
      <c r="BE339" s="182"/>
      <c r="BF339" s="182"/>
      <c r="BG339" s="182"/>
      <c r="BH339" s="182"/>
      <c r="BI339" s="182"/>
      <c r="BJ339" s="182"/>
      <c r="BK339" s="182"/>
      <c r="BL339" s="182"/>
      <c r="BM339" s="182"/>
      <c r="BN339" s="182"/>
      <c r="BO339" s="182"/>
      <c r="BP339" s="182"/>
      <c r="BQ339" s="182"/>
      <c r="BR339" s="182"/>
      <c r="BS339" s="182"/>
      <c r="BT339" s="182"/>
    </row>
    <row r="340" spans="1:72" s="59" customFormat="1" x14ac:dyDescent="0.25">
      <c r="A340" s="218">
        <v>35219286</v>
      </c>
      <c r="B340" s="116" t="s">
        <v>5413</v>
      </c>
      <c r="C340" s="183">
        <v>11</v>
      </c>
      <c r="D340" s="23" t="str" cm="1">
        <f t="array" ref="D340">IFERROR(_xlfn.IFS(U340&lt;727,"MEET", AB340="FRRB","MEET", AB340="PSPS","MEET"),"No")</f>
        <v>MEET</v>
      </c>
      <c r="E340" s="23" t="str" cm="1">
        <f t="array" ref="E340">IFERROR(_xlfn.IFS(AM340&gt;0,"MEET", AN340&gt;0,"MEET"),"No")</f>
        <v>No</v>
      </c>
      <c r="F340" s="100">
        <v>2021281</v>
      </c>
      <c r="G340" s="188"/>
      <c r="H340" s="37">
        <f t="shared" si="74"/>
        <v>2.9100378787878789</v>
      </c>
      <c r="I340" s="37">
        <f t="shared" si="75"/>
        <v>2.9100378787878789</v>
      </c>
      <c r="J340" s="183">
        <v>2021</v>
      </c>
      <c r="K340" s="182"/>
      <c r="L340" s="182"/>
      <c r="M340" s="37">
        <f t="shared" si="77"/>
        <v>0</v>
      </c>
      <c r="N340" s="21">
        <v>17566.79</v>
      </c>
      <c r="O340" s="183" t="s">
        <v>4878</v>
      </c>
      <c r="P340" s="182">
        <v>103351104</v>
      </c>
      <c r="Q340" s="182" t="s">
        <v>1126</v>
      </c>
      <c r="R340" s="183" t="s">
        <v>1129</v>
      </c>
      <c r="S340" s="38">
        <f>IFERROR(VLOOKUP(R340,[47]conductor_pz_summary_hftd_23_re!$B$2:$Q$3636,8,FALSE),0)</f>
        <v>357</v>
      </c>
      <c r="T340" s="201">
        <f>IFERROR(VLOOKUP(R340,[48]conductor_pz_summary_hftd_23_re!$B$2:$H$3636,7,0),0)/1609</f>
        <v>18.604901027151772</v>
      </c>
      <c r="U340" s="23">
        <f>IFERROR(VLOOKUP(R340,[47]conductor_pz_summary_hftd_23_re!$B$2:$Q$3636,14,FALSE),0)</f>
        <v>48</v>
      </c>
      <c r="V340" s="37">
        <f t="shared" si="72"/>
        <v>151.81632260499768</v>
      </c>
      <c r="W340" s="202">
        <f>IFERROR(VLOOKUP(R340,[47]conductor_pz_summary_hftd_23_re!$B$2:$Q$3636,13,FALSE),0)</f>
        <v>0.42525580561623999</v>
      </c>
      <c r="X340" s="73">
        <f>IFERROR(VLOOKUP(R340,conductor_pz_summary_hftd_23_re!$B$2:$N$3636,13,FALSE),0)</f>
        <v>94</v>
      </c>
      <c r="Y340" s="203">
        <f t="shared" si="73"/>
        <v>14.722495660016083</v>
      </c>
      <c r="Z340" s="182"/>
      <c r="AA340" s="183" t="s">
        <v>4903</v>
      </c>
      <c r="AB340" s="183" t="s">
        <v>5298</v>
      </c>
      <c r="AC340" s="182" t="s">
        <v>5473</v>
      </c>
      <c r="AD340" s="182" t="s">
        <v>5431</v>
      </c>
      <c r="AE340" s="182" t="s">
        <v>5210</v>
      </c>
      <c r="AF340" s="182" t="s">
        <v>4875</v>
      </c>
      <c r="AG340" s="183">
        <v>5794554</v>
      </c>
      <c r="AH340" s="183" t="s">
        <v>5407</v>
      </c>
      <c r="AI340" s="183">
        <v>120142352</v>
      </c>
      <c r="AJ340" s="183">
        <v>35219286</v>
      </c>
      <c r="AK340" s="183" t="s">
        <v>6456</v>
      </c>
      <c r="AL340" s="205">
        <v>15365</v>
      </c>
      <c r="AM340" s="205">
        <v>0</v>
      </c>
      <c r="AN340" s="205">
        <v>0</v>
      </c>
      <c r="AO340" s="205">
        <v>0</v>
      </c>
      <c r="AP340" s="117"/>
      <c r="AQ340" s="39" t="s">
        <v>6093</v>
      </c>
      <c r="AR340" s="183">
        <f>AS340*5280</f>
        <v>31574.400000000001</v>
      </c>
      <c r="AS340" s="183">
        <v>5.98</v>
      </c>
      <c r="AT340" s="92">
        <v>6757905</v>
      </c>
      <c r="AU340" s="210" t="s">
        <v>6569</v>
      </c>
      <c r="AV340" s="182"/>
      <c r="AW340" s="182"/>
      <c r="AX340" s="182">
        <v>15365</v>
      </c>
      <c r="AY340" s="23">
        <f>AW340+AX340</f>
        <v>15365</v>
      </c>
      <c r="AZ340" s="40">
        <f>AY340/5280</f>
        <v>2.9100378787878789</v>
      </c>
      <c r="BA340" s="173"/>
      <c r="BB340" s="188"/>
      <c r="BC340" s="189"/>
      <c r="BD340" s="191">
        <f t="shared" si="76"/>
        <v>0</v>
      </c>
      <c r="BE340" s="182"/>
      <c r="BF340" s="182"/>
      <c r="BG340" s="182"/>
      <c r="BH340" s="182"/>
      <c r="BI340" s="182"/>
      <c r="BJ340" s="182"/>
      <c r="BK340" s="182"/>
      <c r="BL340" s="182"/>
      <c r="BM340" s="182"/>
      <c r="BN340" s="182"/>
      <c r="BO340" s="182"/>
      <c r="BP340" s="182"/>
      <c r="BQ340" s="182"/>
      <c r="BR340" s="182"/>
      <c r="BS340" s="182"/>
      <c r="BT340" s="182"/>
    </row>
    <row r="341" spans="1:72" x14ac:dyDescent="0.25">
      <c r="A341" s="218">
        <v>35232960</v>
      </c>
      <c r="B341" s="116" t="s">
        <v>5413</v>
      </c>
      <c r="C341" s="183">
        <v>11</v>
      </c>
      <c r="D341" s="23" t="str" cm="1">
        <f t="array" ref="D341">IFERROR(_xlfn.IFS(U341&lt;727,"MEET", AB341="FRRB","MEET", AB341="PSPS","MEET"),"No")</f>
        <v>MEET</v>
      </c>
      <c r="E341" s="23" t="str" cm="1">
        <f t="array" ref="E341">IFERROR(_xlfn.IFS(AM341&gt;0,"MEET", AN341&gt;0,"MEET"),"No")</f>
        <v>No</v>
      </c>
      <c r="F341" s="100">
        <v>2021282</v>
      </c>
      <c r="H341" s="37">
        <f t="shared" si="74"/>
        <v>2.9299242424242422</v>
      </c>
      <c r="I341" s="37"/>
      <c r="J341" s="183">
        <v>2021</v>
      </c>
      <c r="K341" s="182"/>
      <c r="L341" s="182"/>
      <c r="M341" s="37">
        <f t="shared" si="77"/>
        <v>0</v>
      </c>
      <c r="N341" s="21">
        <v>8846.26</v>
      </c>
      <c r="O341" s="183" t="s">
        <v>4878</v>
      </c>
      <c r="P341" s="182">
        <v>103351104</v>
      </c>
      <c r="Q341" s="182" t="s">
        <v>1126</v>
      </c>
      <c r="R341" s="183" t="s">
        <v>1129</v>
      </c>
      <c r="S341" s="38">
        <f>IFERROR(VLOOKUP(R341,[47]conductor_pz_summary_hftd_23_re!$B$2:$Q$3636,8,FALSE),0)</f>
        <v>357</v>
      </c>
      <c r="T341" s="201">
        <f>IFERROR(VLOOKUP(R341,[48]conductor_pz_summary_hftd_23_re!$B$2:$H$3636,7,0),0)/1609</f>
        <v>18.604901027151772</v>
      </c>
      <c r="U341" s="23">
        <f>IFERROR(VLOOKUP(R341,[47]conductor_pz_summary_hftd_23_re!$B$2:$Q$3636,14,FALSE),0)</f>
        <v>48</v>
      </c>
      <c r="V341" s="37">
        <f t="shared" si="72"/>
        <v>151.81632260499768</v>
      </c>
      <c r="W341" s="202">
        <f>IFERROR(VLOOKUP(R341,[47]conductor_pz_summary_hftd_23_re!$B$2:$Q$3636,13,FALSE),0)</f>
        <v>0.42525580561623999</v>
      </c>
      <c r="X341" s="73">
        <f>IFERROR(VLOOKUP(R341,conductor_pz_summary_hftd_23_re!$B$2:$N$3636,13,FALSE),0)</f>
        <v>94</v>
      </c>
      <c r="Y341" s="203">
        <f t="shared" si="73"/>
        <v>14.823104969765621</v>
      </c>
      <c r="Z341" s="182"/>
      <c r="AA341" s="183" t="s">
        <v>4903</v>
      </c>
      <c r="AB341" s="183" t="s">
        <v>5298</v>
      </c>
      <c r="AC341" s="182" t="s">
        <v>5473</v>
      </c>
      <c r="AD341" s="182" t="s">
        <v>5431</v>
      </c>
      <c r="AE341" s="182" t="s">
        <v>5210</v>
      </c>
      <c r="AF341" s="182" t="s">
        <v>4875</v>
      </c>
      <c r="AG341" s="183">
        <v>5794554</v>
      </c>
      <c r="AH341" s="211" t="s">
        <v>6458</v>
      </c>
      <c r="AI341" s="211">
        <v>120537723</v>
      </c>
      <c r="AJ341" s="183">
        <f>A341</f>
        <v>35232960</v>
      </c>
      <c r="AK341" s="183" t="s">
        <v>6457</v>
      </c>
      <c r="AL341" s="205">
        <v>15470</v>
      </c>
      <c r="AM341" s="205"/>
      <c r="AN341" s="205"/>
      <c r="AO341" s="205"/>
      <c r="AP341" s="117"/>
      <c r="AQ341" s="39" t="s">
        <v>6093</v>
      </c>
      <c r="AR341" s="183"/>
      <c r="AS341" s="183"/>
      <c r="AT341" s="92"/>
      <c r="AU341" s="210" t="s">
        <v>6569</v>
      </c>
      <c r="AV341" s="182"/>
      <c r="AW341" s="182"/>
      <c r="AX341" s="182">
        <v>15470</v>
      </c>
      <c r="AY341" s="23">
        <f>AW341+AX341</f>
        <v>15470</v>
      </c>
      <c r="AZ341" s="40">
        <f>AY341/5280</f>
        <v>2.9299242424242422</v>
      </c>
      <c r="BD341" s="191"/>
      <c r="BE341" s="182"/>
      <c r="BF341" s="182"/>
      <c r="BG341" s="182"/>
      <c r="BH341" s="182"/>
      <c r="BI341" s="182"/>
      <c r="BJ341" s="182"/>
      <c r="BK341" s="182"/>
      <c r="BL341" s="182"/>
      <c r="BM341" s="182"/>
      <c r="BN341" s="182"/>
      <c r="BO341" s="182"/>
      <c r="BP341" s="182"/>
      <c r="BQ341" s="182"/>
      <c r="BR341" s="182"/>
      <c r="BS341" s="182"/>
      <c r="BT341" s="182"/>
    </row>
    <row r="342" spans="1:72" s="182" customFormat="1" x14ac:dyDescent="0.25">
      <c r="A342" s="218">
        <v>35225825</v>
      </c>
      <c r="B342" s="116" t="s">
        <v>5413</v>
      </c>
      <c r="C342" s="183">
        <v>11</v>
      </c>
      <c r="D342" s="23" t="str" cm="1">
        <f t="array" ref="D342">IFERROR(_xlfn.IFS(U342&lt;727,"MEET", AB342="FRRB","MEET", AB342="PSPS","MEET"),"No")</f>
        <v>MEET</v>
      </c>
      <c r="E342" s="23" t="str" cm="1">
        <f t="array" ref="E342">IFERROR(_xlfn.IFS(AM342&gt;0,"MEET", AN342&gt;0,"MEET"),"No")</f>
        <v>No</v>
      </c>
      <c r="F342" s="100">
        <v>2021283</v>
      </c>
      <c r="G342" s="188">
        <v>10.63</v>
      </c>
      <c r="H342" s="37">
        <f t="shared" si="74"/>
        <v>1.53</v>
      </c>
      <c r="I342" s="37">
        <f t="shared" ref="I342:I347" si="78">H342-M342</f>
        <v>1.53</v>
      </c>
      <c r="J342" s="183">
        <v>2021</v>
      </c>
      <c r="M342" s="37">
        <f t="shared" si="77"/>
        <v>0</v>
      </c>
      <c r="N342" s="21">
        <v>8930.89</v>
      </c>
      <c r="O342" s="183" t="s">
        <v>4878</v>
      </c>
      <c r="P342" s="182">
        <v>103351104</v>
      </c>
      <c r="Q342" s="182" t="s">
        <v>1126</v>
      </c>
      <c r="R342" s="183" t="s">
        <v>1129</v>
      </c>
      <c r="S342" s="38">
        <f>IFERROR(VLOOKUP(R342,[47]conductor_pz_summary_hftd_23_re!$B$2:$Q$3636,8,FALSE),0)</f>
        <v>357</v>
      </c>
      <c r="T342" s="201">
        <f>IFERROR(VLOOKUP(R342,[48]conductor_pz_summary_hftd_23_re!$B$2:$H$3636,7,0),0)/1609</f>
        <v>18.604901027151772</v>
      </c>
      <c r="U342" s="23">
        <f>IFERROR(VLOOKUP(R342,[47]conductor_pz_summary_hftd_23_re!$B$2:$Q$3636,14,FALSE),0)</f>
        <v>48</v>
      </c>
      <c r="V342" s="37">
        <f t="shared" si="72"/>
        <v>151.81632260499768</v>
      </c>
      <c r="W342" s="202">
        <f>IFERROR(VLOOKUP(R342,[47]conductor_pz_summary_hftd_23_re!$B$2:$Q$3636,13,FALSE),0)</f>
        <v>0.42525580561623999</v>
      </c>
      <c r="X342" s="183">
        <f>IFERROR(VLOOKUP(R342,conductor_pz_summary_hftd_23_re!$B$2:$N$3636,13,FALSE),0)</f>
        <v>94</v>
      </c>
      <c r="Y342" s="203">
        <f t="shared" si="73"/>
        <v>7.7405928369589283</v>
      </c>
      <c r="AA342" s="183" t="s">
        <v>4903</v>
      </c>
      <c r="AB342" s="183" t="s">
        <v>5298</v>
      </c>
      <c r="AC342" s="182" t="s">
        <v>5473</v>
      </c>
      <c r="AD342" s="182" t="s">
        <v>5431</v>
      </c>
      <c r="AE342" s="182" t="s">
        <v>5210</v>
      </c>
      <c r="AF342" s="182" t="s">
        <v>4875</v>
      </c>
      <c r="AG342" s="183">
        <v>5794554</v>
      </c>
      <c r="AH342" s="211" t="s">
        <v>6048</v>
      </c>
      <c r="AI342" s="211">
        <v>120426401</v>
      </c>
      <c r="AJ342" s="183">
        <v>35225825</v>
      </c>
      <c r="AK342" s="183" t="s">
        <v>6053</v>
      </c>
      <c r="AL342" s="205">
        <f>1.53*5280</f>
        <v>8078.4000000000005</v>
      </c>
      <c r="AM342" s="205">
        <v>0</v>
      </c>
      <c r="AN342" s="205">
        <v>0</v>
      </c>
      <c r="AO342" s="205">
        <v>0</v>
      </c>
      <c r="AP342" s="117"/>
      <c r="AQ342" s="39" t="s">
        <v>6094</v>
      </c>
      <c r="AR342" s="183">
        <f>AS342*5280</f>
        <v>56126.400000000001</v>
      </c>
      <c r="AS342" s="183">
        <v>10.63</v>
      </c>
      <c r="AT342" s="92">
        <v>9724400</v>
      </c>
      <c r="AU342" s="210" t="s">
        <v>6570</v>
      </c>
      <c r="AY342" s="23"/>
      <c r="AZ342" s="40"/>
      <c r="BA342" s="173"/>
      <c r="BB342" s="188"/>
      <c r="BC342" s="189"/>
      <c r="BD342" s="191">
        <f t="shared" ref="BD342:BD347" si="79">IFERROR(BC342/BB342,0)</f>
        <v>0</v>
      </c>
    </row>
    <row r="343" spans="1:72" s="182" customFormat="1" x14ac:dyDescent="0.25">
      <c r="A343" s="218">
        <v>35232442</v>
      </c>
      <c r="B343" s="116" t="s">
        <v>5413</v>
      </c>
      <c r="C343" s="183">
        <v>11</v>
      </c>
      <c r="D343" s="23" t="str" cm="1">
        <f t="array" ref="D343">IFERROR(_xlfn.IFS(U343&lt;727,"MEET", AB343="FRRB","MEET", AB343="PSPS","MEET"),"No")</f>
        <v>MEET</v>
      </c>
      <c r="E343" s="23" t="str" cm="1">
        <f t="array" ref="E343">IFERROR(_xlfn.IFS(AM343&gt;0,"MEET", AN343&gt;0,"MEET"),"No")</f>
        <v>No</v>
      </c>
      <c r="F343" s="100">
        <v>2021284</v>
      </c>
      <c r="G343" s="188"/>
      <c r="H343" s="37">
        <f t="shared" si="74"/>
        <v>3.1299999999999994</v>
      </c>
      <c r="I343" s="37">
        <f t="shared" si="78"/>
        <v>3.1299999999999994</v>
      </c>
      <c r="J343" s="183">
        <v>2021</v>
      </c>
      <c r="M343" s="37">
        <f t="shared" si="77"/>
        <v>0</v>
      </c>
      <c r="N343" s="21">
        <v>3064.15</v>
      </c>
      <c r="O343" s="183" t="s">
        <v>4878</v>
      </c>
      <c r="P343" s="182">
        <v>103351104</v>
      </c>
      <c r="Q343" s="182" t="s">
        <v>1126</v>
      </c>
      <c r="R343" s="183" t="s">
        <v>1129</v>
      </c>
      <c r="S343" s="38">
        <f>IFERROR(VLOOKUP(R343,[47]conductor_pz_summary_hftd_23_re!$B$2:$Q$3636,8,FALSE),0)</f>
        <v>357</v>
      </c>
      <c r="T343" s="201">
        <f>IFERROR(VLOOKUP(R343,[48]conductor_pz_summary_hftd_23_re!$B$2:$H$3636,7,0),0)/1609</f>
        <v>18.604901027151772</v>
      </c>
      <c r="U343" s="23">
        <f>IFERROR(VLOOKUP(R343,[47]conductor_pz_summary_hftd_23_re!$B$2:$Q$3636,14,FALSE),0)</f>
        <v>48</v>
      </c>
      <c r="V343" s="37">
        <f t="shared" si="72"/>
        <v>151.81632260499768</v>
      </c>
      <c r="W343" s="202">
        <f>IFERROR(VLOOKUP(R343,[47]conductor_pz_summary_hftd_23_re!$B$2:$Q$3636,13,FALSE),0)</f>
        <v>0.42525580561623999</v>
      </c>
      <c r="X343" s="183">
        <f>IFERROR(VLOOKUP(R343,conductor_pz_summary_hftd_23_re!$B$2:$N$3636,13,FALSE),0)</f>
        <v>94</v>
      </c>
      <c r="Y343" s="203">
        <f t="shared" si="73"/>
        <v>15.835330444236234</v>
      </c>
      <c r="AA343" s="183" t="s">
        <v>4903</v>
      </c>
      <c r="AB343" s="183" t="s">
        <v>5298</v>
      </c>
      <c r="AC343" s="182" t="s">
        <v>5473</v>
      </c>
      <c r="AD343" s="182" t="s">
        <v>5431</v>
      </c>
      <c r="AE343" s="182" t="s">
        <v>5210</v>
      </c>
      <c r="AF343" s="182" t="s">
        <v>4875</v>
      </c>
      <c r="AG343" s="183">
        <v>5794554</v>
      </c>
      <c r="AH343" s="183" t="s">
        <v>6433</v>
      </c>
      <c r="AI343" s="183">
        <v>120528704</v>
      </c>
      <c r="AJ343" s="183">
        <v>35232442</v>
      </c>
      <c r="AK343" s="183" t="s">
        <v>6437</v>
      </c>
      <c r="AL343" s="205">
        <f>3.13*5280</f>
        <v>16526.399999999998</v>
      </c>
      <c r="AM343" s="205">
        <v>0</v>
      </c>
      <c r="AN343" s="205">
        <v>0</v>
      </c>
      <c r="AO343" s="205">
        <v>0</v>
      </c>
      <c r="AP343" s="117"/>
      <c r="AQ343" s="39" t="s">
        <v>6094</v>
      </c>
      <c r="AR343" s="183"/>
      <c r="AS343" s="183"/>
      <c r="AT343" s="92"/>
      <c r="AU343" s="210" t="s">
        <v>6570</v>
      </c>
      <c r="AY343" s="23"/>
      <c r="AZ343" s="40"/>
      <c r="BA343" s="173"/>
      <c r="BB343" s="188"/>
      <c r="BC343" s="189"/>
      <c r="BD343" s="191">
        <f t="shared" si="79"/>
        <v>0</v>
      </c>
    </row>
    <row r="344" spans="1:72" x14ac:dyDescent="0.25">
      <c r="A344" s="218">
        <v>35232443</v>
      </c>
      <c r="B344" s="116" t="s">
        <v>5413</v>
      </c>
      <c r="C344" s="183">
        <v>11</v>
      </c>
      <c r="D344" s="23" t="str" cm="1">
        <f t="array" ref="D344">IFERROR(_xlfn.IFS(U344&lt;727,"MEET", AB344="FRRB","MEET", AB344="PSPS","MEET"),"No")</f>
        <v>MEET</v>
      </c>
      <c r="E344" s="23" t="str" cm="1">
        <f t="array" ref="E344">IFERROR(_xlfn.IFS(AM344&gt;0,"MEET", AN344&gt;0,"MEET"),"No")</f>
        <v>No</v>
      </c>
      <c r="F344" s="100">
        <v>2021285</v>
      </c>
      <c r="H344" s="37">
        <f t="shared" si="74"/>
        <v>1</v>
      </c>
      <c r="I344" s="37">
        <f t="shared" si="78"/>
        <v>1</v>
      </c>
      <c r="J344" s="183">
        <v>2021</v>
      </c>
      <c r="K344" s="182"/>
      <c r="L344" s="182"/>
      <c r="M344" s="37">
        <f t="shared" si="77"/>
        <v>0</v>
      </c>
      <c r="N344" s="21">
        <v>3064.15</v>
      </c>
      <c r="O344" s="183" t="s">
        <v>4878</v>
      </c>
      <c r="P344" s="182">
        <v>103351104</v>
      </c>
      <c r="Q344" s="182" t="s">
        <v>1126</v>
      </c>
      <c r="R344" s="183" t="s">
        <v>1129</v>
      </c>
      <c r="S344" s="38">
        <f>IFERROR(VLOOKUP(R344,[47]conductor_pz_summary_hftd_23_re!$B$2:$Q$3636,8,FALSE),0)</f>
        <v>357</v>
      </c>
      <c r="T344" s="201">
        <f>IFERROR(VLOOKUP(R344,[48]conductor_pz_summary_hftd_23_re!$B$2:$H$3636,7,0),0)/1609</f>
        <v>18.604901027151772</v>
      </c>
      <c r="U344" s="23">
        <f>IFERROR(VLOOKUP(R344,[47]conductor_pz_summary_hftd_23_re!$B$2:$Q$3636,14,FALSE),0)</f>
        <v>48</v>
      </c>
      <c r="V344" s="37">
        <f t="shared" si="72"/>
        <v>151.81632260499768</v>
      </c>
      <c r="W344" s="202">
        <f>IFERROR(VLOOKUP(R344,[47]conductor_pz_summary_hftd_23_re!$B$2:$Q$3636,13,FALSE),0)</f>
        <v>0.42525580561623999</v>
      </c>
      <c r="X344" s="73">
        <f>IFERROR(VLOOKUP(R344,conductor_pz_summary_hftd_23_re!$B$2:$N$3636,13,FALSE),0)</f>
        <v>94</v>
      </c>
      <c r="Y344" s="203">
        <f t="shared" si="73"/>
        <v>5.0592110045483185</v>
      </c>
      <c r="Z344" s="182"/>
      <c r="AA344" s="183" t="s">
        <v>4903</v>
      </c>
      <c r="AB344" s="183" t="s">
        <v>5298</v>
      </c>
      <c r="AC344" s="182" t="s">
        <v>5473</v>
      </c>
      <c r="AD344" s="182" t="s">
        <v>5431</v>
      </c>
      <c r="AE344" s="182" t="s">
        <v>5210</v>
      </c>
      <c r="AF344" s="182" t="s">
        <v>4875</v>
      </c>
      <c r="AG344" s="183">
        <v>5794554</v>
      </c>
      <c r="AH344" s="183" t="s">
        <v>6434</v>
      </c>
      <c r="AI344" s="183">
        <v>120528712</v>
      </c>
      <c r="AJ344" s="183">
        <v>35232443</v>
      </c>
      <c r="AK344" s="183" t="s">
        <v>6438</v>
      </c>
      <c r="AL344" s="205">
        <v>5280</v>
      </c>
      <c r="AM344" s="205">
        <v>0</v>
      </c>
      <c r="AN344" s="205">
        <v>0</v>
      </c>
      <c r="AO344" s="205">
        <v>0</v>
      </c>
      <c r="AP344" s="117"/>
      <c r="AQ344" s="39" t="s">
        <v>6094</v>
      </c>
      <c r="AR344" s="183"/>
      <c r="AS344" s="183"/>
      <c r="AT344" s="92"/>
      <c r="AU344" s="210" t="s">
        <v>6570</v>
      </c>
      <c r="AV344" s="182"/>
      <c r="AW344" s="182"/>
      <c r="AX344" s="182"/>
      <c r="AY344" s="23"/>
      <c r="AZ344" s="40"/>
      <c r="BD344" s="191">
        <f t="shared" si="79"/>
        <v>0</v>
      </c>
      <c r="BE344" s="182"/>
      <c r="BF344" s="182"/>
      <c r="BG344" s="182"/>
      <c r="BH344" s="182"/>
      <c r="BI344" s="182"/>
      <c r="BJ344" s="182"/>
      <c r="BK344" s="182"/>
      <c r="BL344" s="182"/>
      <c r="BM344" s="182"/>
      <c r="BN344" s="182"/>
      <c r="BO344" s="182"/>
      <c r="BP344" s="182"/>
      <c r="BQ344" s="182"/>
      <c r="BR344" s="182"/>
      <c r="BS344" s="182"/>
      <c r="BT344" s="182"/>
    </row>
    <row r="345" spans="1:72" x14ac:dyDescent="0.25">
      <c r="A345" s="218">
        <v>35232444</v>
      </c>
      <c r="B345" s="116" t="s">
        <v>5413</v>
      </c>
      <c r="C345" s="183">
        <v>11</v>
      </c>
      <c r="D345" s="23" t="str" cm="1">
        <f t="array" ref="D345">IFERROR(_xlfn.IFS(U345&lt;727,"MEET", AB345="FRRB","MEET", AB345="PSPS","MEET"),"No")</f>
        <v>MEET</v>
      </c>
      <c r="E345" s="23" t="str" cm="1">
        <f t="array" ref="E345">IFERROR(_xlfn.IFS(AM345&gt;0,"MEET", AN345&gt;0,"MEET"),"No")</f>
        <v>No</v>
      </c>
      <c r="F345" s="100">
        <v>2021286</v>
      </c>
      <c r="H345" s="37">
        <f t="shared" si="74"/>
        <v>3.47</v>
      </c>
      <c r="I345" s="37">
        <f t="shared" si="78"/>
        <v>3.47</v>
      </c>
      <c r="J345" s="183">
        <v>2021</v>
      </c>
      <c r="K345" s="182"/>
      <c r="L345" s="182"/>
      <c r="M345" s="37">
        <f t="shared" si="77"/>
        <v>0</v>
      </c>
      <c r="N345" s="21">
        <v>3064.15</v>
      </c>
      <c r="O345" s="183" t="s">
        <v>4878</v>
      </c>
      <c r="P345" s="182">
        <v>103351104</v>
      </c>
      <c r="Q345" s="182" t="s">
        <v>1126</v>
      </c>
      <c r="R345" s="183" t="s">
        <v>1129</v>
      </c>
      <c r="S345" s="38">
        <f>IFERROR(VLOOKUP(R345,[47]conductor_pz_summary_hftd_23_re!$B$2:$Q$3636,8,FALSE),0)</f>
        <v>357</v>
      </c>
      <c r="T345" s="201">
        <f>IFERROR(VLOOKUP(R345,[48]conductor_pz_summary_hftd_23_re!$B$2:$H$3636,7,0),0)/1609</f>
        <v>18.604901027151772</v>
      </c>
      <c r="U345" s="23">
        <f>IFERROR(VLOOKUP(R345,[47]conductor_pz_summary_hftd_23_re!$B$2:$Q$3636,14,FALSE),0)</f>
        <v>48</v>
      </c>
      <c r="V345" s="37">
        <f t="shared" si="72"/>
        <v>151.81632260499768</v>
      </c>
      <c r="W345" s="202">
        <f>IFERROR(VLOOKUP(R345,[47]conductor_pz_summary_hftd_23_re!$B$2:$Q$3636,13,FALSE),0)</f>
        <v>0.42525580561623999</v>
      </c>
      <c r="X345" s="73">
        <f>IFERROR(VLOOKUP(R345,conductor_pz_summary_hftd_23_re!$B$2:$N$3636,13,FALSE),0)</f>
        <v>94</v>
      </c>
      <c r="Y345" s="203">
        <f t="shared" si="73"/>
        <v>17.555462185782666</v>
      </c>
      <c r="Z345" s="182"/>
      <c r="AA345" s="183" t="s">
        <v>4903</v>
      </c>
      <c r="AB345" s="183" t="s">
        <v>5298</v>
      </c>
      <c r="AC345" s="182" t="s">
        <v>5473</v>
      </c>
      <c r="AD345" s="182" t="s">
        <v>5431</v>
      </c>
      <c r="AE345" s="182" t="s">
        <v>5210</v>
      </c>
      <c r="AF345" s="182" t="s">
        <v>4875</v>
      </c>
      <c r="AG345" s="183">
        <v>5794554</v>
      </c>
      <c r="AH345" s="211" t="s">
        <v>6435</v>
      </c>
      <c r="AI345" s="211">
        <v>120528751</v>
      </c>
      <c r="AJ345" s="183">
        <v>35232444</v>
      </c>
      <c r="AK345" s="183" t="s">
        <v>6439</v>
      </c>
      <c r="AL345" s="205">
        <f>3.47*5280</f>
        <v>18321.600000000002</v>
      </c>
      <c r="AM345" s="205">
        <v>0</v>
      </c>
      <c r="AN345" s="205">
        <v>0</v>
      </c>
      <c r="AO345" s="205">
        <v>0</v>
      </c>
      <c r="AP345" s="117"/>
      <c r="AQ345" s="39" t="s">
        <v>6094</v>
      </c>
      <c r="AR345" s="183"/>
      <c r="AS345" s="183"/>
      <c r="AT345" s="92"/>
      <c r="AU345" s="210" t="s">
        <v>6570</v>
      </c>
      <c r="AV345" s="182"/>
      <c r="AW345" s="182"/>
      <c r="AX345" s="182"/>
      <c r="AY345" s="23"/>
      <c r="AZ345" s="40"/>
      <c r="BD345" s="191">
        <f t="shared" si="79"/>
        <v>0</v>
      </c>
      <c r="BE345" s="182"/>
      <c r="BF345" s="182"/>
      <c r="BG345" s="182"/>
      <c r="BH345" s="182"/>
      <c r="BI345" s="182"/>
      <c r="BJ345" s="182"/>
      <c r="BK345" s="182"/>
      <c r="BL345" s="182"/>
      <c r="BM345" s="182"/>
      <c r="BN345" s="182"/>
      <c r="BO345" s="182"/>
      <c r="BP345" s="182"/>
      <c r="BQ345" s="182"/>
      <c r="BR345" s="182"/>
      <c r="BS345" s="182"/>
      <c r="BT345" s="182"/>
    </row>
    <row r="346" spans="1:72" s="59" customFormat="1" x14ac:dyDescent="0.25">
      <c r="A346" s="218">
        <v>35232445</v>
      </c>
      <c r="B346" s="116" t="s">
        <v>5413</v>
      </c>
      <c r="C346" s="183">
        <v>11</v>
      </c>
      <c r="D346" s="23" t="str" cm="1">
        <f t="array" ref="D346">IFERROR(_xlfn.IFS(U346&lt;727,"MEET", AB346="FRRB","MEET", AB346="PSPS","MEET"),"No")</f>
        <v>MEET</v>
      </c>
      <c r="E346" s="23" t="str" cm="1">
        <f t="array" ref="E346">IFERROR(_xlfn.IFS(AM346&gt;0,"MEET", AN346&gt;0,"MEET"),"No")</f>
        <v>No</v>
      </c>
      <c r="F346" s="100">
        <v>2021287</v>
      </c>
      <c r="G346" s="188"/>
      <c r="H346" s="37">
        <f t="shared" si="74"/>
        <v>2.6</v>
      </c>
      <c r="I346" s="37">
        <f t="shared" si="78"/>
        <v>2.6</v>
      </c>
      <c r="J346" s="183">
        <v>2021</v>
      </c>
      <c r="K346" s="182"/>
      <c r="L346" s="182"/>
      <c r="M346" s="37">
        <f t="shared" si="77"/>
        <v>0</v>
      </c>
      <c r="N346" s="21">
        <v>3064.15</v>
      </c>
      <c r="O346" s="183" t="s">
        <v>4878</v>
      </c>
      <c r="P346" s="182">
        <v>103351104</v>
      </c>
      <c r="Q346" s="182" t="s">
        <v>1126</v>
      </c>
      <c r="R346" s="183" t="s">
        <v>1129</v>
      </c>
      <c r="S346" s="38">
        <f>IFERROR(VLOOKUP(R346,[47]conductor_pz_summary_hftd_23_re!$B$2:$Q$3636,8,FALSE),0)</f>
        <v>357</v>
      </c>
      <c r="T346" s="201">
        <f>IFERROR(VLOOKUP(R346,[48]conductor_pz_summary_hftd_23_re!$B$2:$H$3636,7,0),0)/1609</f>
        <v>18.604901027151772</v>
      </c>
      <c r="U346" s="23">
        <f>IFERROR(VLOOKUP(R346,[47]conductor_pz_summary_hftd_23_re!$B$2:$Q$3636,14,FALSE),0)</f>
        <v>48</v>
      </c>
      <c r="V346" s="37">
        <f t="shared" si="72"/>
        <v>151.81632260499768</v>
      </c>
      <c r="W346" s="202">
        <f>IFERROR(VLOOKUP(R346,[47]conductor_pz_summary_hftd_23_re!$B$2:$Q$3636,13,FALSE),0)</f>
        <v>0.42525580561623999</v>
      </c>
      <c r="X346" s="73">
        <f>IFERROR(VLOOKUP(R346,conductor_pz_summary_hftd_23_re!$B$2:$N$3636,13,FALSE),0)</f>
        <v>94</v>
      </c>
      <c r="Y346" s="203">
        <f t="shared" si="73"/>
        <v>13.153948611825628</v>
      </c>
      <c r="Z346" s="182"/>
      <c r="AA346" s="183" t="s">
        <v>4903</v>
      </c>
      <c r="AB346" s="183" t="s">
        <v>5298</v>
      </c>
      <c r="AC346" s="182" t="s">
        <v>5473</v>
      </c>
      <c r="AD346" s="182" t="s">
        <v>5431</v>
      </c>
      <c r="AE346" s="182" t="s">
        <v>5210</v>
      </c>
      <c r="AF346" s="182" t="s">
        <v>4875</v>
      </c>
      <c r="AG346" s="183">
        <v>5794554</v>
      </c>
      <c r="AH346" s="183" t="s">
        <v>6436</v>
      </c>
      <c r="AI346" s="183">
        <v>120528752</v>
      </c>
      <c r="AJ346" s="183">
        <v>35232445</v>
      </c>
      <c r="AK346" s="183" t="s">
        <v>6440</v>
      </c>
      <c r="AL346" s="205">
        <f>2.6*5280</f>
        <v>13728</v>
      </c>
      <c r="AM346" s="205">
        <v>0</v>
      </c>
      <c r="AN346" s="205">
        <v>0</v>
      </c>
      <c r="AO346" s="205">
        <v>0</v>
      </c>
      <c r="AP346" s="117"/>
      <c r="AQ346" s="39" t="s">
        <v>6094</v>
      </c>
      <c r="AR346" s="183"/>
      <c r="AS346" s="183"/>
      <c r="AT346" s="92"/>
      <c r="AU346" s="210" t="s">
        <v>6570</v>
      </c>
      <c r="AV346" s="182"/>
      <c r="AW346" s="182"/>
      <c r="AX346" s="182"/>
      <c r="AY346" s="23"/>
      <c r="AZ346" s="40"/>
      <c r="BA346" s="173"/>
      <c r="BB346" s="188"/>
      <c r="BC346" s="189"/>
      <c r="BD346" s="191">
        <f t="shared" si="79"/>
        <v>0</v>
      </c>
      <c r="BE346" s="182"/>
      <c r="BF346" s="182"/>
      <c r="BG346" s="182"/>
      <c r="BH346" s="182"/>
      <c r="BI346" s="182"/>
      <c r="BJ346" s="182"/>
      <c r="BK346" s="182"/>
      <c r="BL346" s="182"/>
      <c r="BM346" s="182"/>
      <c r="BN346" s="182"/>
      <c r="BO346" s="182"/>
      <c r="BP346" s="182"/>
      <c r="BQ346" s="182"/>
      <c r="BR346" s="182"/>
      <c r="BS346" s="182"/>
      <c r="BT346" s="182"/>
    </row>
    <row r="347" spans="1:72" s="59" customFormat="1" x14ac:dyDescent="0.25">
      <c r="A347" s="218">
        <v>35219289</v>
      </c>
      <c r="B347" s="116" t="s">
        <v>5413</v>
      </c>
      <c r="C347" s="183">
        <v>9</v>
      </c>
      <c r="D347" s="23" t="str" cm="1">
        <f t="array" ref="D347">IFERROR(_xlfn.IFS(U347&lt;727,"MEET", AB347="FRRB","MEET", AB347="PSPS","MEET"),"No")</f>
        <v>MEET</v>
      </c>
      <c r="E347" s="23" t="str" cm="1">
        <f t="array" ref="E347">IFERROR(_xlfn.IFS(AM347&gt;0,"MEET", AN347&gt;0,"MEET"),"No")</f>
        <v>MEET</v>
      </c>
      <c r="F347" s="100">
        <v>2021288</v>
      </c>
      <c r="G347" s="188">
        <v>57.14</v>
      </c>
      <c r="H347" s="37">
        <f t="shared" si="74"/>
        <v>16.996969696969696</v>
      </c>
      <c r="I347" s="23">
        <f t="shared" si="78"/>
        <v>16.996969696969696</v>
      </c>
      <c r="J347" s="183">
        <v>2021</v>
      </c>
      <c r="K347" s="182"/>
      <c r="L347" s="182"/>
      <c r="M347" s="37">
        <f t="shared" si="77"/>
        <v>0</v>
      </c>
      <c r="N347" s="21">
        <v>7304.58</v>
      </c>
      <c r="O347" s="183" t="s">
        <v>4878</v>
      </c>
      <c r="P347" s="182">
        <v>103521103</v>
      </c>
      <c r="Q347" s="182" t="s">
        <v>2975</v>
      </c>
      <c r="R347" s="183" t="s">
        <v>2977</v>
      </c>
      <c r="S347" s="38">
        <f>IFERROR(VLOOKUP(R347,[47]conductor_pz_summary_hftd_23_re!$B$2:$Q$3636,8,FALSE),0)</f>
        <v>641</v>
      </c>
      <c r="T347" s="201">
        <f>IFERROR(VLOOKUP(R347,[48]conductor_pz_summary_hftd_23_re!$B$2:$H$3636,7,0),0)/1609</f>
        <v>57.142938485843821</v>
      </c>
      <c r="U347" s="23">
        <f>IFERROR(VLOOKUP(R347,[47]conductor_pz_summary_hftd_23_re!$B$2:$Q$3636,14,FALSE),0)</f>
        <v>49</v>
      </c>
      <c r="V347" s="37">
        <f t="shared" si="72"/>
        <v>270.40280484573793</v>
      </c>
      <c r="W347" s="202">
        <f>IFERROR(VLOOKUP(R347,[47]conductor_pz_summary_hftd_23_re!$B$2:$Q$3636,13,FALSE),0)</f>
        <v>0.42184524936932599</v>
      </c>
      <c r="X347" s="73">
        <f>IFERROR(VLOOKUP(R347,conductor_pz_summary_hftd_23_re!$B$2:$N$3636,13,FALSE),0)</f>
        <v>153</v>
      </c>
      <c r="Y347" s="203">
        <f t="shared" si="73"/>
        <v>66.498960940998131</v>
      </c>
      <c r="Z347" s="182"/>
      <c r="AA347" s="183"/>
      <c r="AB347" s="183" t="s">
        <v>5298</v>
      </c>
      <c r="AC347" s="182" t="s">
        <v>5434</v>
      </c>
      <c r="AD347" s="182" t="s">
        <v>5431</v>
      </c>
      <c r="AE347" s="182" t="s">
        <v>5210</v>
      </c>
      <c r="AF347" s="182" t="s">
        <v>4875</v>
      </c>
      <c r="AG347" s="183">
        <v>5794555</v>
      </c>
      <c r="AH347" s="183" t="s">
        <v>5317</v>
      </c>
      <c r="AI347" s="183">
        <v>120142359</v>
      </c>
      <c r="AJ347" s="183">
        <v>35219289</v>
      </c>
      <c r="AK347" s="183" t="s">
        <v>6507</v>
      </c>
      <c r="AL347" s="205">
        <v>40052</v>
      </c>
      <c r="AM347" s="205">
        <v>32488</v>
      </c>
      <c r="AN347" s="205">
        <v>17204</v>
      </c>
      <c r="AO347" s="205">
        <v>0</v>
      </c>
      <c r="AP347" s="182"/>
      <c r="AQ347" s="39" t="s">
        <v>6363</v>
      </c>
      <c r="AR347" s="183">
        <f>AS347*5280</f>
        <v>58396.800000000003</v>
      </c>
      <c r="AS347" s="183">
        <v>11.06</v>
      </c>
      <c r="AT347" s="92"/>
      <c r="AU347" s="182"/>
      <c r="AV347" s="182"/>
      <c r="AW347" s="182"/>
      <c r="AX347" s="182"/>
      <c r="AY347" s="23">
        <f>AW347+AX347</f>
        <v>0</v>
      </c>
      <c r="AZ347" s="40">
        <f>AY347/5280</f>
        <v>0</v>
      </c>
      <c r="BA347" s="173"/>
      <c r="BB347" s="188"/>
      <c r="BC347" s="189"/>
      <c r="BD347" s="191">
        <f t="shared" si="79"/>
        <v>0</v>
      </c>
      <c r="BE347" s="182"/>
      <c r="BF347" s="182"/>
      <c r="BG347" s="182"/>
      <c r="BH347" s="182"/>
      <c r="BI347" s="182"/>
      <c r="BJ347" s="182"/>
      <c r="BK347" s="182"/>
      <c r="BL347" s="182"/>
      <c r="BM347" s="182"/>
      <c r="BN347" s="182"/>
      <c r="BO347" s="182"/>
      <c r="BP347" s="182"/>
      <c r="BQ347" s="182"/>
      <c r="BR347" s="182"/>
      <c r="BS347" s="182"/>
      <c r="BT347" s="182"/>
    </row>
    <row r="348" spans="1:72" s="182" customFormat="1" x14ac:dyDescent="0.25">
      <c r="A348" s="218">
        <v>35233947</v>
      </c>
      <c r="B348" s="116" t="s">
        <v>5413</v>
      </c>
      <c r="C348" s="183">
        <v>9</v>
      </c>
      <c r="D348" s="23" t="str" cm="1">
        <f t="array" ref="D348">IFERROR(_xlfn.IFS(U348&lt;727,"MEET", AB348="FRRB","MEET", AB348="PSPS","MEET"),"No")</f>
        <v>MEET</v>
      </c>
      <c r="E348" s="23" t="str" cm="1">
        <f t="array" ref="E348">IFERROR(_xlfn.IFS(AM348&gt;0,"MEET", AN348&gt;0,"MEET"),"No")</f>
        <v>No</v>
      </c>
      <c r="F348" s="100">
        <v>2021289</v>
      </c>
      <c r="G348" s="188"/>
      <c r="H348" s="37"/>
      <c r="I348" s="23"/>
      <c r="J348" s="183">
        <v>2021</v>
      </c>
      <c r="M348" s="37">
        <f t="shared" si="77"/>
        <v>0</v>
      </c>
      <c r="N348" s="21"/>
      <c r="O348" s="183" t="s">
        <v>4878</v>
      </c>
      <c r="P348" s="182">
        <v>103521103</v>
      </c>
      <c r="Q348" s="182" t="s">
        <v>2975</v>
      </c>
      <c r="R348" s="183" t="s">
        <v>2977</v>
      </c>
      <c r="S348" s="38">
        <f>IFERROR(VLOOKUP(R348,[47]conductor_pz_summary_hftd_23_re!$B$2:$Q$3636,8,FALSE),0)</f>
        <v>641</v>
      </c>
      <c r="T348" s="201">
        <f>IFERROR(VLOOKUP(R348,[48]conductor_pz_summary_hftd_23_re!$B$2:$H$3636,7,0),0)/1609</f>
        <v>57.142938485843821</v>
      </c>
      <c r="U348" s="23">
        <f>IFERROR(VLOOKUP(R348,[47]conductor_pz_summary_hftd_23_re!$B$2:$Q$3636,14,FALSE),0)</f>
        <v>49</v>
      </c>
      <c r="V348" s="37">
        <f t="shared" si="72"/>
        <v>270.40280484573793</v>
      </c>
      <c r="W348" s="202">
        <f>IFERROR(VLOOKUP(R348,[47]conductor_pz_summary_hftd_23_re!$B$2:$Q$3636,13,FALSE),0)</f>
        <v>0.42184524936932599</v>
      </c>
      <c r="X348" s="183">
        <f>IFERROR(VLOOKUP(R348,conductor_pz_summary_hftd_23_re!$B$2:$N$3636,13,FALSE),0)</f>
        <v>153</v>
      </c>
      <c r="Y348" s="203" t="e">
        <f t="shared" si="73"/>
        <v>#DIV/0!</v>
      </c>
      <c r="AA348" s="183"/>
      <c r="AB348" s="183" t="s">
        <v>5298</v>
      </c>
      <c r="AC348" s="182" t="s">
        <v>5434</v>
      </c>
      <c r="AD348" s="182" t="s">
        <v>5431</v>
      </c>
      <c r="AE348" s="182" t="s">
        <v>5210</v>
      </c>
      <c r="AF348" s="182" t="s">
        <v>4875</v>
      </c>
      <c r="AG348" s="183">
        <v>5794555</v>
      </c>
      <c r="AH348" s="183" t="s">
        <v>6488</v>
      </c>
      <c r="AI348" s="183">
        <v>120564156</v>
      </c>
      <c r="AJ348" s="183">
        <v>35233947</v>
      </c>
      <c r="AK348" s="183" t="s">
        <v>6483</v>
      </c>
      <c r="AL348" s="205"/>
      <c r="AM348" s="205"/>
      <c r="AN348" s="205"/>
      <c r="AO348" s="205"/>
      <c r="AQ348" s="39" t="s">
        <v>6363</v>
      </c>
      <c r="AR348" s="183"/>
      <c r="AS348" s="183"/>
      <c r="AT348" s="92"/>
      <c r="AY348" s="23"/>
      <c r="AZ348" s="40"/>
      <c r="BA348" s="173"/>
      <c r="BB348" s="188"/>
      <c r="BC348" s="189"/>
      <c r="BD348" s="191"/>
    </row>
    <row r="349" spans="1:72" s="182" customFormat="1" x14ac:dyDescent="0.25">
      <c r="A349" s="218">
        <v>35233948</v>
      </c>
      <c r="B349" s="116" t="s">
        <v>5413</v>
      </c>
      <c r="C349" s="183">
        <v>9</v>
      </c>
      <c r="D349" s="23" t="str" cm="1">
        <f t="array" ref="D349">IFERROR(_xlfn.IFS(U349&lt;727,"MEET", AB349="FRRB","MEET", AB349="PSPS","MEET"),"No")</f>
        <v>MEET</v>
      </c>
      <c r="E349" s="23" t="str" cm="1">
        <f t="array" ref="E349">IFERROR(_xlfn.IFS(AM349&gt;0,"MEET", AN349&gt;0,"MEET"),"No")</f>
        <v>No</v>
      </c>
      <c r="F349" s="100">
        <v>2021290</v>
      </c>
      <c r="G349" s="188"/>
      <c r="H349" s="37"/>
      <c r="I349" s="23"/>
      <c r="J349" s="183">
        <v>2021</v>
      </c>
      <c r="M349" s="37">
        <f t="shared" si="77"/>
        <v>0</v>
      </c>
      <c r="N349" s="21"/>
      <c r="O349" s="183" t="s">
        <v>4878</v>
      </c>
      <c r="P349" s="182">
        <v>103521103</v>
      </c>
      <c r="Q349" s="182" t="s">
        <v>2975</v>
      </c>
      <c r="R349" s="183" t="s">
        <v>2977</v>
      </c>
      <c r="S349" s="38">
        <f>IFERROR(VLOOKUP(R349,[47]conductor_pz_summary_hftd_23_re!$B$2:$Q$3636,8,FALSE),0)</f>
        <v>641</v>
      </c>
      <c r="T349" s="201">
        <f>IFERROR(VLOOKUP(R349,[48]conductor_pz_summary_hftd_23_re!$B$2:$H$3636,7,0),0)/1609</f>
        <v>57.142938485843821</v>
      </c>
      <c r="U349" s="23">
        <f>IFERROR(VLOOKUP(R349,[47]conductor_pz_summary_hftd_23_re!$B$2:$Q$3636,14,FALSE),0)</f>
        <v>49</v>
      </c>
      <c r="V349" s="37">
        <f t="shared" si="72"/>
        <v>270.40280484573793</v>
      </c>
      <c r="W349" s="202">
        <f>IFERROR(VLOOKUP(R349,[47]conductor_pz_summary_hftd_23_re!$B$2:$Q$3636,13,FALSE),0)</f>
        <v>0.42184524936932599</v>
      </c>
      <c r="X349" s="183">
        <f>IFERROR(VLOOKUP(R349,conductor_pz_summary_hftd_23_re!$B$2:$N$3636,13,FALSE),0)</f>
        <v>153</v>
      </c>
      <c r="Y349" s="203" t="e">
        <f t="shared" si="73"/>
        <v>#DIV/0!</v>
      </c>
      <c r="AA349" s="183"/>
      <c r="AB349" s="183" t="s">
        <v>5298</v>
      </c>
      <c r="AC349" s="182" t="s">
        <v>5434</v>
      </c>
      <c r="AD349" s="182" t="s">
        <v>5431</v>
      </c>
      <c r="AE349" s="182" t="s">
        <v>5210</v>
      </c>
      <c r="AF349" s="182" t="s">
        <v>4875</v>
      </c>
      <c r="AG349" s="183">
        <v>5794555</v>
      </c>
      <c r="AH349" s="183" t="s">
        <v>6489</v>
      </c>
      <c r="AI349" s="183">
        <v>120564181</v>
      </c>
      <c r="AJ349" s="183">
        <v>35233948</v>
      </c>
      <c r="AK349" s="183" t="s">
        <v>6484</v>
      </c>
      <c r="AL349" s="205"/>
      <c r="AM349" s="205"/>
      <c r="AN349" s="205"/>
      <c r="AO349" s="205"/>
      <c r="AQ349" s="39" t="s">
        <v>6363</v>
      </c>
      <c r="AR349" s="183"/>
      <c r="AS349" s="183"/>
      <c r="AT349" s="92"/>
      <c r="AY349" s="23"/>
      <c r="AZ349" s="40"/>
      <c r="BA349" s="173"/>
      <c r="BB349" s="188"/>
      <c r="BC349" s="189"/>
      <c r="BD349" s="191"/>
    </row>
    <row r="350" spans="1:72" s="182" customFormat="1" x14ac:dyDescent="0.25">
      <c r="A350" s="218">
        <v>35233949</v>
      </c>
      <c r="B350" s="116" t="s">
        <v>5413</v>
      </c>
      <c r="C350" s="183">
        <v>9</v>
      </c>
      <c r="D350" s="23" t="str" cm="1">
        <f t="array" ref="D350">IFERROR(_xlfn.IFS(U350&lt;727,"MEET", AB350="FRRB","MEET", AB350="PSPS","MEET"),"No")</f>
        <v>MEET</v>
      </c>
      <c r="E350" s="23" t="str" cm="1">
        <f t="array" ref="E350">IFERROR(_xlfn.IFS(AM350&gt;0,"MEET", AN350&gt;0,"MEET"),"No")</f>
        <v>No</v>
      </c>
      <c r="F350" s="100">
        <v>2021291</v>
      </c>
      <c r="G350" s="188"/>
      <c r="H350" s="37"/>
      <c r="I350" s="23"/>
      <c r="J350" s="183">
        <v>2021</v>
      </c>
      <c r="M350" s="37">
        <f t="shared" si="77"/>
        <v>0</v>
      </c>
      <c r="N350" s="21"/>
      <c r="O350" s="183" t="s">
        <v>4878</v>
      </c>
      <c r="P350" s="182">
        <v>103521103</v>
      </c>
      <c r="Q350" s="182" t="s">
        <v>2975</v>
      </c>
      <c r="R350" s="183" t="s">
        <v>2977</v>
      </c>
      <c r="S350" s="38">
        <f>IFERROR(VLOOKUP(R350,[47]conductor_pz_summary_hftd_23_re!$B$2:$Q$3636,8,FALSE),0)</f>
        <v>641</v>
      </c>
      <c r="T350" s="201">
        <f>IFERROR(VLOOKUP(R350,[48]conductor_pz_summary_hftd_23_re!$B$2:$H$3636,7,0),0)/1609</f>
        <v>57.142938485843821</v>
      </c>
      <c r="U350" s="23">
        <f>IFERROR(VLOOKUP(R350,[47]conductor_pz_summary_hftd_23_re!$B$2:$Q$3636,14,FALSE),0)</f>
        <v>49</v>
      </c>
      <c r="V350" s="37">
        <f t="shared" si="72"/>
        <v>270.40280484573793</v>
      </c>
      <c r="W350" s="202">
        <f>IFERROR(VLOOKUP(R350,[47]conductor_pz_summary_hftd_23_re!$B$2:$Q$3636,13,FALSE),0)</f>
        <v>0.42184524936932599</v>
      </c>
      <c r="X350" s="183">
        <f>IFERROR(VLOOKUP(R350,conductor_pz_summary_hftd_23_re!$B$2:$N$3636,13,FALSE),0)</f>
        <v>153</v>
      </c>
      <c r="Y350" s="203" t="e">
        <f t="shared" si="73"/>
        <v>#DIV/0!</v>
      </c>
      <c r="AA350" s="183"/>
      <c r="AB350" s="183" t="s">
        <v>5298</v>
      </c>
      <c r="AC350" s="182" t="s">
        <v>5434</v>
      </c>
      <c r="AD350" s="182" t="s">
        <v>5431</v>
      </c>
      <c r="AE350" s="182" t="s">
        <v>5210</v>
      </c>
      <c r="AF350" s="182" t="s">
        <v>4875</v>
      </c>
      <c r="AG350" s="183">
        <v>5794555</v>
      </c>
      <c r="AH350" s="183" t="s">
        <v>6490</v>
      </c>
      <c r="AI350" s="183">
        <v>120564182</v>
      </c>
      <c r="AJ350" s="183">
        <v>35233949</v>
      </c>
      <c r="AK350" s="183" t="s">
        <v>6485</v>
      </c>
      <c r="AL350" s="205"/>
      <c r="AM350" s="205"/>
      <c r="AN350" s="205"/>
      <c r="AO350" s="205"/>
      <c r="AQ350" s="39" t="s">
        <v>6363</v>
      </c>
      <c r="AR350" s="183"/>
      <c r="AS350" s="183"/>
      <c r="AT350" s="92"/>
      <c r="AY350" s="23"/>
      <c r="AZ350" s="40"/>
      <c r="BA350" s="173"/>
      <c r="BB350" s="188"/>
      <c r="BC350" s="189"/>
      <c r="BD350" s="191"/>
    </row>
    <row r="351" spans="1:72" s="182" customFormat="1" x14ac:dyDescent="0.25">
      <c r="A351" s="218">
        <v>35233950</v>
      </c>
      <c r="B351" s="116" t="s">
        <v>5413</v>
      </c>
      <c r="C351" s="183">
        <v>9</v>
      </c>
      <c r="D351" s="23" t="str" cm="1">
        <f t="array" ref="D351">IFERROR(_xlfn.IFS(U351&lt;727,"MEET", AB351="FRRB","MEET", AB351="PSPS","MEET"),"No")</f>
        <v>MEET</v>
      </c>
      <c r="E351" s="23" t="str" cm="1">
        <f t="array" ref="E351">IFERROR(_xlfn.IFS(AM351&gt;0,"MEET", AN351&gt;0,"MEET"),"No")</f>
        <v>No</v>
      </c>
      <c r="F351" s="100">
        <v>2021292</v>
      </c>
      <c r="G351" s="188"/>
      <c r="H351" s="37"/>
      <c r="I351" s="23"/>
      <c r="J351" s="183">
        <v>2021</v>
      </c>
      <c r="M351" s="37">
        <f t="shared" si="77"/>
        <v>0</v>
      </c>
      <c r="N351" s="21"/>
      <c r="O351" s="183" t="s">
        <v>4878</v>
      </c>
      <c r="P351" s="182">
        <v>103521103</v>
      </c>
      <c r="Q351" s="182" t="s">
        <v>2975</v>
      </c>
      <c r="R351" s="183" t="s">
        <v>2977</v>
      </c>
      <c r="S351" s="38">
        <f>IFERROR(VLOOKUP(R351,[47]conductor_pz_summary_hftd_23_re!$B$2:$Q$3636,8,FALSE),0)</f>
        <v>641</v>
      </c>
      <c r="T351" s="201">
        <f>IFERROR(VLOOKUP(R351,[48]conductor_pz_summary_hftd_23_re!$B$2:$H$3636,7,0),0)/1609</f>
        <v>57.142938485843821</v>
      </c>
      <c r="U351" s="23">
        <f>IFERROR(VLOOKUP(R351,[47]conductor_pz_summary_hftd_23_re!$B$2:$Q$3636,14,FALSE),0)</f>
        <v>49</v>
      </c>
      <c r="V351" s="37">
        <f t="shared" si="72"/>
        <v>270.40280484573793</v>
      </c>
      <c r="W351" s="202">
        <f>IFERROR(VLOOKUP(R351,[47]conductor_pz_summary_hftd_23_re!$B$2:$Q$3636,13,FALSE),0)</f>
        <v>0.42184524936932599</v>
      </c>
      <c r="X351" s="183">
        <f>IFERROR(VLOOKUP(R351,conductor_pz_summary_hftd_23_re!$B$2:$N$3636,13,FALSE),0)</f>
        <v>153</v>
      </c>
      <c r="Y351" s="203" t="e">
        <f t="shared" si="73"/>
        <v>#DIV/0!</v>
      </c>
      <c r="AA351" s="183"/>
      <c r="AB351" s="183" t="s">
        <v>5298</v>
      </c>
      <c r="AC351" s="182" t="s">
        <v>5434</v>
      </c>
      <c r="AD351" s="182" t="s">
        <v>5431</v>
      </c>
      <c r="AE351" s="182" t="s">
        <v>5210</v>
      </c>
      <c r="AF351" s="182" t="s">
        <v>4875</v>
      </c>
      <c r="AG351" s="183">
        <v>5794555</v>
      </c>
      <c r="AH351" s="183" t="s">
        <v>6491</v>
      </c>
      <c r="AI351" s="183">
        <v>120564183</v>
      </c>
      <c r="AJ351" s="183">
        <v>35233950</v>
      </c>
      <c r="AK351" s="183" t="s">
        <v>6486</v>
      </c>
      <c r="AL351" s="205"/>
      <c r="AM351" s="205"/>
      <c r="AN351" s="205"/>
      <c r="AO351" s="205"/>
      <c r="AQ351" s="39" t="s">
        <v>6363</v>
      </c>
      <c r="AR351" s="183"/>
      <c r="AS351" s="183"/>
      <c r="AT351" s="92"/>
      <c r="AY351" s="23"/>
      <c r="AZ351" s="40"/>
      <c r="BA351" s="173"/>
      <c r="BB351" s="188"/>
      <c r="BC351" s="189"/>
      <c r="BD351" s="191"/>
    </row>
    <row r="352" spans="1:72" s="182" customFormat="1" x14ac:dyDescent="0.25">
      <c r="A352" s="218">
        <v>35233951</v>
      </c>
      <c r="B352" s="116" t="s">
        <v>5413</v>
      </c>
      <c r="C352" s="183">
        <v>9</v>
      </c>
      <c r="D352" s="23" t="str" cm="1">
        <f t="array" ref="D352">IFERROR(_xlfn.IFS(U352&lt;727,"MEET", AB352="FRRB","MEET", AB352="PSPS","MEET"),"No")</f>
        <v>MEET</v>
      </c>
      <c r="E352" s="23" t="str" cm="1">
        <f t="array" ref="E352">IFERROR(_xlfn.IFS(AM352&gt;0,"MEET", AN352&gt;0,"MEET"),"No")</f>
        <v>No</v>
      </c>
      <c r="F352" s="100">
        <v>2021293</v>
      </c>
      <c r="G352" s="188"/>
      <c r="H352" s="37"/>
      <c r="I352" s="23"/>
      <c r="J352" s="183">
        <v>2021</v>
      </c>
      <c r="M352" s="37">
        <f t="shared" si="77"/>
        <v>0</v>
      </c>
      <c r="N352" s="21"/>
      <c r="O352" s="183" t="s">
        <v>4878</v>
      </c>
      <c r="P352" s="182">
        <v>103521103</v>
      </c>
      <c r="Q352" s="182" t="s">
        <v>2975</v>
      </c>
      <c r="R352" s="183" t="s">
        <v>2977</v>
      </c>
      <c r="S352" s="38">
        <f>IFERROR(VLOOKUP(R352,[47]conductor_pz_summary_hftd_23_re!$B$2:$Q$3636,8,FALSE),0)</f>
        <v>641</v>
      </c>
      <c r="T352" s="201">
        <f>IFERROR(VLOOKUP(R352,[48]conductor_pz_summary_hftd_23_re!$B$2:$H$3636,7,0),0)/1609</f>
        <v>57.142938485843821</v>
      </c>
      <c r="U352" s="23">
        <f>IFERROR(VLOOKUP(R352,[47]conductor_pz_summary_hftd_23_re!$B$2:$Q$3636,14,FALSE),0)</f>
        <v>49</v>
      </c>
      <c r="V352" s="37">
        <f t="shared" si="72"/>
        <v>270.40280484573793</v>
      </c>
      <c r="W352" s="202">
        <f>IFERROR(VLOOKUP(R352,[47]conductor_pz_summary_hftd_23_re!$B$2:$Q$3636,13,FALSE),0)</f>
        <v>0.42184524936932599</v>
      </c>
      <c r="X352" s="183">
        <f>IFERROR(VLOOKUP(R352,conductor_pz_summary_hftd_23_re!$B$2:$N$3636,13,FALSE),0)</f>
        <v>153</v>
      </c>
      <c r="Y352" s="203" t="e">
        <f t="shared" si="73"/>
        <v>#DIV/0!</v>
      </c>
      <c r="AA352" s="183"/>
      <c r="AB352" s="183" t="s">
        <v>5298</v>
      </c>
      <c r="AC352" s="182" t="s">
        <v>5434</v>
      </c>
      <c r="AD352" s="182" t="s">
        <v>5431</v>
      </c>
      <c r="AE352" s="182" t="s">
        <v>5210</v>
      </c>
      <c r="AF352" s="182" t="s">
        <v>4875</v>
      </c>
      <c r="AG352" s="183">
        <v>5794555</v>
      </c>
      <c r="AH352" s="183" t="s">
        <v>6492</v>
      </c>
      <c r="AI352" s="183">
        <v>120564184</v>
      </c>
      <c r="AJ352" s="183">
        <v>35233951</v>
      </c>
      <c r="AK352" s="183" t="s">
        <v>6487</v>
      </c>
      <c r="AL352" s="205"/>
      <c r="AM352" s="205"/>
      <c r="AN352" s="205"/>
      <c r="AO352" s="205"/>
      <c r="AQ352" s="39" t="s">
        <v>6363</v>
      </c>
      <c r="AR352" s="183"/>
      <c r="AS352" s="183"/>
      <c r="AT352" s="92"/>
      <c r="AY352" s="23"/>
      <c r="AZ352" s="40"/>
      <c r="BA352" s="173"/>
      <c r="BB352" s="188"/>
      <c r="BC352" s="189"/>
      <c r="BD352" s="191"/>
    </row>
    <row r="353" spans="1:72" x14ac:dyDescent="0.25">
      <c r="A353" s="218">
        <v>35225826</v>
      </c>
      <c r="B353" s="116" t="s">
        <v>5413</v>
      </c>
      <c r="C353" s="183">
        <v>9</v>
      </c>
      <c r="D353" s="23" t="str" cm="1">
        <f t="array" ref="D353">IFERROR(_xlfn.IFS(U353&lt;727,"MEET", AB353="FRRB","MEET", AB353="PSPS","MEET"),"No")</f>
        <v>MEET</v>
      </c>
      <c r="E353" s="23" t="str" cm="1">
        <f t="array" ref="E353">IFERROR(_xlfn.IFS(AM353&gt;0,"MEET", AN353&gt;0,"MEET"),"No")</f>
        <v>MEET</v>
      </c>
      <c r="F353" s="100">
        <v>2021294</v>
      </c>
      <c r="H353" s="37">
        <f>SUM(AL353:AO353)/5280</f>
        <v>9.7467803030303024</v>
      </c>
      <c r="I353" s="23">
        <f>H353-M353</f>
        <v>9.7467803030303024</v>
      </c>
      <c r="J353" s="183">
        <v>2021</v>
      </c>
      <c r="K353" s="182"/>
      <c r="L353" s="182"/>
      <c r="M353" s="37">
        <f t="shared" si="77"/>
        <v>0</v>
      </c>
      <c r="N353" s="21">
        <v>1990.54</v>
      </c>
      <c r="O353" s="183" t="s">
        <v>4878</v>
      </c>
      <c r="P353" s="182">
        <v>103521103</v>
      </c>
      <c r="Q353" s="182" t="s">
        <v>2975</v>
      </c>
      <c r="R353" s="183" t="s">
        <v>2977</v>
      </c>
      <c r="S353" s="38">
        <f>IFERROR(VLOOKUP(R353,[47]conductor_pz_summary_hftd_23_re!$B$2:$Q$3636,8,FALSE),0)</f>
        <v>641</v>
      </c>
      <c r="T353" s="201">
        <f>IFERROR(VLOOKUP(R353,[48]conductor_pz_summary_hftd_23_re!$B$2:$H$3636,7,0),0)/1609</f>
        <v>57.142938485843821</v>
      </c>
      <c r="U353" s="23">
        <f>IFERROR(VLOOKUP(R353,[47]conductor_pz_summary_hftd_23_re!$B$2:$Q$3636,14,FALSE),0)</f>
        <v>49</v>
      </c>
      <c r="V353" s="37">
        <f t="shared" si="72"/>
        <v>270.40280484573793</v>
      </c>
      <c r="W353" s="202">
        <f>IFERROR(VLOOKUP(R353,[47]conductor_pz_summary_hftd_23_re!$B$2:$Q$3636,13,FALSE),0)</f>
        <v>0.42184524936932599</v>
      </c>
      <c r="X353" s="73">
        <f>IFERROR(VLOOKUP(R353,conductor_pz_summary_hftd_23_re!$B$2:$N$3636,13,FALSE),0)</f>
        <v>153</v>
      </c>
      <c r="Y353" s="203">
        <f t="shared" si="73"/>
        <v>29.008504024070561</v>
      </c>
      <c r="Z353" s="182"/>
      <c r="AA353" s="183"/>
      <c r="AB353" s="183" t="s">
        <v>5298</v>
      </c>
      <c r="AC353" s="182" t="s">
        <v>5434</v>
      </c>
      <c r="AD353" s="182" t="s">
        <v>5431</v>
      </c>
      <c r="AE353" s="182" t="s">
        <v>5210</v>
      </c>
      <c r="AF353" s="182" t="s">
        <v>4875</v>
      </c>
      <c r="AG353" s="183">
        <v>5794555</v>
      </c>
      <c r="AH353" s="183" t="s">
        <v>6049</v>
      </c>
      <c r="AI353" s="183">
        <v>120426402</v>
      </c>
      <c r="AJ353" s="183">
        <v>35225826</v>
      </c>
      <c r="AK353" s="183" t="s">
        <v>6508</v>
      </c>
      <c r="AL353" s="205">
        <v>50237</v>
      </c>
      <c r="AM353" s="205">
        <v>533</v>
      </c>
      <c r="AN353" s="205">
        <v>693</v>
      </c>
      <c r="AO353" s="205">
        <v>0</v>
      </c>
      <c r="AP353" s="182"/>
      <c r="AQ353" s="39" t="s">
        <v>6364</v>
      </c>
      <c r="AR353" s="183">
        <f>AS353*5280</f>
        <v>51268.800000000003</v>
      </c>
      <c r="AS353" s="183">
        <v>9.7100000000000009</v>
      </c>
      <c r="AT353" s="92"/>
      <c r="AU353" s="182"/>
      <c r="AV353" s="182"/>
      <c r="AW353" s="182"/>
      <c r="AX353" s="182"/>
      <c r="AY353" s="23"/>
      <c r="AZ353" s="40"/>
      <c r="BD353" s="191">
        <f>IFERROR(BC353/BB353,0)</f>
        <v>0</v>
      </c>
      <c r="BE353" s="182"/>
      <c r="BF353" s="182"/>
      <c r="BG353" s="182"/>
      <c r="BH353" s="182"/>
      <c r="BI353" s="182"/>
      <c r="BJ353" s="182"/>
      <c r="BK353" s="182"/>
      <c r="BL353" s="182"/>
      <c r="BM353" s="182"/>
      <c r="BN353" s="182"/>
      <c r="BO353" s="182"/>
      <c r="BP353" s="182"/>
      <c r="BQ353" s="182"/>
      <c r="BR353" s="182"/>
      <c r="BS353" s="182"/>
      <c r="BT353" s="182"/>
    </row>
    <row r="354" spans="1:72" x14ac:dyDescent="0.25">
      <c r="A354" s="218">
        <v>35233952</v>
      </c>
      <c r="B354" s="116" t="s">
        <v>5413</v>
      </c>
      <c r="C354" s="183">
        <v>9</v>
      </c>
      <c r="D354" s="23" t="str" cm="1">
        <f t="array" ref="D354">IFERROR(_xlfn.IFS(U354&lt;727,"MEET", AB354="FRRB","MEET", AB354="PSPS","MEET"),"No")</f>
        <v>MEET</v>
      </c>
      <c r="E354" s="23" t="str" cm="1">
        <f t="array" ref="E354">IFERROR(_xlfn.IFS(AM354&gt;0,"MEET", AN354&gt;0,"MEET"),"No")</f>
        <v>No</v>
      </c>
      <c r="F354" s="100">
        <v>2021295</v>
      </c>
      <c r="H354" s="37"/>
      <c r="I354" s="23"/>
      <c r="J354" s="183">
        <v>2021</v>
      </c>
      <c r="K354" s="182"/>
      <c r="L354" s="182"/>
      <c r="M354" s="37">
        <f t="shared" si="77"/>
        <v>0</v>
      </c>
      <c r="N354" s="21">
        <v>0</v>
      </c>
      <c r="O354" s="183" t="s">
        <v>4878</v>
      </c>
      <c r="P354" s="182">
        <v>103521103</v>
      </c>
      <c r="Q354" s="182" t="s">
        <v>2975</v>
      </c>
      <c r="R354" s="183" t="s">
        <v>2977</v>
      </c>
      <c r="S354" s="38">
        <f>IFERROR(VLOOKUP(R354,[47]conductor_pz_summary_hftd_23_re!$B$2:$Q$3636,8,FALSE),0)</f>
        <v>641</v>
      </c>
      <c r="T354" s="201">
        <f>IFERROR(VLOOKUP(R354,[48]conductor_pz_summary_hftd_23_re!$B$2:$H$3636,7,0),0)/1609</f>
        <v>57.142938485843821</v>
      </c>
      <c r="U354" s="23">
        <f>IFERROR(VLOOKUP(R354,[47]conductor_pz_summary_hftd_23_re!$B$2:$Q$3636,14,FALSE),0)</f>
        <v>49</v>
      </c>
      <c r="V354" s="37">
        <f t="shared" si="72"/>
        <v>270.40280484573793</v>
      </c>
      <c r="W354" s="202">
        <f>IFERROR(VLOOKUP(R354,[47]conductor_pz_summary_hftd_23_re!$B$2:$Q$3636,13,FALSE),0)</f>
        <v>0.42184524936932599</v>
      </c>
      <c r="X354" s="73">
        <f>IFERROR(VLOOKUP(R354,conductor_pz_summary_hftd_23_re!$B$2:$N$3636,13,FALSE),0)</f>
        <v>153</v>
      </c>
      <c r="Y354" s="203" t="e">
        <f t="shared" si="73"/>
        <v>#DIV/0!</v>
      </c>
      <c r="Z354" s="182"/>
      <c r="AA354" s="183"/>
      <c r="AB354" s="183" t="s">
        <v>5298</v>
      </c>
      <c r="AC354" s="182" t="s">
        <v>5434</v>
      </c>
      <c r="AD354" s="182" t="s">
        <v>5431</v>
      </c>
      <c r="AE354" s="182" t="s">
        <v>5210</v>
      </c>
      <c r="AF354" s="182" t="s">
        <v>4875</v>
      </c>
      <c r="AG354" s="183">
        <v>5794555</v>
      </c>
      <c r="AH354" s="183" t="s">
        <v>6493</v>
      </c>
      <c r="AI354" s="183">
        <v>120563958</v>
      </c>
      <c r="AJ354" s="183">
        <v>35233952</v>
      </c>
      <c r="AK354" s="183" t="s">
        <v>6500</v>
      </c>
      <c r="AL354" s="205"/>
      <c r="AM354" s="205"/>
      <c r="AN354" s="205"/>
      <c r="AO354" s="205"/>
      <c r="AP354" s="182"/>
      <c r="AQ354" s="39" t="s">
        <v>6364</v>
      </c>
      <c r="AR354" s="183"/>
      <c r="AS354" s="183"/>
      <c r="AT354" s="92"/>
      <c r="AU354" s="182"/>
      <c r="AV354" s="182"/>
      <c r="AW354" s="182"/>
      <c r="AX354" s="182"/>
      <c r="AY354" s="23"/>
      <c r="AZ354" s="40"/>
      <c r="BD354" s="191"/>
      <c r="BE354" s="182"/>
      <c r="BF354" s="182"/>
      <c r="BG354" s="182"/>
      <c r="BH354" s="182"/>
      <c r="BI354" s="182"/>
      <c r="BJ354" s="182"/>
      <c r="BK354" s="182"/>
      <c r="BL354" s="182"/>
      <c r="BM354" s="182"/>
      <c r="BN354" s="182"/>
      <c r="BO354" s="182"/>
      <c r="BP354" s="182"/>
      <c r="BQ354" s="182"/>
      <c r="BR354" s="182"/>
      <c r="BS354" s="182"/>
      <c r="BT354" s="182"/>
    </row>
    <row r="355" spans="1:72" s="182" customFormat="1" x14ac:dyDescent="0.25">
      <c r="A355" s="218">
        <v>35233953</v>
      </c>
      <c r="B355" s="116" t="s">
        <v>5413</v>
      </c>
      <c r="C355" s="183">
        <v>9</v>
      </c>
      <c r="D355" s="23" t="str" cm="1">
        <f t="array" ref="D355">IFERROR(_xlfn.IFS(U355&lt;727,"MEET", AB355="FRRB","MEET", AB355="PSPS","MEET"),"No")</f>
        <v>MEET</v>
      </c>
      <c r="E355" s="23" t="str" cm="1">
        <f t="array" ref="E355">IFERROR(_xlfn.IFS(AM355&gt;0,"MEET", AN355&gt;0,"MEET"),"No")</f>
        <v>No</v>
      </c>
      <c r="F355" s="100">
        <v>2021296</v>
      </c>
      <c r="G355" s="188"/>
      <c r="H355" s="37"/>
      <c r="I355" s="23"/>
      <c r="J355" s="183">
        <v>2021</v>
      </c>
      <c r="M355" s="37">
        <f t="shared" si="77"/>
        <v>0</v>
      </c>
      <c r="N355" s="21">
        <v>0</v>
      </c>
      <c r="O355" s="183" t="s">
        <v>4878</v>
      </c>
      <c r="P355" s="182">
        <v>103521103</v>
      </c>
      <c r="Q355" s="182" t="s">
        <v>2975</v>
      </c>
      <c r="R355" s="183" t="s">
        <v>2977</v>
      </c>
      <c r="S355" s="38">
        <f>IFERROR(VLOOKUP(R355,[47]conductor_pz_summary_hftd_23_re!$B$2:$Q$3636,8,FALSE),0)</f>
        <v>641</v>
      </c>
      <c r="T355" s="201">
        <f>IFERROR(VLOOKUP(R355,[48]conductor_pz_summary_hftd_23_re!$B$2:$H$3636,7,0),0)/1609</f>
        <v>57.142938485843821</v>
      </c>
      <c r="U355" s="23">
        <f>IFERROR(VLOOKUP(R355,[47]conductor_pz_summary_hftd_23_re!$B$2:$Q$3636,14,FALSE),0)</f>
        <v>49</v>
      </c>
      <c r="V355" s="37">
        <f t="shared" si="72"/>
        <v>270.40280484573793</v>
      </c>
      <c r="W355" s="202">
        <f>IFERROR(VLOOKUP(R355,[47]conductor_pz_summary_hftd_23_re!$B$2:$Q$3636,13,FALSE),0)</f>
        <v>0.42184524936932599</v>
      </c>
      <c r="X355" s="183">
        <f>IFERROR(VLOOKUP(R355,conductor_pz_summary_hftd_23_re!$B$2:$N$3636,13,FALSE),0)</f>
        <v>153</v>
      </c>
      <c r="Y355" s="203" t="e">
        <f t="shared" si="73"/>
        <v>#DIV/0!</v>
      </c>
      <c r="AA355" s="183"/>
      <c r="AB355" s="183" t="s">
        <v>5298</v>
      </c>
      <c r="AC355" s="182" t="s">
        <v>5434</v>
      </c>
      <c r="AD355" s="182" t="s">
        <v>5431</v>
      </c>
      <c r="AE355" s="182" t="s">
        <v>5210</v>
      </c>
      <c r="AF355" s="182" t="s">
        <v>4875</v>
      </c>
      <c r="AG355" s="183">
        <v>5794555</v>
      </c>
      <c r="AH355" s="183" t="s">
        <v>6494</v>
      </c>
      <c r="AI355" s="183">
        <v>120563959</v>
      </c>
      <c r="AJ355" s="183">
        <v>35233953</v>
      </c>
      <c r="AK355" s="183" t="s">
        <v>6501</v>
      </c>
      <c r="AL355" s="205"/>
      <c r="AM355" s="205"/>
      <c r="AN355" s="205"/>
      <c r="AO355" s="205"/>
      <c r="AQ355" s="39" t="s">
        <v>6364</v>
      </c>
      <c r="AR355" s="183"/>
      <c r="AS355" s="183"/>
      <c r="AT355" s="92"/>
      <c r="AY355" s="23"/>
      <c r="AZ355" s="40"/>
      <c r="BA355" s="173"/>
      <c r="BB355" s="188"/>
      <c r="BC355" s="189"/>
      <c r="BD355" s="191"/>
    </row>
    <row r="356" spans="1:72" s="182" customFormat="1" x14ac:dyDescent="0.25">
      <c r="A356" s="218">
        <v>35233955</v>
      </c>
      <c r="B356" s="116" t="s">
        <v>5413</v>
      </c>
      <c r="C356" s="183">
        <v>9</v>
      </c>
      <c r="D356" s="23" t="str" cm="1">
        <f t="array" ref="D356">IFERROR(_xlfn.IFS(U356&lt;727,"MEET", AB356="FRRB","MEET", AB356="PSPS","MEET"),"No")</f>
        <v>MEET</v>
      </c>
      <c r="E356" s="23" t="str" cm="1">
        <f t="array" ref="E356">IFERROR(_xlfn.IFS(AM356&gt;0,"MEET", AN356&gt;0,"MEET"),"No")</f>
        <v>No</v>
      </c>
      <c r="F356" s="100">
        <v>2021297</v>
      </c>
      <c r="G356" s="188"/>
      <c r="H356" s="37"/>
      <c r="I356" s="23"/>
      <c r="J356" s="183">
        <v>2021</v>
      </c>
      <c r="M356" s="37">
        <f t="shared" si="77"/>
        <v>0</v>
      </c>
      <c r="N356" s="21">
        <v>0</v>
      </c>
      <c r="O356" s="183" t="s">
        <v>4878</v>
      </c>
      <c r="P356" s="182">
        <v>103521103</v>
      </c>
      <c r="Q356" s="182" t="s">
        <v>2975</v>
      </c>
      <c r="R356" s="183" t="s">
        <v>2977</v>
      </c>
      <c r="S356" s="38">
        <f>IFERROR(VLOOKUP(R356,[47]conductor_pz_summary_hftd_23_re!$B$2:$Q$3636,8,FALSE),0)</f>
        <v>641</v>
      </c>
      <c r="T356" s="201">
        <f>IFERROR(VLOOKUP(R356,[48]conductor_pz_summary_hftd_23_re!$B$2:$H$3636,7,0),0)/1609</f>
        <v>57.142938485843821</v>
      </c>
      <c r="U356" s="23">
        <f>IFERROR(VLOOKUP(R356,[47]conductor_pz_summary_hftd_23_re!$B$2:$Q$3636,14,FALSE),0)</f>
        <v>49</v>
      </c>
      <c r="V356" s="37">
        <f t="shared" si="72"/>
        <v>270.40280484573793</v>
      </c>
      <c r="W356" s="202">
        <f>IFERROR(VLOOKUP(R356,[47]conductor_pz_summary_hftd_23_re!$B$2:$Q$3636,13,FALSE),0)</f>
        <v>0.42184524936932599</v>
      </c>
      <c r="X356" s="183">
        <f>IFERROR(VLOOKUP(R356,conductor_pz_summary_hftd_23_re!$B$2:$N$3636,13,FALSE),0)</f>
        <v>153</v>
      </c>
      <c r="Y356" s="203" t="e">
        <f t="shared" si="73"/>
        <v>#DIV/0!</v>
      </c>
      <c r="AA356" s="183"/>
      <c r="AB356" s="183" t="s">
        <v>5298</v>
      </c>
      <c r="AC356" s="182" t="s">
        <v>5434</v>
      </c>
      <c r="AD356" s="182" t="s">
        <v>5431</v>
      </c>
      <c r="AE356" s="182" t="s">
        <v>5210</v>
      </c>
      <c r="AF356" s="182" t="s">
        <v>4875</v>
      </c>
      <c r="AG356" s="183">
        <v>5794555</v>
      </c>
      <c r="AH356" s="183" t="s">
        <v>6495</v>
      </c>
      <c r="AI356" s="183">
        <v>120564050</v>
      </c>
      <c r="AJ356" s="183">
        <v>35233955</v>
      </c>
      <c r="AK356" s="183" t="s">
        <v>6502</v>
      </c>
      <c r="AL356" s="205"/>
      <c r="AM356" s="205"/>
      <c r="AN356" s="205"/>
      <c r="AO356" s="205"/>
      <c r="AQ356" s="39" t="s">
        <v>6364</v>
      </c>
      <c r="AR356" s="183"/>
      <c r="AS356" s="183"/>
      <c r="AT356" s="92"/>
      <c r="AY356" s="23"/>
      <c r="AZ356" s="40"/>
      <c r="BA356" s="173"/>
      <c r="BB356" s="188"/>
      <c r="BC356" s="189"/>
      <c r="BD356" s="191"/>
    </row>
    <row r="357" spans="1:72" s="182" customFormat="1" x14ac:dyDescent="0.25">
      <c r="A357" s="218">
        <v>35233957</v>
      </c>
      <c r="B357" s="116" t="s">
        <v>5413</v>
      </c>
      <c r="C357" s="183">
        <v>9</v>
      </c>
      <c r="D357" s="23" t="str" cm="1">
        <f t="array" ref="D357">IFERROR(_xlfn.IFS(U357&lt;727,"MEET", AB357="FRRB","MEET", AB357="PSPS","MEET"),"No")</f>
        <v>MEET</v>
      </c>
      <c r="E357" s="23" t="str" cm="1">
        <f t="array" ref="E357">IFERROR(_xlfn.IFS(AM357&gt;0,"MEET", AN357&gt;0,"MEET"),"No")</f>
        <v>No</v>
      </c>
      <c r="F357" s="100">
        <v>2021298</v>
      </c>
      <c r="G357" s="188"/>
      <c r="H357" s="37"/>
      <c r="I357" s="23"/>
      <c r="J357" s="183">
        <v>2021</v>
      </c>
      <c r="M357" s="37">
        <f t="shared" si="77"/>
        <v>0</v>
      </c>
      <c r="N357" s="21">
        <v>0</v>
      </c>
      <c r="O357" s="183" t="s">
        <v>4878</v>
      </c>
      <c r="P357" s="182">
        <v>103521103</v>
      </c>
      <c r="Q357" s="182" t="s">
        <v>2975</v>
      </c>
      <c r="R357" s="183" t="s">
        <v>2977</v>
      </c>
      <c r="S357" s="38">
        <f>IFERROR(VLOOKUP(R357,[47]conductor_pz_summary_hftd_23_re!$B$2:$Q$3636,8,FALSE),0)</f>
        <v>641</v>
      </c>
      <c r="T357" s="201">
        <f>IFERROR(VLOOKUP(R357,[48]conductor_pz_summary_hftd_23_re!$B$2:$H$3636,7,0),0)/1609</f>
        <v>57.142938485843821</v>
      </c>
      <c r="U357" s="23">
        <f>IFERROR(VLOOKUP(R357,[47]conductor_pz_summary_hftd_23_re!$B$2:$Q$3636,14,FALSE),0)</f>
        <v>49</v>
      </c>
      <c r="V357" s="37">
        <f t="shared" si="72"/>
        <v>270.40280484573793</v>
      </c>
      <c r="W357" s="202">
        <f>IFERROR(VLOOKUP(R357,[47]conductor_pz_summary_hftd_23_re!$B$2:$Q$3636,13,FALSE),0)</f>
        <v>0.42184524936932599</v>
      </c>
      <c r="X357" s="183">
        <f>IFERROR(VLOOKUP(R357,conductor_pz_summary_hftd_23_re!$B$2:$N$3636,13,FALSE),0)</f>
        <v>153</v>
      </c>
      <c r="Y357" s="203" t="e">
        <f t="shared" si="73"/>
        <v>#DIV/0!</v>
      </c>
      <c r="AA357" s="183"/>
      <c r="AB357" s="183" t="s">
        <v>5298</v>
      </c>
      <c r="AC357" s="182" t="s">
        <v>5434</v>
      </c>
      <c r="AD357" s="182" t="s">
        <v>5431</v>
      </c>
      <c r="AE357" s="182" t="s">
        <v>5210</v>
      </c>
      <c r="AF357" s="182" t="s">
        <v>4875</v>
      </c>
      <c r="AG357" s="183">
        <v>5794555</v>
      </c>
      <c r="AH357" s="183" t="s">
        <v>6496</v>
      </c>
      <c r="AI357" s="183">
        <v>120564051</v>
      </c>
      <c r="AJ357" s="183">
        <v>35233957</v>
      </c>
      <c r="AK357" s="183" t="s">
        <v>6503</v>
      </c>
      <c r="AL357" s="205"/>
      <c r="AM357" s="205"/>
      <c r="AN357" s="205"/>
      <c r="AO357" s="205"/>
      <c r="AQ357" s="39" t="s">
        <v>6364</v>
      </c>
      <c r="AR357" s="183"/>
      <c r="AS357" s="183"/>
      <c r="AT357" s="92"/>
      <c r="AY357" s="23"/>
      <c r="AZ357" s="40"/>
      <c r="BA357" s="173"/>
      <c r="BB357" s="188"/>
      <c r="BC357" s="189"/>
      <c r="BD357" s="191"/>
    </row>
    <row r="358" spans="1:72" s="182" customFormat="1" x14ac:dyDescent="0.25">
      <c r="A358" s="218">
        <v>35233959</v>
      </c>
      <c r="B358" s="116" t="s">
        <v>5413</v>
      </c>
      <c r="C358" s="183">
        <v>9</v>
      </c>
      <c r="D358" s="23" t="str" cm="1">
        <f t="array" ref="D358">IFERROR(_xlfn.IFS(U358&lt;727,"MEET", AB358="FRRB","MEET", AB358="PSPS","MEET"),"No")</f>
        <v>MEET</v>
      </c>
      <c r="E358" s="23" t="str" cm="1">
        <f t="array" ref="E358">IFERROR(_xlfn.IFS(AM358&gt;0,"MEET", AN358&gt;0,"MEET"),"No")</f>
        <v>No</v>
      </c>
      <c r="F358" s="100">
        <v>2021299</v>
      </c>
      <c r="G358" s="188"/>
      <c r="H358" s="37"/>
      <c r="I358" s="23"/>
      <c r="J358" s="183">
        <v>2021</v>
      </c>
      <c r="M358" s="37">
        <f t="shared" si="77"/>
        <v>0</v>
      </c>
      <c r="N358" s="21">
        <v>0</v>
      </c>
      <c r="O358" s="183" t="s">
        <v>4878</v>
      </c>
      <c r="P358" s="182">
        <v>103521103</v>
      </c>
      <c r="Q358" s="182" t="s">
        <v>2975</v>
      </c>
      <c r="R358" s="183" t="s">
        <v>2977</v>
      </c>
      <c r="S358" s="38">
        <f>IFERROR(VLOOKUP(R358,[47]conductor_pz_summary_hftd_23_re!$B$2:$Q$3636,8,FALSE),0)</f>
        <v>641</v>
      </c>
      <c r="T358" s="201">
        <f>IFERROR(VLOOKUP(R358,[48]conductor_pz_summary_hftd_23_re!$B$2:$H$3636,7,0),0)/1609</f>
        <v>57.142938485843821</v>
      </c>
      <c r="U358" s="23">
        <f>IFERROR(VLOOKUP(R358,[47]conductor_pz_summary_hftd_23_re!$B$2:$Q$3636,14,FALSE),0)</f>
        <v>49</v>
      </c>
      <c r="V358" s="37">
        <f t="shared" si="72"/>
        <v>270.40280484573793</v>
      </c>
      <c r="W358" s="202">
        <f>IFERROR(VLOOKUP(R358,[47]conductor_pz_summary_hftd_23_re!$B$2:$Q$3636,13,FALSE),0)</f>
        <v>0.42184524936932599</v>
      </c>
      <c r="X358" s="183">
        <f>IFERROR(VLOOKUP(R358,conductor_pz_summary_hftd_23_re!$B$2:$N$3636,13,FALSE),0)</f>
        <v>153</v>
      </c>
      <c r="Y358" s="203" t="e">
        <f t="shared" si="73"/>
        <v>#DIV/0!</v>
      </c>
      <c r="AA358" s="183"/>
      <c r="AB358" s="183" t="s">
        <v>5298</v>
      </c>
      <c r="AC358" s="182" t="s">
        <v>5434</v>
      </c>
      <c r="AD358" s="182" t="s">
        <v>5431</v>
      </c>
      <c r="AE358" s="182" t="s">
        <v>5210</v>
      </c>
      <c r="AF358" s="182" t="s">
        <v>4875</v>
      </c>
      <c r="AG358" s="183">
        <v>5794555</v>
      </c>
      <c r="AH358" s="183" t="s">
        <v>6497</v>
      </c>
      <c r="AI358" s="183">
        <v>120564052</v>
      </c>
      <c r="AJ358" s="183">
        <v>35233959</v>
      </c>
      <c r="AK358" s="183" t="s">
        <v>6504</v>
      </c>
      <c r="AL358" s="205"/>
      <c r="AM358" s="205"/>
      <c r="AN358" s="205"/>
      <c r="AO358" s="205"/>
      <c r="AQ358" s="39" t="s">
        <v>6364</v>
      </c>
      <c r="AR358" s="183"/>
      <c r="AS358" s="183"/>
      <c r="AT358" s="92"/>
      <c r="AY358" s="23"/>
      <c r="AZ358" s="40"/>
      <c r="BA358" s="173"/>
      <c r="BB358" s="188"/>
      <c r="BC358" s="189"/>
      <c r="BD358" s="191"/>
    </row>
    <row r="359" spans="1:72" s="182" customFormat="1" x14ac:dyDescent="0.25">
      <c r="A359" s="218">
        <v>35234381</v>
      </c>
      <c r="B359" s="116" t="s">
        <v>5413</v>
      </c>
      <c r="C359" s="183">
        <v>9</v>
      </c>
      <c r="D359" s="23" t="str" cm="1">
        <f t="array" ref="D359">IFERROR(_xlfn.IFS(U359&lt;727,"MEET", AB359="FRRB","MEET", AB359="PSPS","MEET"),"No")</f>
        <v>MEET</v>
      </c>
      <c r="E359" s="23" t="str" cm="1">
        <f t="array" ref="E359">IFERROR(_xlfn.IFS(AM359&gt;0,"MEET", AN359&gt;0,"MEET"),"No")</f>
        <v>No</v>
      </c>
      <c r="F359" s="100">
        <v>2021300</v>
      </c>
      <c r="G359" s="188"/>
      <c r="H359" s="37"/>
      <c r="I359" s="23"/>
      <c r="J359" s="183">
        <v>2021</v>
      </c>
      <c r="M359" s="37">
        <f t="shared" si="77"/>
        <v>0</v>
      </c>
      <c r="N359" s="21">
        <v>0</v>
      </c>
      <c r="O359" s="183" t="s">
        <v>4878</v>
      </c>
      <c r="P359" s="182">
        <v>103521103</v>
      </c>
      <c r="Q359" s="182" t="s">
        <v>2975</v>
      </c>
      <c r="R359" s="183" t="s">
        <v>2977</v>
      </c>
      <c r="S359" s="38">
        <f>IFERROR(VLOOKUP(R359,[47]conductor_pz_summary_hftd_23_re!$B$2:$Q$3636,8,FALSE),0)</f>
        <v>641</v>
      </c>
      <c r="T359" s="201">
        <f>IFERROR(VLOOKUP(R359,[48]conductor_pz_summary_hftd_23_re!$B$2:$H$3636,7,0),0)/1609</f>
        <v>57.142938485843821</v>
      </c>
      <c r="U359" s="23">
        <f>IFERROR(VLOOKUP(R359,[47]conductor_pz_summary_hftd_23_re!$B$2:$Q$3636,14,FALSE),0)</f>
        <v>49</v>
      </c>
      <c r="V359" s="37">
        <f t="shared" si="72"/>
        <v>270.40280484573793</v>
      </c>
      <c r="W359" s="202">
        <f>IFERROR(VLOOKUP(R359,[47]conductor_pz_summary_hftd_23_re!$B$2:$Q$3636,13,FALSE),0)</f>
        <v>0.42184524936932599</v>
      </c>
      <c r="X359" s="183">
        <f>IFERROR(VLOOKUP(R359,conductor_pz_summary_hftd_23_re!$B$2:$N$3636,13,FALSE),0)</f>
        <v>153</v>
      </c>
      <c r="Y359" s="203" t="e">
        <f t="shared" si="73"/>
        <v>#DIV/0!</v>
      </c>
      <c r="AA359" s="183"/>
      <c r="AB359" s="183" t="s">
        <v>5298</v>
      </c>
      <c r="AC359" s="182" t="s">
        <v>5434</v>
      </c>
      <c r="AD359" s="182" t="s">
        <v>5431</v>
      </c>
      <c r="AE359" s="182" t="s">
        <v>5210</v>
      </c>
      <c r="AF359" s="182" t="s">
        <v>4875</v>
      </c>
      <c r="AG359" s="183">
        <v>5794555</v>
      </c>
      <c r="AH359" s="183" t="s">
        <v>6498</v>
      </c>
      <c r="AI359" s="183">
        <v>120564055</v>
      </c>
      <c r="AJ359" s="183">
        <v>35234381</v>
      </c>
      <c r="AK359" s="183" t="s">
        <v>6505</v>
      </c>
      <c r="AL359" s="205"/>
      <c r="AM359" s="205"/>
      <c r="AN359" s="205"/>
      <c r="AO359" s="205"/>
      <c r="AQ359" s="39" t="s">
        <v>6364</v>
      </c>
      <c r="AR359" s="183"/>
      <c r="AS359" s="183"/>
      <c r="AT359" s="92"/>
      <c r="AY359" s="23"/>
      <c r="AZ359" s="40"/>
      <c r="BA359" s="173"/>
      <c r="BB359" s="188"/>
      <c r="BC359" s="189"/>
      <c r="BD359" s="191"/>
    </row>
    <row r="360" spans="1:72" s="59" customFormat="1" x14ac:dyDescent="0.25">
      <c r="A360" s="218">
        <v>35234382</v>
      </c>
      <c r="B360" s="116" t="s">
        <v>5413</v>
      </c>
      <c r="C360" s="183">
        <v>9</v>
      </c>
      <c r="D360" s="23" t="str" cm="1">
        <f t="array" ref="D360">IFERROR(_xlfn.IFS(U360&lt;727,"MEET", AB360="FRRB","MEET", AB360="PSPS","MEET"),"No")</f>
        <v>MEET</v>
      </c>
      <c r="E360" s="23" t="str" cm="1">
        <f t="array" ref="E360">IFERROR(_xlfn.IFS(AM360&gt;0,"MEET", AN360&gt;0,"MEET"),"No")</f>
        <v>No</v>
      </c>
      <c r="F360" s="100">
        <v>2021301</v>
      </c>
      <c r="G360" s="188"/>
      <c r="H360" s="37"/>
      <c r="I360" s="23"/>
      <c r="J360" s="183">
        <v>2021</v>
      </c>
      <c r="K360" s="182"/>
      <c r="L360" s="182"/>
      <c r="M360" s="37">
        <f t="shared" si="77"/>
        <v>0</v>
      </c>
      <c r="N360" s="21">
        <v>0</v>
      </c>
      <c r="O360" s="183" t="s">
        <v>4878</v>
      </c>
      <c r="P360" s="182">
        <v>103521103</v>
      </c>
      <c r="Q360" s="182" t="s">
        <v>2975</v>
      </c>
      <c r="R360" s="183" t="s">
        <v>2977</v>
      </c>
      <c r="S360" s="38">
        <f>IFERROR(VLOOKUP(R360,[47]conductor_pz_summary_hftd_23_re!$B$2:$Q$3636,8,FALSE),0)</f>
        <v>641</v>
      </c>
      <c r="T360" s="201">
        <f>IFERROR(VLOOKUP(R360,[48]conductor_pz_summary_hftd_23_re!$B$2:$H$3636,7,0),0)/1609</f>
        <v>57.142938485843821</v>
      </c>
      <c r="U360" s="23">
        <f>IFERROR(VLOOKUP(R360,[47]conductor_pz_summary_hftd_23_re!$B$2:$Q$3636,14,FALSE),0)</f>
        <v>49</v>
      </c>
      <c r="V360" s="37">
        <f t="shared" si="72"/>
        <v>270.40280484573793</v>
      </c>
      <c r="W360" s="202">
        <f>IFERROR(VLOOKUP(R360,[47]conductor_pz_summary_hftd_23_re!$B$2:$Q$3636,13,FALSE),0)</f>
        <v>0.42184524936932599</v>
      </c>
      <c r="X360" s="73">
        <f>IFERROR(VLOOKUP(R360,conductor_pz_summary_hftd_23_re!$B$2:$N$3636,13,FALSE),0)</f>
        <v>153</v>
      </c>
      <c r="Y360" s="203" t="e">
        <f t="shared" si="73"/>
        <v>#DIV/0!</v>
      </c>
      <c r="Z360" s="182"/>
      <c r="AA360" s="183"/>
      <c r="AB360" s="183" t="s">
        <v>5298</v>
      </c>
      <c r="AC360" s="182" t="s">
        <v>5434</v>
      </c>
      <c r="AD360" s="182" t="s">
        <v>5431</v>
      </c>
      <c r="AE360" s="182" t="s">
        <v>5210</v>
      </c>
      <c r="AF360" s="182" t="s">
        <v>4875</v>
      </c>
      <c r="AG360" s="183">
        <v>5794555</v>
      </c>
      <c r="AH360" s="183" t="s">
        <v>6499</v>
      </c>
      <c r="AI360" s="183">
        <v>120564057</v>
      </c>
      <c r="AJ360" s="183">
        <v>35234382</v>
      </c>
      <c r="AK360" s="183" t="s">
        <v>6506</v>
      </c>
      <c r="AL360" s="205"/>
      <c r="AM360" s="205"/>
      <c r="AN360" s="205"/>
      <c r="AO360" s="205"/>
      <c r="AP360" s="182"/>
      <c r="AQ360" s="39" t="s">
        <v>6364</v>
      </c>
      <c r="AR360" s="183"/>
      <c r="AS360" s="183"/>
      <c r="AT360" s="92"/>
      <c r="AU360" s="182"/>
      <c r="AV360" s="182"/>
      <c r="AW360" s="182"/>
      <c r="AX360" s="182"/>
      <c r="AY360" s="23"/>
      <c r="AZ360" s="40"/>
      <c r="BA360" s="173"/>
      <c r="BB360" s="188"/>
      <c r="BC360" s="189"/>
      <c r="BD360" s="191"/>
      <c r="BE360" s="182"/>
      <c r="BF360" s="182"/>
      <c r="BG360" s="182"/>
      <c r="BH360" s="182"/>
      <c r="BI360" s="182"/>
      <c r="BJ360" s="182"/>
      <c r="BK360" s="182"/>
      <c r="BL360" s="182"/>
      <c r="BM360" s="182"/>
      <c r="BN360" s="182"/>
      <c r="BO360" s="182"/>
      <c r="BP360" s="182"/>
      <c r="BQ360" s="182"/>
      <c r="BR360" s="182"/>
      <c r="BS360" s="182"/>
      <c r="BT360" s="182"/>
    </row>
    <row r="361" spans="1:72" s="182" customFormat="1" x14ac:dyDescent="0.25">
      <c r="A361" s="218">
        <v>35225827</v>
      </c>
      <c r="B361" s="116" t="s">
        <v>5413</v>
      </c>
      <c r="C361" s="183">
        <v>9</v>
      </c>
      <c r="D361" s="23" t="str" cm="1">
        <f t="array" ref="D361">IFERROR(_xlfn.IFS(U361&lt;727,"MEET", AB361="FRRB","MEET", AB361="PSPS","MEET"),"No")</f>
        <v>MEET</v>
      </c>
      <c r="E361" s="23" t="str" cm="1">
        <f t="array" ref="E361">IFERROR(_xlfn.IFS(AM361&gt;0,"MEET", AN361&gt;0,"MEET"),"No")</f>
        <v>No</v>
      </c>
      <c r="F361" s="100">
        <v>2021302</v>
      </c>
      <c r="G361" s="188"/>
      <c r="H361" s="37">
        <f>SUM(AL361:AO361)/5280</f>
        <v>6.5636363636363635</v>
      </c>
      <c r="I361" s="23">
        <f>H361-M361</f>
        <v>6.5636363636363635</v>
      </c>
      <c r="J361" s="183">
        <v>2021</v>
      </c>
      <c r="M361" s="37">
        <f t="shared" si="77"/>
        <v>0</v>
      </c>
      <c r="N361" s="21">
        <v>1182.27</v>
      </c>
      <c r="O361" s="183" t="s">
        <v>4878</v>
      </c>
      <c r="P361" s="182">
        <v>103521103</v>
      </c>
      <c r="Q361" s="182" t="s">
        <v>2975</v>
      </c>
      <c r="R361" s="183" t="s">
        <v>2977</v>
      </c>
      <c r="S361" s="38">
        <f>IFERROR(VLOOKUP(R361,[47]conductor_pz_summary_hftd_23_re!$B$2:$Q$3636,8,FALSE),0)</f>
        <v>641</v>
      </c>
      <c r="T361" s="201">
        <f>IFERROR(VLOOKUP(R361,[48]conductor_pz_summary_hftd_23_re!$B$2:$H$3636,7,0),0)/1609</f>
        <v>57.142938485843821</v>
      </c>
      <c r="U361" s="23">
        <f>IFERROR(VLOOKUP(R361,[47]conductor_pz_summary_hftd_23_re!$B$2:$Q$3636,14,FALSE),0)</f>
        <v>49</v>
      </c>
      <c r="V361" s="37">
        <f t="shared" si="72"/>
        <v>270.40280484573793</v>
      </c>
      <c r="W361" s="202">
        <f>IFERROR(VLOOKUP(R361,[47]conductor_pz_summary_hftd_23_re!$B$2:$Q$3636,13,FALSE),0)</f>
        <v>0.42184524936932599</v>
      </c>
      <c r="X361" s="183">
        <f>IFERROR(VLOOKUP(R361,conductor_pz_summary_hftd_23_re!$B$2:$N$3636,13,FALSE),0)</f>
        <v>153</v>
      </c>
      <c r="Y361" s="203">
        <f t="shared" si="73"/>
        <v>19.256831245312135</v>
      </c>
      <c r="AA361" s="183"/>
      <c r="AB361" s="183" t="s">
        <v>5298</v>
      </c>
      <c r="AC361" s="182" t="s">
        <v>5434</v>
      </c>
      <c r="AD361" s="182" t="s">
        <v>5431</v>
      </c>
      <c r="AE361" s="182" t="s">
        <v>5210</v>
      </c>
      <c r="AF361" s="182" t="s">
        <v>4875</v>
      </c>
      <c r="AG361" s="183">
        <v>5794555</v>
      </c>
      <c r="AH361" s="183" t="s">
        <v>6050</v>
      </c>
      <c r="AI361" s="183">
        <v>120426404</v>
      </c>
      <c r="AJ361" s="183">
        <v>35225827</v>
      </c>
      <c r="AK361" s="183" t="s">
        <v>6537</v>
      </c>
      <c r="AL361" s="205">
        <v>34656</v>
      </c>
      <c r="AM361" s="205">
        <v>0</v>
      </c>
      <c r="AN361" s="205">
        <v>0</v>
      </c>
      <c r="AO361" s="205">
        <v>0</v>
      </c>
      <c r="AQ361" s="39" t="s">
        <v>6365</v>
      </c>
      <c r="AR361" s="183">
        <f>AS361*5280</f>
        <v>34636.799999999996</v>
      </c>
      <c r="AS361" s="183">
        <v>6.56</v>
      </c>
      <c r="AT361" s="92"/>
      <c r="AY361" s="23"/>
      <c r="AZ361" s="40"/>
      <c r="BA361" s="173"/>
      <c r="BB361" s="188"/>
      <c r="BC361" s="189"/>
      <c r="BD361" s="191">
        <f>IFERROR(BC361/BB361,0)</f>
        <v>0</v>
      </c>
    </row>
    <row r="362" spans="1:72" s="182" customFormat="1" x14ac:dyDescent="0.25">
      <c r="A362" s="218">
        <v>35233954</v>
      </c>
      <c r="B362" s="116" t="s">
        <v>5413</v>
      </c>
      <c r="C362" s="183">
        <v>9</v>
      </c>
      <c r="D362" s="23" t="str" cm="1">
        <f t="array" ref="D362">IFERROR(_xlfn.IFS(U362&lt;727,"MEET", AB362="FRRB","MEET", AB362="PSPS","MEET"),"No")</f>
        <v>MEET</v>
      </c>
      <c r="E362" s="23" t="str" cm="1">
        <f t="array" ref="E362">IFERROR(_xlfn.IFS(AM362&gt;0,"MEET", AN362&gt;0,"MEET"),"No")</f>
        <v>No</v>
      </c>
      <c r="F362" s="100">
        <v>2021303</v>
      </c>
      <c r="G362" s="188"/>
      <c r="H362" s="37"/>
      <c r="I362" s="23"/>
      <c r="J362" s="183">
        <v>2021</v>
      </c>
      <c r="M362" s="37">
        <f t="shared" ref="M362:M393" si="80">SUM(K362:L362)</f>
        <v>0</v>
      </c>
      <c r="N362" s="21">
        <v>0</v>
      </c>
      <c r="O362" s="183" t="s">
        <v>4878</v>
      </c>
      <c r="P362" s="182">
        <v>103521103</v>
      </c>
      <c r="Q362" s="182" t="s">
        <v>2975</v>
      </c>
      <c r="R362" s="183" t="s">
        <v>2977</v>
      </c>
      <c r="S362" s="38">
        <f>IFERROR(VLOOKUP(R362,[47]conductor_pz_summary_hftd_23_re!$B$2:$Q$3636,8,FALSE),0)</f>
        <v>641</v>
      </c>
      <c r="T362" s="201">
        <f>IFERROR(VLOOKUP(R362,[48]conductor_pz_summary_hftd_23_re!$B$2:$H$3636,7,0),0)/1609</f>
        <v>57.142938485843821</v>
      </c>
      <c r="U362" s="23">
        <f>IFERROR(VLOOKUP(R362,[47]conductor_pz_summary_hftd_23_re!$B$2:$Q$3636,14,FALSE),0)</f>
        <v>49</v>
      </c>
      <c r="V362" s="37">
        <f t="shared" si="72"/>
        <v>270.40280484573793</v>
      </c>
      <c r="W362" s="202">
        <f>IFERROR(VLOOKUP(R362,[47]conductor_pz_summary_hftd_23_re!$B$2:$Q$3636,13,FALSE),0)</f>
        <v>0.42184524936932599</v>
      </c>
      <c r="X362" s="183">
        <f>IFERROR(VLOOKUP(R362,conductor_pz_summary_hftd_23_re!$B$2:$N$3636,13,FALSE),0)</f>
        <v>153</v>
      </c>
      <c r="Y362" s="203" t="e">
        <f t="shared" si="73"/>
        <v>#DIV/0!</v>
      </c>
      <c r="AA362" s="183"/>
      <c r="AB362" s="183" t="s">
        <v>5298</v>
      </c>
      <c r="AC362" s="182" t="s">
        <v>5434</v>
      </c>
      <c r="AD362" s="182" t="s">
        <v>5431</v>
      </c>
      <c r="AE362" s="182" t="s">
        <v>5210</v>
      </c>
      <c r="AF362" s="182" t="s">
        <v>4875</v>
      </c>
      <c r="AG362" s="183">
        <v>5794555</v>
      </c>
      <c r="AH362" s="183" t="s">
        <v>6509</v>
      </c>
      <c r="AI362" s="183">
        <v>120564059</v>
      </c>
      <c r="AJ362" s="183">
        <v>35233954</v>
      </c>
      <c r="AK362" s="183" t="s">
        <v>6517</v>
      </c>
      <c r="AL362" s="205"/>
      <c r="AM362" s="205"/>
      <c r="AN362" s="205"/>
      <c r="AO362" s="205"/>
      <c r="AQ362" s="39" t="s">
        <v>6365</v>
      </c>
      <c r="AR362" s="183"/>
      <c r="AS362" s="183"/>
      <c r="AT362" s="92"/>
      <c r="AY362" s="23"/>
      <c r="AZ362" s="40"/>
      <c r="BA362" s="173"/>
      <c r="BB362" s="188"/>
      <c r="BC362" s="189"/>
      <c r="BD362" s="191"/>
    </row>
    <row r="363" spans="1:72" s="182" customFormat="1" x14ac:dyDescent="0.25">
      <c r="A363" s="218">
        <v>35233956</v>
      </c>
      <c r="B363" s="116" t="s">
        <v>5413</v>
      </c>
      <c r="C363" s="183">
        <v>9</v>
      </c>
      <c r="D363" s="23" t="str" cm="1">
        <f t="array" ref="D363">IFERROR(_xlfn.IFS(U363&lt;727,"MEET", AB363="FRRB","MEET", AB363="PSPS","MEET"),"No")</f>
        <v>MEET</v>
      </c>
      <c r="E363" s="23" t="str" cm="1">
        <f t="array" ref="E363">IFERROR(_xlfn.IFS(AM363&gt;0,"MEET", AN363&gt;0,"MEET"),"No")</f>
        <v>No</v>
      </c>
      <c r="F363" s="100">
        <v>2021304</v>
      </c>
      <c r="G363" s="188"/>
      <c r="H363" s="37"/>
      <c r="I363" s="23"/>
      <c r="J363" s="183">
        <v>2021</v>
      </c>
      <c r="M363" s="37">
        <f t="shared" si="80"/>
        <v>0</v>
      </c>
      <c r="N363" s="21">
        <v>0</v>
      </c>
      <c r="O363" s="183" t="s">
        <v>4878</v>
      </c>
      <c r="P363" s="182">
        <v>103521103</v>
      </c>
      <c r="Q363" s="182" t="s">
        <v>2975</v>
      </c>
      <c r="R363" s="183" t="s">
        <v>2977</v>
      </c>
      <c r="S363" s="38">
        <f>IFERROR(VLOOKUP(R363,[47]conductor_pz_summary_hftd_23_re!$B$2:$Q$3636,8,FALSE),0)</f>
        <v>641</v>
      </c>
      <c r="T363" s="201">
        <f>IFERROR(VLOOKUP(R363,[48]conductor_pz_summary_hftd_23_re!$B$2:$H$3636,7,0),0)/1609</f>
        <v>57.142938485843821</v>
      </c>
      <c r="U363" s="23">
        <f>IFERROR(VLOOKUP(R363,[47]conductor_pz_summary_hftd_23_re!$B$2:$Q$3636,14,FALSE),0)</f>
        <v>49</v>
      </c>
      <c r="V363" s="37">
        <f t="shared" si="72"/>
        <v>270.40280484573793</v>
      </c>
      <c r="W363" s="202">
        <f>IFERROR(VLOOKUP(R363,[47]conductor_pz_summary_hftd_23_re!$B$2:$Q$3636,13,FALSE),0)</f>
        <v>0.42184524936932599</v>
      </c>
      <c r="X363" s="183">
        <f>IFERROR(VLOOKUP(R363,conductor_pz_summary_hftd_23_re!$B$2:$N$3636,13,FALSE),0)</f>
        <v>153</v>
      </c>
      <c r="Y363" s="203" t="e">
        <f t="shared" si="73"/>
        <v>#DIV/0!</v>
      </c>
      <c r="AA363" s="183"/>
      <c r="AB363" s="183" t="s">
        <v>5298</v>
      </c>
      <c r="AC363" s="182" t="s">
        <v>5434</v>
      </c>
      <c r="AD363" s="182" t="s">
        <v>5431</v>
      </c>
      <c r="AE363" s="182" t="s">
        <v>5210</v>
      </c>
      <c r="AF363" s="182" t="s">
        <v>4875</v>
      </c>
      <c r="AG363" s="183">
        <v>5794555</v>
      </c>
      <c r="AH363" s="183" t="s">
        <v>6510</v>
      </c>
      <c r="AI363" s="183">
        <v>120564070</v>
      </c>
      <c r="AJ363" s="183">
        <v>35233956</v>
      </c>
      <c r="AK363" s="183" t="s">
        <v>6518</v>
      </c>
      <c r="AL363" s="205"/>
      <c r="AM363" s="205"/>
      <c r="AN363" s="205"/>
      <c r="AO363" s="205"/>
      <c r="AQ363" s="39" t="s">
        <v>6365</v>
      </c>
      <c r="AR363" s="183"/>
      <c r="AS363" s="183"/>
      <c r="AT363" s="92"/>
      <c r="AY363" s="23"/>
      <c r="AZ363" s="40"/>
      <c r="BA363" s="173"/>
      <c r="BB363" s="188"/>
      <c r="BC363" s="189"/>
      <c r="BD363" s="191"/>
    </row>
    <row r="364" spans="1:72" s="182" customFormat="1" x14ac:dyDescent="0.25">
      <c r="A364" s="218">
        <v>35233958</v>
      </c>
      <c r="B364" s="116" t="s">
        <v>5413</v>
      </c>
      <c r="C364" s="183">
        <v>9</v>
      </c>
      <c r="D364" s="23" t="str" cm="1">
        <f t="array" ref="D364">IFERROR(_xlfn.IFS(U364&lt;727,"MEET", AB364="FRRB","MEET", AB364="PSPS","MEET"),"No")</f>
        <v>MEET</v>
      </c>
      <c r="E364" s="23" t="str" cm="1">
        <f t="array" ref="E364">IFERROR(_xlfn.IFS(AM364&gt;0,"MEET", AN364&gt;0,"MEET"),"No")</f>
        <v>No</v>
      </c>
      <c r="F364" s="100">
        <v>2021305</v>
      </c>
      <c r="G364" s="188"/>
      <c r="H364" s="37"/>
      <c r="I364" s="23"/>
      <c r="J364" s="183">
        <v>2021</v>
      </c>
      <c r="M364" s="37">
        <f t="shared" si="80"/>
        <v>0</v>
      </c>
      <c r="N364" s="21">
        <v>0</v>
      </c>
      <c r="O364" s="183" t="s">
        <v>4878</v>
      </c>
      <c r="P364" s="182">
        <v>103521103</v>
      </c>
      <c r="Q364" s="182" t="s">
        <v>2975</v>
      </c>
      <c r="R364" s="183" t="s">
        <v>2977</v>
      </c>
      <c r="S364" s="38">
        <f>IFERROR(VLOOKUP(R364,[47]conductor_pz_summary_hftd_23_re!$B$2:$Q$3636,8,FALSE),0)</f>
        <v>641</v>
      </c>
      <c r="T364" s="201">
        <f>IFERROR(VLOOKUP(R364,[48]conductor_pz_summary_hftd_23_re!$B$2:$H$3636,7,0),0)/1609</f>
        <v>57.142938485843821</v>
      </c>
      <c r="U364" s="23">
        <f>IFERROR(VLOOKUP(R364,[47]conductor_pz_summary_hftd_23_re!$B$2:$Q$3636,14,FALSE),0)</f>
        <v>49</v>
      </c>
      <c r="V364" s="37">
        <f t="shared" si="72"/>
        <v>270.40280484573793</v>
      </c>
      <c r="W364" s="202">
        <f>IFERROR(VLOOKUP(R364,[47]conductor_pz_summary_hftd_23_re!$B$2:$Q$3636,13,FALSE),0)</f>
        <v>0.42184524936932599</v>
      </c>
      <c r="X364" s="183">
        <f>IFERROR(VLOOKUP(R364,conductor_pz_summary_hftd_23_re!$B$2:$N$3636,13,FALSE),0)</f>
        <v>153</v>
      </c>
      <c r="Y364" s="203" t="e">
        <f t="shared" si="73"/>
        <v>#DIV/0!</v>
      </c>
      <c r="AA364" s="183"/>
      <c r="AB364" s="183" t="s">
        <v>5298</v>
      </c>
      <c r="AC364" s="182" t="s">
        <v>5434</v>
      </c>
      <c r="AD364" s="182" t="s">
        <v>5431</v>
      </c>
      <c r="AE364" s="182" t="s">
        <v>5210</v>
      </c>
      <c r="AF364" s="182" t="s">
        <v>4875</v>
      </c>
      <c r="AG364" s="183">
        <v>5794555</v>
      </c>
      <c r="AH364" s="183" t="s">
        <v>6511</v>
      </c>
      <c r="AI364" s="183">
        <v>120564071</v>
      </c>
      <c r="AJ364" s="183">
        <v>35233958</v>
      </c>
      <c r="AK364" s="183" t="s">
        <v>6519</v>
      </c>
      <c r="AL364" s="205"/>
      <c r="AM364" s="205"/>
      <c r="AN364" s="205"/>
      <c r="AO364" s="205"/>
      <c r="AQ364" s="39" t="s">
        <v>6365</v>
      </c>
      <c r="AR364" s="183"/>
      <c r="AS364" s="183"/>
      <c r="AT364" s="92"/>
      <c r="AY364" s="23"/>
      <c r="AZ364" s="40"/>
      <c r="BA364" s="173"/>
      <c r="BB364" s="188"/>
      <c r="BC364" s="189"/>
      <c r="BD364" s="191"/>
    </row>
    <row r="365" spans="1:72" s="182" customFormat="1" x14ac:dyDescent="0.25">
      <c r="A365" s="218">
        <v>35234380</v>
      </c>
      <c r="B365" s="116" t="s">
        <v>5413</v>
      </c>
      <c r="C365" s="183">
        <v>9</v>
      </c>
      <c r="D365" s="23" t="str" cm="1">
        <f t="array" ref="D365">IFERROR(_xlfn.IFS(U365&lt;727,"MEET", AB365="FRRB","MEET", AB365="PSPS","MEET"),"No")</f>
        <v>MEET</v>
      </c>
      <c r="E365" s="23" t="str" cm="1">
        <f t="array" ref="E365">IFERROR(_xlfn.IFS(AM365&gt;0,"MEET", AN365&gt;0,"MEET"),"No")</f>
        <v>No</v>
      </c>
      <c r="F365" s="100">
        <v>2021306</v>
      </c>
      <c r="G365" s="188"/>
      <c r="H365" s="37"/>
      <c r="I365" s="23"/>
      <c r="J365" s="183">
        <v>2021</v>
      </c>
      <c r="M365" s="37">
        <f t="shared" si="80"/>
        <v>0</v>
      </c>
      <c r="N365" s="21">
        <v>0</v>
      </c>
      <c r="O365" s="183" t="s">
        <v>4878</v>
      </c>
      <c r="P365" s="182">
        <v>103521103</v>
      </c>
      <c r="Q365" s="182" t="s">
        <v>2975</v>
      </c>
      <c r="R365" s="183" t="s">
        <v>2977</v>
      </c>
      <c r="S365" s="38">
        <f>IFERROR(VLOOKUP(R365,[47]conductor_pz_summary_hftd_23_re!$B$2:$Q$3636,8,FALSE),0)</f>
        <v>641</v>
      </c>
      <c r="T365" s="201">
        <f>IFERROR(VLOOKUP(R365,[48]conductor_pz_summary_hftd_23_re!$B$2:$H$3636,7,0),0)/1609</f>
        <v>57.142938485843821</v>
      </c>
      <c r="U365" s="23">
        <f>IFERROR(VLOOKUP(R365,[47]conductor_pz_summary_hftd_23_re!$B$2:$Q$3636,14,FALSE),0)</f>
        <v>49</v>
      </c>
      <c r="V365" s="37">
        <f t="shared" si="72"/>
        <v>270.40280484573793</v>
      </c>
      <c r="W365" s="202">
        <f>IFERROR(VLOOKUP(R365,[47]conductor_pz_summary_hftd_23_re!$B$2:$Q$3636,13,FALSE),0)</f>
        <v>0.42184524936932599</v>
      </c>
      <c r="X365" s="183">
        <f>IFERROR(VLOOKUP(R365,conductor_pz_summary_hftd_23_re!$B$2:$N$3636,13,FALSE),0)</f>
        <v>153</v>
      </c>
      <c r="Y365" s="203" t="e">
        <f t="shared" si="73"/>
        <v>#DIV/0!</v>
      </c>
      <c r="AA365" s="183"/>
      <c r="AB365" s="183" t="s">
        <v>5298</v>
      </c>
      <c r="AC365" s="182" t="s">
        <v>5434</v>
      </c>
      <c r="AD365" s="182" t="s">
        <v>5431</v>
      </c>
      <c r="AE365" s="182" t="s">
        <v>5210</v>
      </c>
      <c r="AF365" s="182" t="s">
        <v>4875</v>
      </c>
      <c r="AG365" s="183">
        <v>5794555</v>
      </c>
      <c r="AH365" s="183" t="s">
        <v>6512</v>
      </c>
      <c r="AI365" s="183">
        <v>120564073</v>
      </c>
      <c r="AJ365" s="183">
        <v>35234380</v>
      </c>
      <c r="AK365" s="183" t="s">
        <v>6520</v>
      </c>
      <c r="AL365" s="205"/>
      <c r="AM365" s="205"/>
      <c r="AN365" s="205"/>
      <c r="AO365" s="205"/>
      <c r="AQ365" s="39" t="s">
        <v>6365</v>
      </c>
      <c r="AR365" s="183"/>
      <c r="AS365" s="183"/>
      <c r="AT365" s="92"/>
      <c r="AY365" s="23"/>
      <c r="AZ365" s="40"/>
      <c r="BA365" s="173"/>
      <c r="BB365" s="188"/>
      <c r="BC365" s="189"/>
      <c r="BD365" s="191"/>
    </row>
    <row r="366" spans="1:72" s="182" customFormat="1" x14ac:dyDescent="0.25">
      <c r="A366" s="218">
        <v>35234383</v>
      </c>
      <c r="B366" s="116" t="s">
        <v>5413</v>
      </c>
      <c r="C366" s="183">
        <v>9</v>
      </c>
      <c r="D366" s="23" t="str" cm="1">
        <f t="array" ref="D366">IFERROR(_xlfn.IFS(U366&lt;727,"MEET", AB366="FRRB","MEET", AB366="PSPS","MEET"),"No")</f>
        <v>MEET</v>
      </c>
      <c r="E366" s="23" t="str" cm="1">
        <f t="array" ref="E366">IFERROR(_xlfn.IFS(AM366&gt;0,"MEET", AN366&gt;0,"MEET"),"No")</f>
        <v>No</v>
      </c>
      <c r="F366" s="100">
        <v>2021307</v>
      </c>
      <c r="G366" s="188"/>
      <c r="H366" s="37"/>
      <c r="I366" s="23"/>
      <c r="J366" s="183">
        <v>2021</v>
      </c>
      <c r="M366" s="37">
        <f t="shared" si="80"/>
        <v>0</v>
      </c>
      <c r="N366" s="21">
        <v>0</v>
      </c>
      <c r="O366" s="183" t="s">
        <v>4878</v>
      </c>
      <c r="P366" s="182">
        <v>103521103</v>
      </c>
      <c r="Q366" s="182" t="s">
        <v>2975</v>
      </c>
      <c r="R366" s="183" t="s">
        <v>2977</v>
      </c>
      <c r="S366" s="38">
        <f>IFERROR(VLOOKUP(R366,[47]conductor_pz_summary_hftd_23_re!$B$2:$Q$3636,8,FALSE),0)</f>
        <v>641</v>
      </c>
      <c r="T366" s="201">
        <f>IFERROR(VLOOKUP(R366,[48]conductor_pz_summary_hftd_23_re!$B$2:$H$3636,7,0),0)/1609</f>
        <v>57.142938485843821</v>
      </c>
      <c r="U366" s="23">
        <f>IFERROR(VLOOKUP(R366,[47]conductor_pz_summary_hftd_23_re!$B$2:$Q$3636,14,FALSE),0)</f>
        <v>49</v>
      </c>
      <c r="V366" s="37">
        <f t="shared" si="72"/>
        <v>270.40280484573793</v>
      </c>
      <c r="W366" s="202">
        <f>IFERROR(VLOOKUP(R366,[47]conductor_pz_summary_hftd_23_re!$B$2:$Q$3636,13,FALSE),0)</f>
        <v>0.42184524936932599</v>
      </c>
      <c r="X366" s="183">
        <f>IFERROR(VLOOKUP(R366,conductor_pz_summary_hftd_23_re!$B$2:$N$3636,13,FALSE),0)</f>
        <v>153</v>
      </c>
      <c r="Y366" s="203" t="e">
        <f t="shared" si="73"/>
        <v>#DIV/0!</v>
      </c>
      <c r="AA366" s="183"/>
      <c r="AB366" s="183" t="s">
        <v>5298</v>
      </c>
      <c r="AC366" s="182" t="s">
        <v>5434</v>
      </c>
      <c r="AD366" s="182" t="s">
        <v>5431</v>
      </c>
      <c r="AE366" s="182" t="s">
        <v>5210</v>
      </c>
      <c r="AF366" s="182" t="s">
        <v>4875</v>
      </c>
      <c r="AG366" s="183">
        <v>5794555</v>
      </c>
      <c r="AH366" s="183" t="s">
        <v>6513</v>
      </c>
      <c r="AI366" s="183">
        <v>120564074</v>
      </c>
      <c r="AJ366" s="183">
        <v>35234383</v>
      </c>
      <c r="AK366" s="183" t="s">
        <v>6521</v>
      </c>
      <c r="AL366" s="205"/>
      <c r="AM366" s="205"/>
      <c r="AN366" s="205"/>
      <c r="AO366" s="205"/>
      <c r="AQ366" s="39" t="s">
        <v>6365</v>
      </c>
      <c r="AR366" s="183"/>
      <c r="AS366" s="183"/>
      <c r="AT366" s="92"/>
      <c r="AY366" s="23"/>
      <c r="AZ366" s="40"/>
      <c r="BA366" s="173"/>
      <c r="BB366" s="188"/>
      <c r="BC366" s="189"/>
      <c r="BD366" s="191"/>
    </row>
    <row r="367" spans="1:72" s="182" customFormat="1" x14ac:dyDescent="0.25">
      <c r="A367" s="218">
        <v>35234384</v>
      </c>
      <c r="B367" s="116" t="s">
        <v>5413</v>
      </c>
      <c r="C367" s="183">
        <v>9</v>
      </c>
      <c r="D367" s="23" t="str" cm="1">
        <f t="array" ref="D367">IFERROR(_xlfn.IFS(U367&lt;727,"MEET", AB367="FRRB","MEET", AB367="PSPS","MEET"),"No")</f>
        <v>MEET</v>
      </c>
      <c r="E367" s="23" t="str" cm="1">
        <f t="array" ref="E367">IFERROR(_xlfn.IFS(AM367&gt;0,"MEET", AN367&gt;0,"MEET"),"No")</f>
        <v>No</v>
      </c>
      <c r="F367" s="100">
        <v>2021308</v>
      </c>
      <c r="G367" s="188"/>
      <c r="H367" s="37"/>
      <c r="I367" s="23"/>
      <c r="J367" s="183">
        <v>2021</v>
      </c>
      <c r="M367" s="37">
        <f t="shared" si="80"/>
        <v>0</v>
      </c>
      <c r="N367" s="21">
        <v>0</v>
      </c>
      <c r="O367" s="183" t="s">
        <v>4878</v>
      </c>
      <c r="P367" s="182">
        <v>103521103</v>
      </c>
      <c r="Q367" s="182" t="s">
        <v>2975</v>
      </c>
      <c r="R367" s="183" t="s">
        <v>2977</v>
      </c>
      <c r="S367" s="38">
        <f>IFERROR(VLOOKUP(R367,[47]conductor_pz_summary_hftd_23_re!$B$2:$Q$3636,8,FALSE),0)</f>
        <v>641</v>
      </c>
      <c r="T367" s="201">
        <f>IFERROR(VLOOKUP(R367,[48]conductor_pz_summary_hftd_23_re!$B$2:$H$3636,7,0),0)/1609</f>
        <v>57.142938485843821</v>
      </c>
      <c r="U367" s="23">
        <f>IFERROR(VLOOKUP(R367,[47]conductor_pz_summary_hftd_23_re!$B$2:$Q$3636,14,FALSE),0)</f>
        <v>49</v>
      </c>
      <c r="V367" s="37">
        <f t="shared" si="72"/>
        <v>270.40280484573793</v>
      </c>
      <c r="W367" s="202">
        <f>IFERROR(VLOOKUP(R367,[47]conductor_pz_summary_hftd_23_re!$B$2:$Q$3636,13,FALSE),0)</f>
        <v>0.42184524936932599</v>
      </c>
      <c r="X367" s="183">
        <f>IFERROR(VLOOKUP(R367,conductor_pz_summary_hftd_23_re!$B$2:$N$3636,13,FALSE),0)</f>
        <v>153</v>
      </c>
      <c r="Y367" s="203" t="e">
        <f t="shared" si="73"/>
        <v>#DIV/0!</v>
      </c>
      <c r="AA367" s="183"/>
      <c r="AB367" s="183" t="s">
        <v>5298</v>
      </c>
      <c r="AC367" s="182" t="s">
        <v>5434</v>
      </c>
      <c r="AD367" s="182" t="s">
        <v>5431</v>
      </c>
      <c r="AE367" s="182" t="s">
        <v>5210</v>
      </c>
      <c r="AF367" s="182" t="s">
        <v>4875</v>
      </c>
      <c r="AG367" s="183">
        <v>5794555</v>
      </c>
      <c r="AH367" s="183" t="s">
        <v>6514</v>
      </c>
      <c r="AI367" s="183">
        <v>120564075</v>
      </c>
      <c r="AJ367" s="183">
        <v>35234384</v>
      </c>
      <c r="AK367" s="183" t="s">
        <v>6522</v>
      </c>
      <c r="AL367" s="205"/>
      <c r="AM367" s="205"/>
      <c r="AN367" s="205"/>
      <c r="AO367" s="205"/>
      <c r="AQ367" s="39" t="s">
        <v>6365</v>
      </c>
      <c r="AR367" s="183"/>
      <c r="AS367" s="183"/>
      <c r="AT367" s="92"/>
      <c r="AY367" s="23"/>
      <c r="AZ367" s="40"/>
      <c r="BA367" s="173"/>
      <c r="BB367" s="188"/>
      <c r="BC367" s="189"/>
      <c r="BD367" s="191"/>
    </row>
    <row r="368" spans="1:72" s="59" customFormat="1" x14ac:dyDescent="0.25">
      <c r="A368" s="218">
        <v>35234385</v>
      </c>
      <c r="B368" s="116" t="s">
        <v>5413</v>
      </c>
      <c r="C368" s="183">
        <v>9</v>
      </c>
      <c r="D368" s="23" t="str" cm="1">
        <f t="array" ref="D368">IFERROR(_xlfn.IFS(U368&lt;727,"MEET", AB368="FRRB","MEET", AB368="PSPS","MEET"),"No")</f>
        <v>MEET</v>
      </c>
      <c r="E368" s="23" t="str" cm="1">
        <f t="array" ref="E368">IFERROR(_xlfn.IFS(AM368&gt;0,"MEET", AN368&gt;0,"MEET"),"No")</f>
        <v>No</v>
      </c>
      <c r="F368" s="100">
        <v>2021309</v>
      </c>
      <c r="G368" s="188"/>
      <c r="H368" s="37"/>
      <c r="I368" s="23"/>
      <c r="J368" s="183">
        <v>2021</v>
      </c>
      <c r="K368" s="182"/>
      <c r="L368" s="182"/>
      <c r="M368" s="37">
        <f t="shared" si="80"/>
        <v>0</v>
      </c>
      <c r="N368" s="21">
        <v>0</v>
      </c>
      <c r="O368" s="183" t="s">
        <v>4878</v>
      </c>
      <c r="P368" s="182">
        <v>103521103</v>
      </c>
      <c r="Q368" s="182" t="s">
        <v>2975</v>
      </c>
      <c r="R368" s="183" t="s">
        <v>2977</v>
      </c>
      <c r="S368" s="38">
        <f>IFERROR(VLOOKUP(R368,[47]conductor_pz_summary_hftd_23_re!$B$2:$Q$3636,8,FALSE),0)</f>
        <v>641</v>
      </c>
      <c r="T368" s="201">
        <f>IFERROR(VLOOKUP(R368,[48]conductor_pz_summary_hftd_23_re!$B$2:$H$3636,7,0),0)/1609</f>
        <v>57.142938485843821</v>
      </c>
      <c r="U368" s="23">
        <f>IFERROR(VLOOKUP(R368,[47]conductor_pz_summary_hftd_23_re!$B$2:$Q$3636,14,FALSE),0)</f>
        <v>49</v>
      </c>
      <c r="V368" s="37">
        <f t="shared" si="72"/>
        <v>270.40280484573793</v>
      </c>
      <c r="W368" s="202">
        <f>IFERROR(VLOOKUP(R368,[47]conductor_pz_summary_hftd_23_re!$B$2:$Q$3636,13,FALSE),0)</f>
        <v>0.42184524936932599</v>
      </c>
      <c r="X368" s="73">
        <f>IFERROR(VLOOKUP(R368,conductor_pz_summary_hftd_23_re!$B$2:$N$3636,13,FALSE),0)</f>
        <v>153</v>
      </c>
      <c r="Y368" s="203" t="e">
        <f t="shared" si="73"/>
        <v>#DIV/0!</v>
      </c>
      <c r="Z368" s="182"/>
      <c r="AA368" s="183"/>
      <c r="AB368" s="183" t="s">
        <v>5298</v>
      </c>
      <c r="AC368" s="182" t="s">
        <v>5434</v>
      </c>
      <c r="AD368" s="182" t="s">
        <v>5431</v>
      </c>
      <c r="AE368" s="182" t="s">
        <v>5210</v>
      </c>
      <c r="AF368" s="182" t="s">
        <v>4875</v>
      </c>
      <c r="AG368" s="183">
        <v>5794555</v>
      </c>
      <c r="AH368" s="183" t="s">
        <v>6515</v>
      </c>
      <c r="AI368" s="183">
        <v>120564076</v>
      </c>
      <c r="AJ368" s="183">
        <v>35234385</v>
      </c>
      <c r="AK368" s="183" t="s">
        <v>6523</v>
      </c>
      <c r="AL368" s="205"/>
      <c r="AM368" s="205"/>
      <c r="AN368" s="205"/>
      <c r="AO368" s="205"/>
      <c r="AP368" s="182"/>
      <c r="AQ368" s="39" t="s">
        <v>6365</v>
      </c>
      <c r="AR368" s="183"/>
      <c r="AS368" s="183"/>
      <c r="AT368" s="92"/>
      <c r="AU368" s="182"/>
      <c r="AV368" s="182"/>
      <c r="AW368" s="182"/>
      <c r="AX368" s="182"/>
      <c r="AY368" s="23"/>
      <c r="AZ368" s="40"/>
      <c r="BA368" s="173"/>
      <c r="BB368" s="188"/>
      <c r="BC368" s="189"/>
      <c r="BD368" s="191"/>
      <c r="BE368" s="182"/>
      <c r="BF368" s="182"/>
      <c r="BG368" s="182"/>
      <c r="BH368" s="182"/>
      <c r="BI368" s="182"/>
      <c r="BJ368" s="182"/>
      <c r="BK368" s="182"/>
      <c r="BL368" s="182"/>
      <c r="BM368" s="182"/>
      <c r="BN368" s="182"/>
      <c r="BO368" s="182"/>
      <c r="BP368" s="182"/>
      <c r="BQ368" s="182"/>
      <c r="BR368" s="182"/>
      <c r="BS368" s="182"/>
      <c r="BT368" s="182"/>
    </row>
    <row r="369" spans="1:72" s="182" customFormat="1" x14ac:dyDescent="0.25">
      <c r="A369" s="218">
        <v>35234386</v>
      </c>
      <c r="B369" s="116" t="s">
        <v>5413</v>
      </c>
      <c r="C369" s="183">
        <v>9</v>
      </c>
      <c r="D369" s="23" t="str" cm="1">
        <f t="array" ref="D369">IFERROR(_xlfn.IFS(U369&lt;727,"MEET", AB369="FRRB","MEET", AB369="PSPS","MEET"),"No")</f>
        <v>MEET</v>
      </c>
      <c r="E369" s="23" t="str" cm="1">
        <f t="array" ref="E369">IFERROR(_xlfn.IFS(AM369&gt;0,"MEET", AN369&gt;0,"MEET"),"No")</f>
        <v>No</v>
      </c>
      <c r="F369" s="100">
        <v>2021310</v>
      </c>
      <c r="G369" s="188"/>
      <c r="H369" s="37"/>
      <c r="I369" s="23"/>
      <c r="J369" s="183">
        <v>2021</v>
      </c>
      <c r="M369" s="37">
        <f t="shared" si="80"/>
        <v>0</v>
      </c>
      <c r="N369" s="21">
        <v>0</v>
      </c>
      <c r="O369" s="183" t="s">
        <v>4878</v>
      </c>
      <c r="P369" s="182">
        <v>103521103</v>
      </c>
      <c r="Q369" s="182" t="s">
        <v>2975</v>
      </c>
      <c r="R369" s="183" t="s">
        <v>2977</v>
      </c>
      <c r="S369" s="38">
        <f>IFERROR(VLOOKUP(R369,[47]conductor_pz_summary_hftd_23_re!$B$2:$Q$3636,8,FALSE),0)</f>
        <v>641</v>
      </c>
      <c r="T369" s="201">
        <f>IFERROR(VLOOKUP(R369,[48]conductor_pz_summary_hftd_23_re!$B$2:$H$3636,7,0),0)/1609</f>
        <v>57.142938485843821</v>
      </c>
      <c r="U369" s="23">
        <f>IFERROR(VLOOKUP(R369,[47]conductor_pz_summary_hftd_23_re!$B$2:$Q$3636,14,FALSE),0)</f>
        <v>49</v>
      </c>
      <c r="V369" s="37">
        <f t="shared" si="72"/>
        <v>270.40280484573793</v>
      </c>
      <c r="W369" s="202">
        <f>IFERROR(VLOOKUP(R369,[47]conductor_pz_summary_hftd_23_re!$B$2:$Q$3636,13,FALSE),0)</f>
        <v>0.42184524936932599</v>
      </c>
      <c r="X369" s="183">
        <f>IFERROR(VLOOKUP(R369,conductor_pz_summary_hftd_23_re!$B$2:$N$3636,13,FALSE),0)</f>
        <v>153</v>
      </c>
      <c r="Y369" s="203" t="e">
        <f t="shared" si="73"/>
        <v>#DIV/0!</v>
      </c>
      <c r="AA369" s="183"/>
      <c r="AB369" s="183" t="s">
        <v>5298</v>
      </c>
      <c r="AC369" s="182" t="s">
        <v>5434</v>
      </c>
      <c r="AD369" s="182" t="s">
        <v>5431</v>
      </c>
      <c r="AE369" s="182" t="s">
        <v>5210</v>
      </c>
      <c r="AF369" s="182" t="s">
        <v>4875</v>
      </c>
      <c r="AG369" s="183">
        <v>5794555</v>
      </c>
      <c r="AH369" s="183" t="s">
        <v>6516</v>
      </c>
      <c r="AI369" s="183">
        <v>120564078</v>
      </c>
      <c r="AJ369" s="183">
        <v>35234386</v>
      </c>
      <c r="AK369" s="183" t="s">
        <v>6524</v>
      </c>
      <c r="AL369" s="205"/>
      <c r="AM369" s="205"/>
      <c r="AN369" s="205"/>
      <c r="AO369" s="205"/>
      <c r="AQ369" s="39" t="s">
        <v>6365</v>
      </c>
      <c r="AR369" s="183"/>
      <c r="AS369" s="183"/>
      <c r="AT369" s="92"/>
      <c r="AY369" s="23"/>
      <c r="AZ369" s="40"/>
      <c r="BA369" s="173"/>
      <c r="BB369" s="188"/>
      <c r="BC369" s="189"/>
      <c r="BD369" s="191"/>
    </row>
    <row r="370" spans="1:72" s="182" customFormat="1" x14ac:dyDescent="0.25">
      <c r="A370" s="218">
        <v>35225828</v>
      </c>
      <c r="B370" s="116" t="s">
        <v>5413</v>
      </c>
      <c r="C370" s="183">
        <v>9</v>
      </c>
      <c r="D370" s="23" t="str" cm="1">
        <f t="array" ref="D370">IFERROR(_xlfn.IFS(U370&lt;727,"MEET", AB370="FRRB","MEET", AB370="PSPS","MEET"),"No")</f>
        <v>MEET</v>
      </c>
      <c r="E370" s="23" t="str" cm="1">
        <f t="array" ref="E370">IFERROR(_xlfn.IFS(AM370&gt;0,"MEET", AN370&gt;0,"MEET"),"No")</f>
        <v>MEET</v>
      </c>
      <c r="F370" s="100">
        <v>2021311</v>
      </c>
      <c r="G370" s="188"/>
      <c r="H370" s="37">
        <f>SUM(AL370:AO370)/5280</f>
        <v>8.4214015151515156</v>
      </c>
      <c r="I370" s="23">
        <f>H370-M370</f>
        <v>8.4214015151515156</v>
      </c>
      <c r="J370" s="183">
        <v>2021</v>
      </c>
      <c r="M370" s="37">
        <f t="shared" si="80"/>
        <v>0</v>
      </c>
      <c r="N370" s="21">
        <v>1136.42</v>
      </c>
      <c r="O370" s="183" t="s">
        <v>4878</v>
      </c>
      <c r="P370" s="182">
        <v>103521103</v>
      </c>
      <c r="Q370" s="182" t="s">
        <v>2975</v>
      </c>
      <c r="R370" s="183" t="s">
        <v>2977</v>
      </c>
      <c r="S370" s="38">
        <f>IFERROR(VLOOKUP(R370,[47]conductor_pz_summary_hftd_23_re!$B$2:$Q$3636,8,FALSE),0)</f>
        <v>641</v>
      </c>
      <c r="T370" s="201">
        <f>IFERROR(VLOOKUP(R370,[48]conductor_pz_summary_hftd_23_re!$B$2:$H$3636,7,0),0)/1609</f>
        <v>57.142938485843821</v>
      </c>
      <c r="U370" s="23">
        <f>IFERROR(VLOOKUP(R370,[47]conductor_pz_summary_hftd_23_re!$B$2:$Q$3636,14,FALSE),0)</f>
        <v>49</v>
      </c>
      <c r="V370" s="37">
        <f t="shared" si="72"/>
        <v>270.40280484573793</v>
      </c>
      <c r="W370" s="202">
        <f>IFERROR(VLOOKUP(R370,[47]conductor_pz_summary_hftd_23_re!$B$2:$Q$3636,13,FALSE),0)</f>
        <v>0.42184524936932599</v>
      </c>
      <c r="X370" s="183">
        <f>IFERROR(VLOOKUP(R370,conductor_pz_summary_hftd_23_re!$B$2:$N$3636,13,FALSE),0)</f>
        <v>153</v>
      </c>
      <c r="Y370" s="203">
        <f t="shared" si="73"/>
        <v>25.334539174757477</v>
      </c>
      <c r="AA370" s="183"/>
      <c r="AB370" s="183" t="s">
        <v>5298</v>
      </c>
      <c r="AC370" s="182" t="s">
        <v>5434</v>
      </c>
      <c r="AD370" s="182" t="s">
        <v>5431</v>
      </c>
      <c r="AE370" s="182" t="s">
        <v>5210</v>
      </c>
      <c r="AF370" s="182" t="s">
        <v>4875</v>
      </c>
      <c r="AG370" s="183">
        <v>5794555</v>
      </c>
      <c r="AH370" s="183" t="s">
        <v>6051</v>
      </c>
      <c r="AI370" s="183">
        <v>120426405</v>
      </c>
      <c r="AJ370" s="183">
        <v>35225828</v>
      </c>
      <c r="AK370" s="183" t="s">
        <v>6538</v>
      </c>
      <c r="AL370" s="205">
        <v>42608</v>
      </c>
      <c r="AM370" s="205">
        <v>575</v>
      </c>
      <c r="AN370" s="205">
        <v>1282</v>
      </c>
      <c r="AO370" s="205">
        <v>0</v>
      </c>
      <c r="AQ370" s="48" t="s">
        <v>6366</v>
      </c>
      <c r="AR370" s="183">
        <f>AS370*5280</f>
        <v>48470.400000000001</v>
      </c>
      <c r="AS370" s="183">
        <v>9.18</v>
      </c>
      <c r="AT370" s="92"/>
      <c r="AY370" s="23"/>
      <c r="AZ370" s="40"/>
      <c r="BA370" s="173"/>
      <c r="BB370" s="188"/>
      <c r="BC370" s="189"/>
      <c r="BD370" s="191">
        <f>IFERROR(BC370/BB370,0)</f>
        <v>0</v>
      </c>
    </row>
    <row r="371" spans="1:72" s="182" customFormat="1" x14ac:dyDescent="0.25">
      <c r="A371" s="218">
        <v>35234387</v>
      </c>
      <c r="B371" s="116" t="s">
        <v>5413</v>
      </c>
      <c r="C371" s="183">
        <v>9</v>
      </c>
      <c r="D371" s="23" t="str" cm="1">
        <f t="array" ref="D371">IFERROR(_xlfn.IFS(U371&lt;727,"MEET", AB371="FRRB","MEET", AB371="PSPS","MEET"),"No")</f>
        <v>MEET</v>
      </c>
      <c r="E371" s="23" t="str" cm="1">
        <f t="array" ref="E371">IFERROR(_xlfn.IFS(AM371&gt;0,"MEET", AN371&gt;0,"MEET"),"No")</f>
        <v>No</v>
      </c>
      <c r="F371" s="100">
        <v>2021312</v>
      </c>
      <c r="G371" s="188"/>
      <c r="H371" s="37"/>
      <c r="I371" s="23"/>
      <c r="J371" s="183">
        <v>2021</v>
      </c>
      <c r="M371" s="37">
        <f t="shared" si="80"/>
        <v>0</v>
      </c>
      <c r="N371" s="21">
        <v>0</v>
      </c>
      <c r="O371" s="183" t="s">
        <v>4878</v>
      </c>
      <c r="P371" s="182">
        <v>103521103</v>
      </c>
      <c r="Q371" s="182" t="s">
        <v>2975</v>
      </c>
      <c r="R371" s="183" t="s">
        <v>2977</v>
      </c>
      <c r="S371" s="38">
        <f>IFERROR(VLOOKUP(R371,[47]conductor_pz_summary_hftd_23_re!$B$2:$Q$3636,8,FALSE),0)</f>
        <v>641</v>
      </c>
      <c r="T371" s="201">
        <f>IFERROR(VLOOKUP(R371,[48]conductor_pz_summary_hftd_23_re!$B$2:$H$3636,7,0),0)/1609</f>
        <v>57.142938485843821</v>
      </c>
      <c r="U371" s="23">
        <f>IFERROR(VLOOKUP(R371,[47]conductor_pz_summary_hftd_23_re!$B$2:$Q$3636,14,FALSE),0)</f>
        <v>49</v>
      </c>
      <c r="V371" s="37">
        <f t="shared" si="72"/>
        <v>270.40280484573793</v>
      </c>
      <c r="W371" s="202">
        <f>IFERROR(VLOOKUP(R371,[47]conductor_pz_summary_hftd_23_re!$B$2:$Q$3636,13,FALSE),0)</f>
        <v>0.42184524936932599</v>
      </c>
      <c r="X371" s="183">
        <f>IFERROR(VLOOKUP(R371,conductor_pz_summary_hftd_23_re!$B$2:$N$3636,13,FALSE),0)</f>
        <v>153</v>
      </c>
      <c r="Y371" s="203" t="e">
        <f t="shared" si="73"/>
        <v>#DIV/0!</v>
      </c>
      <c r="AA371" s="183"/>
      <c r="AB371" s="183" t="s">
        <v>5298</v>
      </c>
      <c r="AC371" s="182" t="s">
        <v>5434</v>
      </c>
      <c r="AD371" s="182" t="s">
        <v>5431</v>
      </c>
      <c r="AE371" s="182" t="s">
        <v>5210</v>
      </c>
      <c r="AF371" s="182" t="s">
        <v>4875</v>
      </c>
      <c r="AG371" s="183">
        <v>5794555</v>
      </c>
      <c r="AH371" s="183" t="s">
        <v>6525</v>
      </c>
      <c r="AI371" s="183">
        <v>120564102</v>
      </c>
      <c r="AJ371" s="183">
        <v>35234387</v>
      </c>
      <c r="AK371" s="183" t="s">
        <v>6531</v>
      </c>
      <c r="AL371" s="205"/>
      <c r="AM371" s="205"/>
      <c r="AN371" s="205"/>
      <c r="AO371" s="205"/>
      <c r="AQ371" s="48" t="s">
        <v>6366</v>
      </c>
      <c r="AR371" s="183"/>
      <c r="AS371" s="183"/>
      <c r="AT371" s="92"/>
      <c r="AY371" s="23"/>
      <c r="AZ371" s="40"/>
      <c r="BA371" s="173"/>
      <c r="BB371" s="188"/>
      <c r="BC371" s="189"/>
      <c r="BD371" s="191"/>
    </row>
    <row r="372" spans="1:72" s="182" customFormat="1" x14ac:dyDescent="0.25">
      <c r="A372" s="218">
        <v>35234388</v>
      </c>
      <c r="B372" s="116" t="s">
        <v>5413</v>
      </c>
      <c r="C372" s="183">
        <v>9</v>
      </c>
      <c r="D372" s="23" t="str" cm="1">
        <f t="array" ref="D372">IFERROR(_xlfn.IFS(U372&lt;727,"MEET", AB372="FRRB","MEET", AB372="PSPS","MEET"),"No")</f>
        <v>MEET</v>
      </c>
      <c r="E372" s="23" t="str" cm="1">
        <f t="array" ref="E372">IFERROR(_xlfn.IFS(AM372&gt;0,"MEET", AN372&gt;0,"MEET"),"No")</f>
        <v>No</v>
      </c>
      <c r="F372" s="100">
        <v>2021313</v>
      </c>
      <c r="G372" s="188"/>
      <c r="H372" s="37"/>
      <c r="I372" s="23"/>
      <c r="J372" s="183">
        <v>2021</v>
      </c>
      <c r="M372" s="37">
        <f t="shared" si="80"/>
        <v>0</v>
      </c>
      <c r="N372" s="21">
        <v>0</v>
      </c>
      <c r="O372" s="183" t="s">
        <v>4878</v>
      </c>
      <c r="P372" s="182">
        <v>103521103</v>
      </c>
      <c r="Q372" s="182" t="s">
        <v>2975</v>
      </c>
      <c r="R372" s="183" t="s">
        <v>2977</v>
      </c>
      <c r="S372" s="38">
        <f>IFERROR(VLOOKUP(R372,[47]conductor_pz_summary_hftd_23_re!$B$2:$Q$3636,8,FALSE),0)</f>
        <v>641</v>
      </c>
      <c r="T372" s="201">
        <f>IFERROR(VLOOKUP(R372,[48]conductor_pz_summary_hftd_23_re!$B$2:$H$3636,7,0),0)/1609</f>
        <v>57.142938485843821</v>
      </c>
      <c r="U372" s="23">
        <f>IFERROR(VLOOKUP(R372,[47]conductor_pz_summary_hftd_23_re!$B$2:$Q$3636,14,FALSE),0)</f>
        <v>49</v>
      </c>
      <c r="V372" s="37">
        <f t="shared" si="72"/>
        <v>270.40280484573793</v>
      </c>
      <c r="W372" s="202">
        <f>IFERROR(VLOOKUP(R372,[47]conductor_pz_summary_hftd_23_re!$B$2:$Q$3636,13,FALSE),0)</f>
        <v>0.42184524936932599</v>
      </c>
      <c r="X372" s="183">
        <f>IFERROR(VLOOKUP(R372,conductor_pz_summary_hftd_23_re!$B$2:$N$3636,13,FALSE),0)</f>
        <v>153</v>
      </c>
      <c r="Y372" s="203" t="e">
        <f t="shared" si="73"/>
        <v>#DIV/0!</v>
      </c>
      <c r="AA372" s="183"/>
      <c r="AB372" s="183" t="s">
        <v>5298</v>
      </c>
      <c r="AC372" s="182" t="s">
        <v>5434</v>
      </c>
      <c r="AD372" s="182" t="s">
        <v>5431</v>
      </c>
      <c r="AE372" s="182" t="s">
        <v>5210</v>
      </c>
      <c r="AF372" s="182" t="s">
        <v>4875</v>
      </c>
      <c r="AG372" s="183">
        <v>5794555</v>
      </c>
      <c r="AH372" s="183" t="s">
        <v>6526</v>
      </c>
      <c r="AI372" s="183">
        <v>120564104</v>
      </c>
      <c r="AJ372" s="183">
        <v>35234388</v>
      </c>
      <c r="AK372" s="183" t="s">
        <v>6532</v>
      </c>
      <c r="AL372" s="205"/>
      <c r="AM372" s="205"/>
      <c r="AN372" s="205"/>
      <c r="AO372" s="205"/>
      <c r="AQ372" s="48" t="s">
        <v>6366</v>
      </c>
      <c r="AR372" s="183"/>
      <c r="AS372" s="183"/>
      <c r="AT372" s="92"/>
      <c r="AY372" s="23"/>
      <c r="AZ372" s="40"/>
      <c r="BA372" s="173"/>
      <c r="BB372" s="188"/>
      <c r="BC372" s="189"/>
      <c r="BD372" s="191"/>
    </row>
    <row r="373" spans="1:72" s="182" customFormat="1" x14ac:dyDescent="0.25">
      <c r="A373" s="218">
        <v>35234389</v>
      </c>
      <c r="B373" s="116" t="s">
        <v>5413</v>
      </c>
      <c r="C373" s="183">
        <v>9</v>
      </c>
      <c r="D373" s="23" t="str" cm="1">
        <f t="array" ref="D373">IFERROR(_xlfn.IFS(U373&lt;727,"MEET", AB373="FRRB","MEET", AB373="PSPS","MEET"),"No")</f>
        <v>MEET</v>
      </c>
      <c r="E373" s="23" t="str" cm="1">
        <f t="array" ref="E373">IFERROR(_xlfn.IFS(AM373&gt;0,"MEET", AN373&gt;0,"MEET"),"No")</f>
        <v>No</v>
      </c>
      <c r="F373" s="100">
        <v>2021314</v>
      </c>
      <c r="G373" s="188"/>
      <c r="H373" s="37"/>
      <c r="I373" s="23"/>
      <c r="J373" s="183">
        <v>2021</v>
      </c>
      <c r="M373" s="37">
        <f t="shared" si="80"/>
        <v>0</v>
      </c>
      <c r="N373" s="21">
        <v>0</v>
      </c>
      <c r="O373" s="183" t="s">
        <v>4878</v>
      </c>
      <c r="P373" s="182">
        <v>103521103</v>
      </c>
      <c r="Q373" s="182" t="s">
        <v>2975</v>
      </c>
      <c r="R373" s="183" t="s">
        <v>2977</v>
      </c>
      <c r="S373" s="38">
        <f>IFERROR(VLOOKUP(R373,[47]conductor_pz_summary_hftd_23_re!$B$2:$Q$3636,8,FALSE),0)</f>
        <v>641</v>
      </c>
      <c r="T373" s="201">
        <f>IFERROR(VLOOKUP(R373,[48]conductor_pz_summary_hftd_23_re!$B$2:$H$3636,7,0),0)/1609</f>
        <v>57.142938485843821</v>
      </c>
      <c r="U373" s="23">
        <f>IFERROR(VLOOKUP(R373,[47]conductor_pz_summary_hftd_23_re!$B$2:$Q$3636,14,FALSE),0)</f>
        <v>49</v>
      </c>
      <c r="V373" s="37">
        <f t="shared" si="72"/>
        <v>270.40280484573793</v>
      </c>
      <c r="W373" s="202">
        <f>IFERROR(VLOOKUP(R373,[47]conductor_pz_summary_hftd_23_re!$B$2:$Q$3636,13,FALSE),0)</f>
        <v>0.42184524936932599</v>
      </c>
      <c r="X373" s="183">
        <f>IFERROR(VLOOKUP(R373,conductor_pz_summary_hftd_23_re!$B$2:$N$3636,13,FALSE),0)</f>
        <v>153</v>
      </c>
      <c r="Y373" s="203" t="e">
        <f t="shared" si="73"/>
        <v>#DIV/0!</v>
      </c>
      <c r="AA373" s="183"/>
      <c r="AB373" s="183" t="s">
        <v>5298</v>
      </c>
      <c r="AC373" s="182" t="s">
        <v>5434</v>
      </c>
      <c r="AD373" s="182" t="s">
        <v>5431</v>
      </c>
      <c r="AE373" s="182" t="s">
        <v>5210</v>
      </c>
      <c r="AF373" s="182" t="s">
        <v>4875</v>
      </c>
      <c r="AG373" s="183">
        <v>5794555</v>
      </c>
      <c r="AH373" s="183" t="s">
        <v>6527</v>
      </c>
      <c r="AI373" s="183">
        <v>120564107</v>
      </c>
      <c r="AJ373" s="183">
        <v>35234389</v>
      </c>
      <c r="AK373" s="183" t="s">
        <v>6533</v>
      </c>
      <c r="AL373" s="205"/>
      <c r="AM373" s="205"/>
      <c r="AN373" s="205"/>
      <c r="AO373" s="205"/>
      <c r="AQ373" s="48" t="s">
        <v>6366</v>
      </c>
      <c r="AR373" s="183"/>
      <c r="AS373" s="183"/>
      <c r="AT373" s="92"/>
      <c r="AY373" s="23"/>
      <c r="AZ373" s="40"/>
      <c r="BA373" s="173"/>
      <c r="BB373" s="188"/>
      <c r="BC373" s="189"/>
      <c r="BD373" s="191"/>
    </row>
    <row r="374" spans="1:72" s="182" customFormat="1" x14ac:dyDescent="0.25">
      <c r="A374" s="218">
        <v>35234390</v>
      </c>
      <c r="B374" s="116" t="s">
        <v>5413</v>
      </c>
      <c r="C374" s="183">
        <v>9</v>
      </c>
      <c r="D374" s="23" t="str" cm="1">
        <f t="array" ref="D374">IFERROR(_xlfn.IFS(U374&lt;727,"MEET", AB374="FRRB","MEET", AB374="PSPS","MEET"),"No")</f>
        <v>MEET</v>
      </c>
      <c r="E374" s="23" t="str" cm="1">
        <f t="array" ref="E374">IFERROR(_xlfn.IFS(AM374&gt;0,"MEET", AN374&gt;0,"MEET"),"No")</f>
        <v>No</v>
      </c>
      <c r="F374" s="100">
        <v>2021315</v>
      </c>
      <c r="G374" s="188"/>
      <c r="H374" s="37"/>
      <c r="I374" s="23"/>
      <c r="J374" s="183">
        <v>2021</v>
      </c>
      <c r="M374" s="37">
        <f t="shared" si="80"/>
        <v>0</v>
      </c>
      <c r="N374" s="21">
        <v>0</v>
      </c>
      <c r="O374" s="183" t="s">
        <v>4878</v>
      </c>
      <c r="P374" s="182">
        <v>103521103</v>
      </c>
      <c r="Q374" s="182" t="s">
        <v>2975</v>
      </c>
      <c r="R374" s="183" t="s">
        <v>2977</v>
      </c>
      <c r="S374" s="38">
        <f>IFERROR(VLOOKUP(R374,[47]conductor_pz_summary_hftd_23_re!$B$2:$Q$3636,8,FALSE),0)</f>
        <v>641</v>
      </c>
      <c r="T374" s="201">
        <f>IFERROR(VLOOKUP(R374,[48]conductor_pz_summary_hftd_23_re!$B$2:$H$3636,7,0),0)/1609</f>
        <v>57.142938485843821</v>
      </c>
      <c r="U374" s="23">
        <f>IFERROR(VLOOKUP(R374,[47]conductor_pz_summary_hftd_23_re!$B$2:$Q$3636,14,FALSE),0)</f>
        <v>49</v>
      </c>
      <c r="V374" s="37">
        <f t="shared" si="72"/>
        <v>270.40280484573793</v>
      </c>
      <c r="W374" s="202">
        <f>IFERROR(VLOOKUP(R374,[47]conductor_pz_summary_hftd_23_re!$B$2:$Q$3636,13,FALSE),0)</f>
        <v>0.42184524936932599</v>
      </c>
      <c r="X374" s="183">
        <f>IFERROR(VLOOKUP(R374,conductor_pz_summary_hftd_23_re!$B$2:$N$3636,13,FALSE),0)</f>
        <v>153</v>
      </c>
      <c r="Y374" s="203" t="e">
        <f t="shared" si="73"/>
        <v>#DIV/0!</v>
      </c>
      <c r="AA374" s="183"/>
      <c r="AB374" s="183" t="s">
        <v>5298</v>
      </c>
      <c r="AC374" s="182" t="s">
        <v>5434</v>
      </c>
      <c r="AD374" s="182" t="s">
        <v>5431</v>
      </c>
      <c r="AE374" s="182" t="s">
        <v>5210</v>
      </c>
      <c r="AF374" s="182" t="s">
        <v>4875</v>
      </c>
      <c r="AG374" s="183">
        <v>5794555</v>
      </c>
      <c r="AH374" s="183" t="s">
        <v>6528</v>
      </c>
      <c r="AI374" s="183">
        <v>120564108</v>
      </c>
      <c r="AJ374" s="183">
        <v>35234390</v>
      </c>
      <c r="AK374" s="183" t="s">
        <v>6534</v>
      </c>
      <c r="AL374" s="205"/>
      <c r="AM374" s="205"/>
      <c r="AN374" s="205"/>
      <c r="AO374" s="205"/>
      <c r="AQ374" s="48" t="s">
        <v>6366</v>
      </c>
      <c r="AR374" s="183"/>
      <c r="AS374" s="183"/>
      <c r="AT374" s="92"/>
      <c r="AY374" s="23"/>
      <c r="AZ374" s="40"/>
      <c r="BA374" s="173"/>
      <c r="BB374" s="188"/>
      <c r="BC374" s="189"/>
      <c r="BD374" s="191"/>
    </row>
    <row r="375" spans="1:72" s="182" customFormat="1" x14ac:dyDescent="0.25">
      <c r="A375" s="218">
        <v>35234391</v>
      </c>
      <c r="B375" s="116" t="s">
        <v>5413</v>
      </c>
      <c r="C375" s="183">
        <v>9</v>
      </c>
      <c r="D375" s="23" t="str" cm="1">
        <f t="array" ref="D375">IFERROR(_xlfn.IFS(U375&lt;727,"MEET", AB375="FRRB","MEET", AB375="PSPS","MEET"),"No")</f>
        <v>MEET</v>
      </c>
      <c r="E375" s="23" t="str" cm="1">
        <f t="array" ref="E375">IFERROR(_xlfn.IFS(AM375&gt;0,"MEET", AN375&gt;0,"MEET"),"No")</f>
        <v>No</v>
      </c>
      <c r="F375" s="100">
        <v>2021316</v>
      </c>
      <c r="G375" s="188"/>
      <c r="H375" s="37"/>
      <c r="I375" s="23"/>
      <c r="J375" s="183">
        <v>2021</v>
      </c>
      <c r="M375" s="37">
        <f t="shared" si="80"/>
        <v>0</v>
      </c>
      <c r="N375" s="21">
        <v>0</v>
      </c>
      <c r="O375" s="183" t="s">
        <v>4878</v>
      </c>
      <c r="P375" s="182">
        <v>103521103</v>
      </c>
      <c r="Q375" s="182" t="s">
        <v>2975</v>
      </c>
      <c r="R375" s="183" t="s">
        <v>2977</v>
      </c>
      <c r="S375" s="38">
        <f>IFERROR(VLOOKUP(R375,[47]conductor_pz_summary_hftd_23_re!$B$2:$Q$3636,8,FALSE),0)</f>
        <v>641</v>
      </c>
      <c r="T375" s="201">
        <f>IFERROR(VLOOKUP(R375,[48]conductor_pz_summary_hftd_23_re!$B$2:$H$3636,7,0),0)/1609</f>
        <v>57.142938485843821</v>
      </c>
      <c r="U375" s="23">
        <f>IFERROR(VLOOKUP(R375,[47]conductor_pz_summary_hftd_23_re!$B$2:$Q$3636,14,FALSE),0)</f>
        <v>49</v>
      </c>
      <c r="V375" s="37">
        <f t="shared" si="72"/>
        <v>270.40280484573793</v>
      </c>
      <c r="W375" s="202">
        <f>IFERROR(VLOOKUP(R375,[47]conductor_pz_summary_hftd_23_re!$B$2:$Q$3636,13,FALSE),0)</f>
        <v>0.42184524936932599</v>
      </c>
      <c r="X375" s="183">
        <f>IFERROR(VLOOKUP(R375,conductor_pz_summary_hftd_23_re!$B$2:$N$3636,13,FALSE),0)</f>
        <v>153</v>
      </c>
      <c r="Y375" s="203" t="e">
        <f t="shared" si="73"/>
        <v>#DIV/0!</v>
      </c>
      <c r="AA375" s="183"/>
      <c r="AB375" s="183" t="s">
        <v>5298</v>
      </c>
      <c r="AC375" s="182" t="s">
        <v>5434</v>
      </c>
      <c r="AD375" s="182" t="s">
        <v>5431</v>
      </c>
      <c r="AE375" s="182" t="s">
        <v>5210</v>
      </c>
      <c r="AF375" s="182" t="s">
        <v>4875</v>
      </c>
      <c r="AG375" s="183">
        <v>5794555</v>
      </c>
      <c r="AH375" s="183" t="s">
        <v>6529</v>
      </c>
      <c r="AI375" s="183">
        <v>120564120</v>
      </c>
      <c r="AJ375" s="183">
        <v>35234391</v>
      </c>
      <c r="AK375" s="183" t="s">
        <v>6535</v>
      </c>
      <c r="AL375" s="205"/>
      <c r="AM375" s="205"/>
      <c r="AN375" s="205"/>
      <c r="AO375" s="205"/>
      <c r="AQ375" s="48" t="s">
        <v>6366</v>
      </c>
      <c r="AR375" s="183"/>
      <c r="AS375" s="183"/>
      <c r="AT375" s="92"/>
      <c r="AY375" s="23"/>
      <c r="AZ375" s="40"/>
      <c r="BA375" s="173"/>
      <c r="BB375" s="188"/>
      <c r="BC375" s="189"/>
      <c r="BD375" s="191"/>
    </row>
    <row r="376" spans="1:72" s="182" customFormat="1" x14ac:dyDescent="0.25">
      <c r="A376" s="218">
        <v>35234392</v>
      </c>
      <c r="B376" s="116" t="s">
        <v>5413</v>
      </c>
      <c r="C376" s="183">
        <v>9</v>
      </c>
      <c r="D376" s="23" t="str" cm="1">
        <f t="array" ref="D376">IFERROR(_xlfn.IFS(U376&lt;727,"MEET", AB376="FRRB","MEET", AB376="PSPS","MEET"),"No")</f>
        <v>MEET</v>
      </c>
      <c r="E376" s="23" t="str" cm="1">
        <f t="array" ref="E376">IFERROR(_xlfn.IFS(AM376&gt;0,"MEET", AN376&gt;0,"MEET"),"No")</f>
        <v>No</v>
      </c>
      <c r="F376" s="100">
        <v>2021317</v>
      </c>
      <c r="G376" s="188"/>
      <c r="H376" s="37"/>
      <c r="I376" s="23"/>
      <c r="J376" s="183">
        <v>2021</v>
      </c>
      <c r="M376" s="37">
        <f t="shared" si="80"/>
        <v>0</v>
      </c>
      <c r="N376" s="21">
        <v>0</v>
      </c>
      <c r="O376" s="183" t="s">
        <v>4878</v>
      </c>
      <c r="P376" s="182">
        <v>103521103</v>
      </c>
      <c r="Q376" s="182" t="s">
        <v>2975</v>
      </c>
      <c r="R376" s="183" t="s">
        <v>2977</v>
      </c>
      <c r="S376" s="38">
        <f>IFERROR(VLOOKUP(R376,[47]conductor_pz_summary_hftd_23_re!$B$2:$Q$3636,8,FALSE),0)</f>
        <v>641</v>
      </c>
      <c r="T376" s="201">
        <f>IFERROR(VLOOKUP(R376,[48]conductor_pz_summary_hftd_23_re!$B$2:$H$3636,7,0),0)/1609</f>
        <v>57.142938485843821</v>
      </c>
      <c r="U376" s="23">
        <f>IFERROR(VLOOKUP(R376,[47]conductor_pz_summary_hftd_23_re!$B$2:$Q$3636,14,FALSE),0)</f>
        <v>49</v>
      </c>
      <c r="V376" s="37">
        <f t="shared" si="72"/>
        <v>270.40280484573793</v>
      </c>
      <c r="W376" s="202">
        <f>IFERROR(VLOOKUP(R376,[47]conductor_pz_summary_hftd_23_re!$B$2:$Q$3636,13,FALSE),0)</f>
        <v>0.42184524936932599</v>
      </c>
      <c r="X376" s="183">
        <f>IFERROR(VLOOKUP(R376,conductor_pz_summary_hftd_23_re!$B$2:$N$3636,13,FALSE),0)</f>
        <v>153</v>
      </c>
      <c r="Y376" s="203" t="e">
        <f t="shared" si="73"/>
        <v>#DIV/0!</v>
      </c>
      <c r="AA376" s="183"/>
      <c r="AB376" s="183" t="s">
        <v>5298</v>
      </c>
      <c r="AC376" s="182" t="s">
        <v>5434</v>
      </c>
      <c r="AD376" s="182" t="s">
        <v>5431</v>
      </c>
      <c r="AE376" s="182" t="s">
        <v>5210</v>
      </c>
      <c r="AF376" s="182" t="s">
        <v>4875</v>
      </c>
      <c r="AG376" s="183">
        <v>5794555</v>
      </c>
      <c r="AH376" s="183" t="s">
        <v>6530</v>
      </c>
      <c r="AI376" s="183">
        <v>120564121</v>
      </c>
      <c r="AJ376" s="183">
        <v>35234392</v>
      </c>
      <c r="AK376" s="183" t="s">
        <v>6536</v>
      </c>
      <c r="AL376" s="205"/>
      <c r="AM376" s="205"/>
      <c r="AN376" s="205"/>
      <c r="AO376" s="205"/>
      <c r="AQ376" s="48" t="s">
        <v>6366</v>
      </c>
      <c r="AR376" s="183"/>
      <c r="AS376" s="183"/>
      <c r="AT376" s="92"/>
      <c r="AY376" s="23"/>
      <c r="AZ376" s="40"/>
      <c r="BA376" s="173"/>
      <c r="BB376" s="188"/>
      <c r="BC376" s="189"/>
      <c r="BD376" s="191"/>
    </row>
    <row r="377" spans="1:72" s="59" customFormat="1" x14ac:dyDescent="0.25">
      <c r="A377" s="218">
        <v>35225829</v>
      </c>
      <c r="B377" s="116" t="s">
        <v>5413</v>
      </c>
      <c r="C377" s="183">
        <v>9</v>
      </c>
      <c r="D377" s="23" t="str" cm="1">
        <f t="array" ref="D377">IFERROR(_xlfn.IFS(U377&lt;727,"MEET", AB377="FRRB","MEET", AB377="PSPS","MEET"),"No")</f>
        <v>MEET</v>
      </c>
      <c r="E377" s="23" t="str" cm="1">
        <f t="array" ref="E377">IFERROR(_xlfn.IFS(AM377&gt;0,"MEET", AN377&gt;0,"MEET"),"No")</f>
        <v>No</v>
      </c>
      <c r="F377" s="100">
        <v>2021318</v>
      </c>
      <c r="G377" s="188"/>
      <c r="H377" s="37">
        <f>SUM(AL377:AO377)/5280</f>
        <v>11.120454545454546</v>
      </c>
      <c r="I377" s="23">
        <f>H377-M377</f>
        <v>11.120454545454546</v>
      </c>
      <c r="J377" s="183">
        <v>2021</v>
      </c>
      <c r="K377" s="182"/>
      <c r="L377" s="182"/>
      <c r="M377" s="37">
        <f t="shared" si="80"/>
        <v>0</v>
      </c>
      <c r="N377" s="21">
        <v>709.34</v>
      </c>
      <c r="O377" s="183" t="s">
        <v>4878</v>
      </c>
      <c r="P377" s="182">
        <v>103521103</v>
      </c>
      <c r="Q377" s="182" t="s">
        <v>2975</v>
      </c>
      <c r="R377" s="183" t="s">
        <v>2977</v>
      </c>
      <c r="S377" s="38">
        <f>IFERROR(VLOOKUP(R377,[47]conductor_pz_summary_hftd_23_re!$B$2:$Q$3636,8,FALSE),0)</f>
        <v>641</v>
      </c>
      <c r="T377" s="201">
        <f>IFERROR(VLOOKUP(R377,[48]conductor_pz_summary_hftd_23_re!$B$2:$H$3636,7,0),0)/1609</f>
        <v>57.142938485843821</v>
      </c>
      <c r="U377" s="23">
        <f>IFERROR(VLOOKUP(R377,[47]conductor_pz_summary_hftd_23_re!$B$2:$Q$3636,14,FALSE),0)</f>
        <v>49</v>
      </c>
      <c r="V377" s="37">
        <f t="shared" si="72"/>
        <v>270.40280484573793</v>
      </c>
      <c r="W377" s="202">
        <f>IFERROR(VLOOKUP(R377,[47]conductor_pz_summary_hftd_23_re!$B$2:$Q$3636,13,FALSE),0)</f>
        <v>0.42184524936932599</v>
      </c>
      <c r="X377" s="73">
        <f>IFERROR(VLOOKUP(R377,conductor_pz_summary_hftd_23_re!$B$2:$N$3636,13,FALSE),0)</f>
        <v>153</v>
      </c>
      <c r="Y377" s="203">
        <f t="shared" si="73"/>
        <v>32.625926344637215</v>
      </c>
      <c r="Z377" s="182"/>
      <c r="AA377" s="183"/>
      <c r="AB377" s="183" t="s">
        <v>5298</v>
      </c>
      <c r="AC377" s="182" t="s">
        <v>5434</v>
      </c>
      <c r="AD377" s="182" t="s">
        <v>5431</v>
      </c>
      <c r="AE377" s="182" t="s">
        <v>5210</v>
      </c>
      <c r="AF377" s="182" t="s">
        <v>4875</v>
      </c>
      <c r="AG377" s="183">
        <v>5794555</v>
      </c>
      <c r="AH377" s="183" t="s">
        <v>6052</v>
      </c>
      <c r="AI377" s="183">
        <v>120426406</v>
      </c>
      <c r="AJ377" s="183">
        <v>35225829</v>
      </c>
      <c r="AK377" s="183" t="s">
        <v>6539</v>
      </c>
      <c r="AL377" s="205">
        <v>58716</v>
      </c>
      <c r="AM377" s="205">
        <v>0</v>
      </c>
      <c r="AN377" s="205">
        <v>0</v>
      </c>
      <c r="AO377" s="205">
        <v>0</v>
      </c>
      <c r="AP377" s="182"/>
      <c r="AQ377" s="48" t="s">
        <v>6367</v>
      </c>
      <c r="AR377" s="183">
        <f>AS377*5280</f>
        <v>58713.599999999999</v>
      </c>
      <c r="AS377" s="183">
        <v>11.12</v>
      </c>
      <c r="AT377" s="92"/>
      <c r="AU377" s="182"/>
      <c r="AV377" s="182"/>
      <c r="AW377" s="182"/>
      <c r="AX377" s="182"/>
      <c r="AY377" s="23"/>
      <c r="AZ377" s="40"/>
      <c r="BA377" s="173"/>
      <c r="BB377" s="188"/>
      <c r="BC377" s="189"/>
      <c r="BD377" s="191">
        <f>IFERROR(BC377/BB377,0)</f>
        <v>0</v>
      </c>
      <c r="BE377" s="182"/>
      <c r="BF377" s="182"/>
      <c r="BG377" s="182"/>
      <c r="BH377" s="182"/>
      <c r="BI377" s="182"/>
      <c r="BJ377" s="182"/>
      <c r="BK377" s="182"/>
      <c r="BL377" s="182"/>
      <c r="BM377" s="182"/>
      <c r="BN377" s="182"/>
      <c r="BO377" s="182"/>
      <c r="BP377" s="182"/>
      <c r="BQ377" s="182"/>
      <c r="BR377" s="182"/>
      <c r="BS377" s="182"/>
      <c r="BT377" s="182"/>
    </row>
    <row r="378" spans="1:72" s="182" customFormat="1" x14ac:dyDescent="0.25">
      <c r="A378" s="218">
        <v>35234393</v>
      </c>
      <c r="B378" s="116" t="s">
        <v>5413</v>
      </c>
      <c r="C378" s="183">
        <v>9</v>
      </c>
      <c r="D378" s="23" t="str" cm="1">
        <f t="array" ref="D378">IFERROR(_xlfn.IFS(U378&lt;727,"MEET", AB378="FRRB","MEET", AB378="PSPS","MEET"),"No")</f>
        <v>MEET</v>
      </c>
      <c r="E378" s="23" t="str" cm="1">
        <f t="array" ref="E378">IFERROR(_xlfn.IFS(AM378&gt;0,"MEET", AN378&gt;0,"MEET"),"No")</f>
        <v>No</v>
      </c>
      <c r="F378" s="100">
        <v>2021319</v>
      </c>
      <c r="G378" s="188"/>
      <c r="H378" s="37"/>
      <c r="I378" s="23"/>
      <c r="J378" s="183">
        <v>2021</v>
      </c>
      <c r="M378" s="37">
        <f t="shared" si="80"/>
        <v>0</v>
      </c>
      <c r="N378" s="21">
        <v>0</v>
      </c>
      <c r="O378" s="183" t="s">
        <v>4878</v>
      </c>
      <c r="P378" s="182">
        <v>103521103</v>
      </c>
      <c r="Q378" s="182" t="s">
        <v>2975</v>
      </c>
      <c r="R378" s="183" t="s">
        <v>2977</v>
      </c>
      <c r="S378" s="38">
        <f>IFERROR(VLOOKUP(R378,[47]conductor_pz_summary_hftd_23_re!$B$2:$Q$3636,8,FALSE),0)</f>
        <v>641</v>
      </c>
      <c r="T378" s="201">
        <f>IFERROR(VLOOKUP(R378,[48]conductor_pz_summary_hftd_23_re!$B$2:$H$3636,7,0),0)/1609</f>
        <v>57.142938485843821</v>
      </c>
      <c r="U378" s="23">
        <f>IFERROR(VLOOKUP(R378,[47]conductor_pz_summary_hftd_23_re!$B$2:$Q$3636,14,FALSE),0)</f>
        <v>49</v>
      </c>
      <c r="V378" s="37">
        <f t="shared" si="72"/>
        <v>270.40280484573793</v>
      </c>
      <c r="W378" s="202">
        <f>IFERROR(VLOOKUP(R378,[47]conductor_pz_summary_hftd_23_re!$B$2:$Q$3636,13,FALSE),0)</f>
        <v>0.42184524936932599</v>
      </c>
      <c r="X378" s="183">
        <f>IFERROR(VLOOKUP(R378,conductor_pz_summary_hftd_23_re!$B$2:$N$3636,13,FALSE),0)</f>
        <v>153</v>
      </c>
      <c r="Y378" s="203" t="e">
        <f t="shared" si="73"/>
        <v>#DIV/0!</v>
      </c>
      <c r="AA378" s="183"/>
      <c r="AB378" s="183" t="s">
        <v>5298</v>
      </c>
      <c r="AC378" s="182" t="s">
        <v>5434</v>
      </c>
      <c r="AD378" s="182" t="s">
        <v>5431</v>
      </c>
      <c r="AE378" s="182" t="s">
        <v>5210</v>
      </c>
      <c r="AF378" s="182" t="s">
        <v>4875</v>
      </c>
      <c r="AG378" s="183">
        <v>5794555</v>
      </c>
      <c r="AH378" s="183" t="s">
        <v>6540</v>
      </c>
      <c r="AI378" s="183">
        <v>120564122</v>
      </c>
      <c r="AJ378" s="183">
        <v>35234393</v>
      </c>
      <c r="AK378" s="183" t="s">
        <v>6545</v>
      </c>
      <c r="AL378" s="205"/>
      <c r="AM378" s="205"/>
      <c r="AN378" s="205"/>
      <c r="AO378" s="205"/>
      <c r="AQ378" s="48" t="s">
        <v>6367</v>
      </c>
      <c r="AR378" s="183"/>
      <c r="AS378" s="183"/>
      <c r="AT378" s="92"/>
      <c r="AY378" s="23"/>
      <c r="AZ378" s="40"/>
      <c r="BA378" s="173"/>
      <c r="BB378" s="188"/>
      <c r="BC378" s="189"/>
      <c r="BD378" s="191"/>
    </row>
    <row r="379" spans="1:72" s="182" customFormat="1" x14ac:dyDescent="0.25">
      <c r="A379" s="218">
        <v>35234394</v>
      </c>
      <c r="B379" s="116" t="s">
        <v>5413</v>
      </c>
      <c r="C379" s="183">
        <v>9</v>
      </c>
      <c r="D379" s="23" t="str" cm="1">
        <f t="array" ref="D379">IFERROR(_xlfn.IFS(U379&lt;727,"MEET", AB379="FRRB","MEET", AB379="PSPS","MEET"),"No")</f>
        <v>MEET</v>
      </c>
      <c r="E379" s="23" t="str" cm="1">
        <f t="array" ref="E379">IFERROR(_xlfn.IFS(AM379&gt;0,"MEET", AN379&gt;0,"MEET"),"No")</f>
        <v>No</v>
      </c>
      <c r="F379" s="100">
        <v>2021320</v>
      </c>
      <c r="G379" s="188"/>
      <c r="H379" s="37"/>
      <c r="I379" s="23"/>
      <c r="J379" s="183">
        <v>2021</v>
      </c>
      <c r="M379" s="37">
        <f t="shared" si="80"/>
        <v>0</v>
      </c>
      <c r="N379" s="21">
        <v>0</v>
      </c>
      <c r="O379" s="183" t="s">
        <v>4878</v>
      </c>
      <c r="P379" s="182">
        <v>103521103</v>
      </c>
      <c r="Q379" s="182" t="s">
        <v>2975</v>
      </c>
      <c r="R379" s="183" t="s">
        <v>2977</v>
      </c>
      <c r="S379" s="38">
        <f>IFERROR(VLOOKUP(R379,[47]conductor_pz_summary_hftd_23_re!$B$2:$Q$3636,8,FALSE),0)</f>
        <v>641</v>
      </c>
      <c r="T379" s="201">
        <f>IFERROR(VLOOKUP(R379,[48]conductor_pz_summary_hftd_23_re!$B$2:$H$3636,7,0),0)/1609</f>
        <v>57.142938485843821</v>
      </c>
      <c r="U379" s="23">
        <f>IFERROR(VLOOKUP(R379,[47]conductor_pz_summary_hftd_23_re!$B$2:$Q$3636,14,FALSE),0)</f>
        <v>49</v>
      </c>
      <c r="V379" s="37">
        <f t="shared" si="72"/>
        <v>270.40280484573793</v>
      </c>
      <c r="W379" s="202">
        <f>IFERROR(VLOOKUP(R379,[47]conductor_pz_summary_hftd_23_re!$B$2:$Q$3636,13,FALSE),0)</f>
        <v>0.42184524936932599</v>
      </c>
      <c r="X379" s="183">
        <f>IFERROR(VLOOKUP(R379,conductor_pz_summary_hftd_23_re!$B$2:$N$3636,13,FALSE),0)</f>
        <v>153</v>
      </c>
      <c r="Y379" s="203" t="e">
        <f t="shared" si="73"/>
        <v>#DIV/0!</v>
      </c>
      <c r="AA379" s="183"/>
      <c r="AB379" s="183" t="s">
        <v>5298</v>
      </c>
      <c r="AC379" s="182" t="s">
        <v>5434</v>
      </c>
      <c r="AD379" s="182" t="s">
        <v>5431</v>
      </c>
      <c r="AE379" s="182" t="s">
        <v>5210</v>
      </c>
      <c r="AF379" s="182" t="s">
        <v>4875</v>
      </c>
      <c r="AG379" s="183">
        <v>5794555</v>
      </c>
      <c r="AH379" s="183" t="s">
        <v>6541</v>
      </c>
      <c r="AI379" s="183">
        <v>120564123</v>
      </c>
      <c r="AJ379" s="183">
        <v>35234394</v>
      </c>
      <c r="AK379" s="183" t="s">
        <v>6546</v>
      </c>
      <c r="AL379" s="205"/>
      <c r="AM379" s="205"/>
      <c r="AN379" s="205"/>
      <c r="AO379" s="205"/>
      <c r="AQ379" s="48" t="s">
        <v>6367</v>
      </c>
      <c r="AR379" s="183"/>
      <c r="AS379" s="183"/>
      <c r="AT379" s="92"/>
      <c r="AY379" s="23"/>
      <c r="AZ379" s="40"/>
      <c r="BA379" s="173"/>
      <c r="BB379" s="188"/>
      <c r="BC379" s="189"/>
      <c r="BD379" s="191"/>
    </row>
    <row r="380" spans="1:72" s="182" customFormat="1" x14ac:dyDescent="0.25">
      <c r="A380" s="218">
        <v>35234395</v>
      </c>
      <c r="B380" s="116" t="s">
        <v>5413</v>
      </c>
      <c r="C380" s="183">
        <v>9</v>
      </c>
      <c r="D380" s="23" t="str" cm="1">
        <f t="array" ref="D380">IFERROR(_xlfn.IFS(U380&lt;727,"MEET", AB380="FRRB","MEET", AB380="PSPS","MEET"),"No")</f>
        <v>MEET</v>
      </c>
      <c r="E380" s="23" t="str" cm="1">
        <f t="array" ref="E380">IFERROR(_xlfn.IFS(AM380&gt;0,"MEET", AN380&gt;0,"MEET"),"No")</f>
        <v>No</v>
      </c>
      <c r="F380" s="100">
        <v>2021321</v>
      </c>
      <c r="G380" s="188"/>
      <c r="H380" s="37"/>
      <c r="I380" s="23"/>
      <c r="J380" s="183">
        <v>2021</v>
      </c>
      <c r="M380" s="37">
        <f t="shared" si="80"/>
        <v>0</v>
      </c>
      <c r="N380" s="21">
        <v>0</v>
      </c>
      <c r="O380" s="183" t="s">
        <v>4878</v>
      </c>
      <c r="P380" s="182">
        <v>103521103</v>
      </c>
      <c r="Q380" s="182" t="s">
        <v>2975</v>
      </c>
      <c r="R380" s="183" t="s">
        <v>2977</v>
      </c>
      <c r="S380" s="38">
        <f>IFERROR(VLOOKUP(R380,[47]conductor_pz_summary_hftd_23_re!$B$2:$Q$3636,8,FALSE),0)</f>
        <v>641</v>
      </c>
      <c r="T380" s="201">
        <f>IFERROR(VLOOKUP(R380,[48]conductor_pz_summary_hftd_23_re!$B$2:$H$3636,7,0),0)/1609</f>
        <v>57.142938485843821</v>
      </c>
      <c r="U380" s="23">
        <f>IFERROR(VLOOKUP(R380,[47]conductor_pz_summary_hftd_23_re!$B$2:$Q$3636,14,FALSE),0)</f>
        <v>49</v>
      </c>
      <c r="V380" s="37">
        <f t="shared" ref="V380:V402" si="81">IFERROR(W380*S380,0)</f>
        <v>270.40280484573793</v>
      </c>
      <c r="W380" s="202">
        <f>IFERROR(VLOOKUP(R380,[47]conductor_pz_summary_hftd_23_re!$B$2:$Q$3636,13,FALSE),0)</f>
        <v>0.42184524936932599</v>
      </c>
      <c r="X380" s="183">
        <f>IFERROR(VLOOKUP(R380,conductor_pz_summary_hftd_23_re!$B$2:$N$3636,13,FALSE),0)</f>
        <v>153</v>
      </c>
      <c r="Y380" s="203" t="e">
        <f t="shared" ref="Y380:Y402" si="82">(AL380*0.62+AM380*0.99+AN380+AO380*0.99)/(SUM(AL380:AO380))*V380*(H380/T380)</f>
        <v>#DIV/0!</v>
      </c>
      <c r="AA380" s="183"/>
      <c r="AB380" s="183" t="s">
        <v>5298</v>
      </c>
      <c r="AC380" s="182" t="s">
        <v>5434</v>
      </c>
      <c r="AD380" s="182" t="s">
        <v>5431</v>
      </c>
      <c r="AE380" s="182" t="s">
        <v>5210</v>
      </c>
      <c r="AF380" s="182" t="s">
        <v>4875</v>
      </c>
      <c r="AG380" s="183">
        <v>5794555</v>
      </c>
      <c r="AH380" s="183" t="s">
        <v>6542</v>
      </c>
      <c r="AI380" s="183">
        <v>120564126</v>
      </c>
      <c r="AJ380" s="183">
        <v>35234395</v>
      </c>
      <c r="AK380" s="183" t="s">
        <v>6547</v>
      </c>
      <c r="AL380" s="205"/>
      <c r="AM380" s="205"/>
      <c r="AN380" s="205"/>
      <c r="AO380" s="205"/>
      <c r="AQ380" s="48" t="s">
        <v>6367</v>
      </c>
      <c r="AR380" s="183"/>
      <c r="AS380" s="183"/>
      <c r="AT380" s="92"/>
      <c r="AY380" s="23"/>
      <c r="AZ380" s="40"/>
      <c r="BA380" s="173"/>
      <c r="BB380" s="188"/>
      <c r="BC380" s="189"/>
      <c r="BD380" s="191"/>
    </row>
    <row r="381" spans="1:72" s="182" customFormat="1" x14ac:dyDescent="0.25">
      <c r="A381" s="218">
        <v>35234396</v>
      </c>
      <c r="B381" s="116" t="s">
        <v>5413</v>
      </c>
      <c r="C381" s="183">
        <v>9</v>
      </c>
      <c r="D381" s="23" t="str" cm="1">
        <f t="array" ref="D381">IFERROR(_xlfn.IFS(U381&lt;727,"MEET", AB381="FRRB","MEET", AB381="PSPS","MEET"),"No")</f>
        <v>MEET</v>
      </c>
      <c r="E381" s="23" t="str" cm="1">
        <f t="array" ref="E381">IFERROR(_xlfn.IFS(AM381&gt;0,"MEET", AN381&gt;0,"MEET"),"No")</f>
        <v>No</v>
      </c>
      <c r="F381" s="100">
        <v>2021322</v>
      </c>
      <c r="G381" s="188"/>
      <c r="H381" s="37"/>
      <c r="I381" s="23"/>
      <c r="J381" s="183">
        <v>2021</v>
      </c>
      <c r="M381" s="37">
        <f t="shared" si="80"/>
        <v>0</v>
      </c>
      <c r="N381" s="21">
        <v>0</v>
      </c>
      <c r="O381" s="183" t="s">
        <v>4878</v>
      </c>
      <c r="P381" s="182">
        <v>103521103</v>
      </c>
      <c r="Q381" s="182" t="s">
        <v>2975</v>
      </c>
      <c r="R381" s="183" t="s">
        <v>2977</v>
      </c>
      <c r="S381" s="38">
        <f>IFERROR(VLOOKUP(R381,[47]conductor_pz_summary_hftd_23_re!$B$2:$Q$3636,8,FALSE),0)</f>
        <v>641</v>
      </c>
      <c r="T381" s="201">
        <f>IFERROR(VLOOKUP(R381,[48]conductor_pz_summary_hftd_23_re!$B$2:$H$3636,7,0),0)/1609</f>
        <v>57.142938485843821</v>
      </c>
      <c r="U381" s="23">
        <f>IFERROR(VLOOKUP(R381,[47]conductor_pz_summary_hftd_23_re!$B$2:$Q$3636,14,FALSE),0)</f>
        <v>49</v>
      </c>
      <c r="V381" s="37">
        <f t="shared" si="81"/>
        <v>270.40280484573793</v>
      </c>
      <c r="W381" s="202">
        <f>IFERROR(VLOOKUP(R381,[47]conductor_pz_summary_hftd_23_re!$B$2:$Q$3636,13,FALSE),0)</f>
        <v>0.42184524936932599</v>
      </c>
      <c r="X381" s="183">
        <f>IFERROR(VLOOKUP(R381,conductor_pz_summary_hftd_23_re!$B$2:$N$3636,13,FALSE),0)</f>
        <v>153</v>
      </c>
      <c r="Y381" s="203" t="e">
        <f t="shared" si="82"/>
        <v>#DIV/0!</v>
      </c>
      <c r="AA381" s="183"/>
      <c r="AB381" s="183" t="s">
        <v>5298</v>
      </c>
      <c r="AC381" s="182" t="s">
        <v>5434</v>
      </c>
      <c r="AD381" s="182" t="s">
        <v>5431</v>
      </c>
      <c r="AE381" s="182" t="s">
        <v>5210</v>
      </c>
      <c r="AF381" s="182" t="s">
        <v>4875</v>
      </c>
      <c r="AG381" s="183">
        <v>5794555</v>
      </c>
      <c r="AH381" s="183" t="s">
        <v>6543</v>
      </c>
      <c r="AI381" s="183">
        <v>120564127</v>
      </c>
      <c r="AJ381" s="183">
        <v>35234396</v>
      </c>
      <c r="AK381" s="183" t="s">
        <v>6548</v>
      </c>
      <c r="AL381" s="205"/>
      <c r="AM381" s="205"/>
      <c r="AN381" s="205"/>
      <c r="AO381" s="205"/>
      <c r="AQ381" s="48" t="s">
        <v>6367</v>
      </c>
      <c r="AR381" s="183"/>
      <c r="AS381" s="183"/>
      <c r="AT381" s="92"/>
      <c r="AY381" s="23"/>
      <c r="AZ381" s="40"/>
      <c r="BA381" s="173"/>
      <c r="BB381" s="188"/>
      <c r="BC381" s="189"/>
      <c r="BD381" s="191"/>
    </row>
    <row r="382" spans="1:72" s="182" customFormat="1" x14ac:dyDescent="0.25">
      <c r="A382" s="218">
        <v>35234397</v>
      </c>
      <c r="B382" s="116" t="s">
        <v>5413</v>
      </c>
      <c r="C382" s="183">
        <v>9</v>
      </c>
      <c r="D382" s="23" t="str" cm="1">
        <f t="array" ref="D382">IFERROR(_xlfn.IFS(U382&lt;727,"MEET", AB382="FRRB","MEET", AB382="PSPS","MEET"),"No")</f>
        <v>MEET</v>
      </c>
      <c r="E382" s="23" t="str" cm="1">
        <f t="array" ref="E382">IFERROR(_xlfn.IFS(AM382&gt;0,"MEET", AN382&gt;0,"MEET"),"No")</f>
        <v>No</v>
      </c>
      <c r="F382" s="100">
        <v>2021323</v>
      </c>
      <c r="G382" s="188"/>
      <c r="H382" s="37"/>
      <c r="I382" s="23"/>
      <c r="J382" s="183">
        <v>2021</v>
      </c>
      <c r="M382" s="37">
        <f t="shared" si="80"/>
        <v>0</v>
      </c>
      <c r="N382" s="21">
        <v>0</v>
      </c>
      <c r="O382" s="183" t="s">
        <v>4878</v>
      </c>
      <c r="P382" s="182">
        <v>103521103</v>
      </c>
      <c r="Q382" s="182" t="s">
        <v>2975</v>
      </c>
      <c r="R382" s="183" t="s">
        <v>2977</v>
      </c>
      <c r="S382" s="38">
        <f>IFERROR(VLOOKUP(R382,[47]conductor_pz_summary_hftd_23_re!$B$2:$Q$3636,8,FALSE),0)</f>
        <v>641</v>
      </c>
      <c r="T382" s="201">
        <f>IFERROR(VLOOKUP(R382,[48]conductor_pz_summary_hftd_23_re!$B$2:$H$3636,7,0),0)/1609</f>
        <v>57.142938485843821</v>
      </c>
      <c r="U382" s="23">
        <f>IFERROR(VLOOKUP(R382,[47]conductor_pz_summary_hftd_23_re!$B$2:$Q$3636,14,FALSE),0)</f>
        <v>49</v>
      </c>
      <c r="V382" s="37">
        <f t="shared" si="81"/>
        <v>270.40280484573793</v>
      </c>
      <c r="W382" s="202">
        <f>IFERROR(VLOOKUP(R382,[47]conductor_pz_summary_hftd_23_re!$B$2:$Q$3636,13,FALSE),0)</f>
        <v>0.42184524936932599</v>
      </c>
      <c r="X382" s="183">
        <f>IFERROR(VLOOKUP(R382,conductor_pz_summary_hftd_23_re!$B$2:$N$3636,13,FALSE),0)</f>
        <v>153</v>
      </c>
      <c r="Y382" s="203" t="e">
        <f t="shared" si="82"/>
        <v>#DIV/0!</v>
      </c>
      <c r="AA382" s="183"/>
      <c r="AB382" s="183" t="s">
        <v>5298</v>
      </c>
      <c r="AC382" s="182" t="s">
        <v>5434</v>
      </c>
      <c r="AD382" s="182" t="s">
        <v>5431</v>
      </c>
      <c r="AE382" s="182" t="s">
        <v>5210</v>
      </c>
      <c r="AF382" s="182" t="s">
        <v>4875</v>
      </c>
      <c r="AG382" s="183">
        <v>5794555</v>
      </c>
      <c r="AH382" s="183" t="s">
        <v>6544</v>
      </c>
      <c r="AI382" s="183">
        <v>120564129</v>
      </c>
      <c r="AJ382" s="183">
        <v>35234397</v>
      </c>
      <c r="AK382" s="183" t="s">
        <v>6549</v>
      </c>
      <c r="AL382" s="205"/>
      <c r="AM382" s="205"/>
      <c r="AN382" s="205"/>
      <c r="AO382" s="205"/>
      <c r="AQ382" s="48" t="s">
        <v>6367</v>
      </c>
      <c r="AR382" s="183"/>
      <c r="AS382" s="183"/>
      <c r="AT382" s="92"/>
      <c r="AY382" s="23"/>
      <c r="AZ382" s="40"/>
      <c r="BA382" s="173"/>
      <c r="BB382" s="188"/>
      <c r="BC382" s="189"/>
      <c r="BD382" s="191"/>
    </row>
    <row r="383" spans="1:72" s="182" customFormat="1" x14ac:dyDescent="0.25">
      <c r="A383" s="218">
        <v>35219287</v>
      </c>
      <c r="B383" s="116" t="s">
        <v>5413</v>
      </c>
      <c r="C383" s="183">
        <v>9</v>
      </c>
      <c r="D383" s="23" t="str" cm="1">
        <f t="array" ref="D383">IFERROR(_xlfn.IFS(U383&lt;727,"MEET", AB383="FRRB","MEET", AB383="PSPS","MEET"),"No")</f>
        <v>MEET</v>
      </c>
      <c r="E383" s="23" t="str" cm="1">
        <f t="array" ref="E383">IFERROR(_xlfn.IFS(AM383&gt;0,"MEET", AN383&gt;0,"MEET"),"No")</f>
        <v>MEET</v>
      </c>
      <c r="F383" s="100">
        <v>2021324</v>
      </c>
      <c r="G383" s="188"/>
      <c r="H383" s="37">
        <f>SUM(AL383:AO383)/5280</f>
        <v>9.5263257575757567</v>
      </c>
      <c r="I383" s="23">
        <f>H383-M383</f>
        <v>9.5263257575757567</v>
      </c>
      <c r="J383" s="183">
        <v>2021</v>
      </c>
      <c r="M383" s="37">
        <f t="shared" si="80"/>
        <v>0</v>
      </c>
      <c r="N383" s="21">
        <v>9913.4500000000007</v>
      </c>
      <c r="O383" s="183" t="s">
        <v>4878</v>
      </c>
      <c r="P383" s="182">
        <v>103521103</v>
      </c>
      <c r="Q383" s="182" t="s">
        <v>2975</v>
      </c>
      <c r="R383" s="183" t="s">
        <v>2977</v>
      </c>
      <c r="S383" s="38">
        <f>IFERROR(VLOOKUP(R383,[47]conductor_pz_summary_hftd_23_re!$B$2:$Q$3636,8,FALSE),0)</f>
        <v>641</v>
      </c>
      <c r="T383" s="201">
        <f>IFERROR(VLOOKUP(R383,[48]conductor_pz_summary_hftd_23_re!$B$2:$H$3636,7,0),0)/1609</f>
        <v>57.142938485843821</v>
      </c>
      <c r="U383" s="23">
        <f>IFERROR(VLOOKUP(R383,[47]conductor_pz_summary_hftd_23_re!$B$2:$Q$3636,14,FALSE),0)</f>
        <v>49</v>
      </c>
      <c r="V383" s="37">
        <f t="shared" si="81"/>
        <v>270.40280484573793</v>
      </c>
      <c r="W383" s="202">
        <f>IFERROR(VLOOKUP(R383,[47]conductor_pz_summary_hftd_23_re!$B$2:$Q$3636,13,FALSE),0)</f>
        <v>0.42184524936932599</v>
      </c>
      <c r="X383" s="183">
        <f>IFERROR(VLOOKUP(R383,conductor_pz_summary_hftd_23_re!$B$2:$N$3636,13,FALSE),0)</f>
        <v>153</v>
      </c>
      <c r="Y383" s="203">
        <f t="shared" si="82"/>
        <v>28.047048018144192</v>
      </c>
      <c r="AA383" s="183"/>
      <c r="AB383" s="183" t="s">
        <v>5298</v>
      </c>
      <c r="AC383" s="182" t="s">
        <v>5434</v>
      </c>
      <c r="AD383" s="182" t="s">
        <v>5431</v>
      </c>
      <c r="AE383" s="182" t="s">
        <v>5210</v>
      </c>
      <c r="AF383" s="182" t="s">
        <v>4875</v>
      </c>
      <c r="AG383" s="183">
        <v>5794555</v>
      </c>
      <c r="AH383" s="183" t="s">
        <v>5316</v>
      </c>
      <c r="AI383" s="183">
        <v>120142356</v>
      </c>
      <c r="AJ383" s="183">
        <v>35219287</v>
      </c>
      <c r="AK383" s="183" t="s">
        <v>6550</v>
      </c>
      <c r="AL383" s="205">
        <v>50011</v>
      </c>
      <c r="AM383" s="205">
        <v>0</v>
      </c>
      <c r="AN383" s="205">
        <v>288</v>
      </c>
      <c r="AO383" s="205">
        <v>0</v>
      </c>
      <c r="AQ383" s="48" t="s">
        <v>6368</v>
      </c>
      <c r="AR383" s="183">
        <f>AS383*5280</f>
        <v>46992</v>
      </c>
      <c r="AS383" s="183">
        <v>8.9</v>
      </c>
      <c r="AT383" s="92"/>
      <c r="AY383" s="23">
        <f>SUM(AV383:AX383)</f>
        <v>0</v>
      </c>
      <c r="AZ383" s="40">
        <f>AY383/5280</f>
        <v>0</v>
      </c>
      <c r="BA383" s="173"/>
      <c r="BB383" s="188"/>
      <c r="BC383" s="189"/>
      <c r="BD383" s="191">
        <f>IFERROR(BC383/BB383,0)</f>
        <v>0</v>
      </c>
    </row>
    <row r="384" spans="1:72" s="59" customFormat="1" x14ac:dyDescent="0.25">
      <c r="A384" s="218">
        <v>35234398</v>
      </c>
      <c r="B384" s="116" t="s">
        <v>5413</v>
      </c>
      <c r="C384" s="183">
        <v>9</v>
      </c>
      <c r="D384" s="23" t="str" cm="1">
        <f t="array" ref="D384">IFERROR(_xlfn.IFS(U384&lt;727,"MEET", AB384="FRRB","MEET", AB384="PSPS","MEET"),"No")</f>
        <v>MEET</v>
      </c>
      <c r="E384" s="23" t="str" cm="1">
        <f t="array" ref="E384">IFERROR(_xlfn.IFS(AM384&gt;0,"MEET", AN384&gt;0,"MEET"),"No")</f>
        <v>No</v>
      </c>
      <c r="F384" s="100">
        <v>2021325</v>
      </c>
      <c r="G384" s="188"/>
      <c r="H384" s="37"/>
      <c r="I384" s="23"/>
      <c r="J384" s="183">
        <v>2021</v>
      </c>
      <c r="K384" s="182"/>
      <c r="L384" s="182"/>
      <c r="M384" s="37">
        <f t="shared" si="80"/>
        <v>0</v>
      </c>
      <c r="N384" s="21">
        <v>3219.64</v>
      </c>
      <c r="O384" s="183" t="s">
        <v>4878</v>
      </c>
      <c r="P384" s="182">
        <v>103521103</v>
      </c>
      <c r="Q384" s="182" t="s">
        <v>2975</v>
      </c>
      <c r="R384" s="183" t="s">
        <v>2977</v>
      </c>
      <c r="S384" s="38">
        <f>IFERROR(VLOOKUP(R384,[47]conductor_pz_summary_hftd_23_re!$B$2:$Q$3636,8,FALSE),0)</f>
        <v>641</v>
      </c>
      <c r="T384" s="201">
        <f>IFERROR(VLOOKUP(R384,[48]conductor_pz_summary_hftd_23_re!$B$2:$H$3636,7,0),0)/1609</f>
        <v>57.142938485843821</v>
      </c>
      <c r="U384" s="23">
        <f>IFERROR(VLOOKUP(R384,[47]conductor_pz_summary_hftd_23_re!$B$2:$Q$3636,14,FALSE),0)</f>
        <v>49</v>
      </c>
      <c r="V384" s="37">
        <f t="shared" si="81"/>
        <v>270.40280484573793</v>
      </c>
      <c r="W384" s="202">
        <f>IFERROR(VLOOKUP(R384,[47]conductor_pz_summary_hftd_23_re!$B$2:$Q$3636,13,FALSE),0)</f>
        <v>0.42184524936932599</v>
      </c>
      <c r="X384" s="73">
        <f>IFERROR(VLOOKUP(R384,conductor_pz_summary_hftd_23_re!$B$2:$N$3636,13,FALSE),0)</f>
        <v>153</v>
      </c>
      <c r="Y384" s="203" t="e">
        <f t="shared" si="82"/>
        <v>#DIV/0!</v>
      </c>
      <c r="Z384" s="182"/>
      <c r="AA384" s="183"/>
      <c r="AB384" s="183" t="s">
        <v>5298</v>
      </c>
      <c r="AC384" s="182" t="s">
        <v>5434</v>
      </c>
      <c r="AD384" s="182" t="s">
        <v>5431</v>
      </c>
      <c r="AE384" s="182" t="s">
        <v>5210</v>
      </c>
      <c r="AF384" s="182" t="s">
        <v>4875</v>
      </c>
      <c r="AG384" s="183">
        <v>5794555</v>
      </c>
      <c r="AH384" s="183" t="s">
        <v>6551</v>
      </c>
      <c r="AI384" s="183">
        <v>120564152</v>
      </c>
      <c r="AJ384" s="183">
        <v>35234398</v>
      </c>
      <c r="AK384" s="183" t="s">
        <v>6555</v>
      </c>
      <c r="AL384" s="205"/>
      <c r="AM384" s="205"/>
      <c r="AN384" s="205"/>
      <c r="AO384" s="205"/>
      <c r="AP384" s="182"/>
      <c r="AQ384" s="48" t="s">
        <v>6368</v>
      </c>
      <c r="AR384" s="183"/>
      <c r="AS384" s="183"/>
      <c r="AT384" s="92"/>
      <c r="AU384" s="182"/>
      <c r="AV384" s="182"/>
      <c r="AW384" s="182"/>
      <c r="AX384" s="182"/>
      <c r="AY384" s="23"/>
      <c r="AZ384" s="40"/>
      <c r="BA384" s="173"/>
      <c r="BB384" s="188"/>
      <c r="BC384" s="189"/>
      <c r="BD384" s="191"/>
      <c r="BE384" s="182"/>
      <c r="BF384" s="182"/>
      <c r="BG384" s="182"/>
      <c r="BH384" s="182"/>
      <c r="BI384" s="182"/>
      <c r="BJ384" s="182"/>
      <c r="BK384" s="182"/>
      <c r="BL384" s="182"/>
      <c r="BM384" s="182"/>
      <c r="BN384" s="182"/>
      <c r="BO384" s="182"/>
      <c r="BP384" s="182"/>
      <c r="BQ384" s="182"/>
      <c r="BR384" s="182"/>
      <c r="BS384" s="182"/>
      <c r="BT384" s="182"/>
    </row>
    <row r="385" spans="1:72" s="182" customFormat="1" x14ac:dyDescent="0.25">
      <c r="A385" s="218">
        <v>35234399</v>
      </c>
      <c r="B385" s="116" t="s">
        <v>5413</v>
      </c>
      <c r="C385" s="183">
        <v>9</v>
      </c>
      <c r="D385" s="23" t="str" cm="1">
        <f t="array" ref="D385">IFERROR(_xlfn.IFS(U385&lt;727,"MEET", AB385="FRRB","MEET", AB385="PSPS","MEET"),"No")</f>
        <v>MEET</v>
      </c>
      <c r="E385" s="23" t="str" cm="1">
        <f t="array" ref="E385">IFERROR(_xlfn.IFS(AM385&gt;0,"MEET", AN385&gt;0,"MEET"),"No")</f>
        <v>No</v>
      </c>
      <c r="F385" s="100">
        <v>2021326</v>
      </c>
      <c r="G385" s="188"/>
      <c r="H385" s="37"/>
      <c r="I385" s="23"/>
      <c r="J385" s="183">
        <v>2021</v>
      </c>
      <c r="M385" s="37">
        <f t="shared" si="80"/>
        <v>0</v>
      </c>
      <c r="N385" s="21">
        <v>3219.64</v>
      </c>
      <c r="O385" s="183" t="s">
        <v>4878</v>
      </c>
      <c r="P385" s="182">
        <v>103521103</v>
      </c>
      <c r="Q385" s="182" t="s">
        <v>2975</v>
      </c>
      <c r="R385" s="183" t="s">
        <v>2977</v>
      </c>
      <c r="S385" s="38">
        <f>IFERROR(VLOOKUP(R385,[47]conductor_pz_summary_hftd_23_re!$B$2:$Q$3636,8,FALSE),0)</f>
        <v>641</v>
      </c>
      <c r="T385" s="201">
        <f>IFERROR(VLOOKUP(R385,[48]conductor_pz_summary_hftd_23_re!$B$2:$H$3636,7,0),0)/1609</f>
        <v>57.142938485843821</v>
      </c>
      <c r="U385" s="23">
        <f>IFERROR(VLOOKUP(R385,[47]conductor_pz_summary_hftd_23_re!$B$2:$Q$3636,14,FALSE),0)</f>
        <v>49</v>
      </c>
      <c r="V385" s="37">
        <f t="shared" si="81"/>
        <v>270.40280484573793</v>
      </c>
      <c r="W385" s="202">
        <f>IFERROR(VLOOKUP(R385,[47]conductor_pz_summary_hftd_23_re!$B$2:$Q$3636,13,FALSE),0)</f>
        <v>0.42184524936932599</v>
      </c>
      <c r="X385" s="183">
        <f>IFERROR(VLOOKUP(R385,conductor_pz_summary_hftd_23_re!$B$2:$N$3636,13,FALSE),0)</f>
        <v>153</v>
      </c>
      <c r="Y385" s="203" t="e">
        <f t="shared" si="82"/>
        <v>#DIV/0!</v>
      </c>
      <c r="AA385" s="183"/>
      <c r="AB385" s="183" t="s">
        <v>5298</v>
      </c>
      <c r="AC385" s="182" t="s">
        <v>5434</v>
      </c>
      <c r="AD385" s="182" t="s">
        <v>5431</v>
      </c>
      <c r="AE385" s="182" t="s">
        <v>5210</v>
      </c>
      <c r="AF385" s="182" t="s">
        <v>4875</v>
      </c>
      <c r="AG385" s="183">
        <v>5794555</v>
      </c>
      <c r="AH385" s="183" t="s">
        <v>6552</v>
      </c>
      <c r="AI385" s="183">
        <v>120564153</v>
      </c>
      <c r="AJ385" s="183">
        <v>35234399</v>
      </c>
      <c r="AK385" s="183" t="s">
        <v>6556</v>
      </c>
      <c r="AL385" s="205"/>
      <c r="AM385" s="205"/>
      <c r="AN385" s="205"/>
      <c r="AO385" s="205"/>
      <c r="AQ385" s="48" t="s">
        <v>6368</v>
      </c>
      <c r="AR385" s="183"/>
      <c r="AS385" s="183"/>
      <c r="AT385" s="92"/>
      <c r="AY385" s="23"/>
      <c r="AZ385" s="40"/>
      <c r="BA385" s="173"/>
      <c r="BB385" s="188"/>
      <c r="BC385" s="189"/>
      <c r="BD385" s="191"/>
    </row>
    <row r="386" spans="1:72" s="182" customFormat="1" x14ac:dyDescent="0.25">
      <c r="A386" s="218">
        <v>35234400</v>
      </c>
      <c r="B386" s="116" t="s">
        <v>5413</v>
      </c>
      <c r="C386" s="183">
        <v>9</v>
      </c>
      <c r="D386" s="23" t="str" cm="1">
        <f t="array" ref="D386">IFERROR(_xlfn.IFS(U386&lt;727,"MEET", AB386="FRRB","MEET", AB386="PSPS","MEET"),"No")</f>
        <v>MEET</v>
      </c>
      <c r="E386" s="23" t="str" cm="1">
        <f t="array" ref="E386">IFERROR(_xlfn.IFS(AM386&gt;0,"MEET", AN386&gt;0,"MEET"),"No")</f>
        <v>No</v>
      </c>
      <c r="F386" s="100">
        <v>2021327</v>
      </c>
      <c r="G386" s="188"/>
      <c r="H386" s="37"/>
      <c r="I386" s="23"/>
      <c r="J386" s="183">
        <v>2021</v>
      </c>
      <c r="M386" s="37">
        <f t="shared" si="80"/>
        <v>0</v>
      </c>
      <c r="N386" s="21">
        <v>3219.64</v>
      </c>
      <c r="O386" s="183" t="s">
        <v>4878</v>
      </c>
      <c r="P386" s="182">
        <v>103521103</v>
      </c>
      <c r="Q386" s="182" t="s">
        <v>2975</v>
      </c>
      <c r="R386" s="183" t="s">
        <v>2977</v>
      </c>
      <c r="S386" s="38">
        <f>IFERROR(VLOOKUP(R386,[47]conductor_pz_summary_hftd_23_re!$B$2:$Q$3636,8,FALSE),0)</f>
        <v>641</v>
      </c>
      <c r="T386" s="201">
        <f>IFERROR(VLOOKUP(R386,[48]conductor_pz_summary_hftd_23_re!$B$2:$H$3636,7,0),0)/1609</f>
        <v>57.142938485843821</v>
      </c>
      <c r="U386" s="23">
        <f>IFERROR(VLOOKUP(R386,[47]conductor_pz_summary_hftd_23_re!$B$2:$Q$3636,14,FALSE),0)</f>
        <v>49</v>
      </c>
      <c r="V386" s="37">
        <f t="shared" si="81"/>
        <v>270.40280484573793</v>
      </c>
      <c r="W386" s="202">
        <f>IFERROR(VLOOKUP(R386,[47]conductor_pz_summary_hftd_23_re!$B$2:$Q$3636,13,FALSE),0)</f>
        <v>0.42184524936932599</v>
      </c>
      <c r="X386" s="183">
        <f>IFERROR(VLOOKUP(R386,conductor_pz_summary_hftd_23_re!$B$2:$N$3636,13,FALSE),0)</f>
        <v>153</v>
      </c>
      <c r="Y386" s="203" t="e">
        <f t="shared" si="82"/>
        <v>#DIV/0!</v>
      </c>
      <c r="AA386" s="183"/>
      <c r="AB386" s="183" t="s">
        <v>5298</v>
      </c>
      <c r="AC386" s="182" t="s">
        <v>5434</v>
      </c>
      <c r="AD386" s="182" t="s">
        <v>5431</v>
      </c>
      <c r="AE386" s="182" t="s">
        <v>5210</v>
      </c>
      <c r="AF386" s="182" t="s">
        <v>4875</v>
      </c>
      <c r="AG386" s="183">
        <v>5794555</v>
      </c>
      <c r="AH386" s="183" t="s">
        <v>6553</v>
      </c>
      <c r="AI386" s="183">
        <v>120564154</v>
      </c>
      <c r="AJ386" s="183">
        <v>35234400</v>
      </c>
      <c r="AK386" s="183" t="s">
        <v>6557</v>
      </c>
      <c r="AL386" s="205"/>
      <c r="AM386" s="205"/>
      <c r="AN386" s="205"/>
      <c r="AO386" s="205"/>
      <c r="AQ386" s="48" t="s">
        <v>6368</v>
      </c>
      <c r="AR386" s="183"/>
      <c r="AS386" s="183"/>
      <c r="AT386" s="92"/>
      <c r="AY386" s="23"/>
      <c r="AZ386" s="40"/>
      <c r="BA386" s="173"/>
      <c r="BB386" s="188"/>
      <c r="BC386" s="189"/>
      <c r="BD386" s="191"/>
    </row>
    <row r="387" spans="1:72" s="182" customFormat="1" x14ac:dyDescent="0.25">
      <c r="A387" s="218">
        <v>35234401</v>
      </c>
      <c r="B387" s="116" t="s">
        <v>5413</v>
      </c>
      <c r="C387" s="183">
        <v>9</v>
      </c>
      <c r="D387" s="23" t="str" cm="1">
        <f t="array" ref="D387">IFERROR(_xlfn.IFS(U387&lt;727,"MEET", AB387="FRRB","MEET", AB387="PSPS","MEET"),"No")</f>
        <v>MEET</v>
      </c>
      <c r="E387" s="23" t="str" cm="1">
        <f t="array" ref="E387">IFERROR(_xlfn.IFS(AM387&gt;0,"MEET", AN387&gt;0,"MEET"),"No")</f>
        <v>No</v>
      </c>
      <c r="F387" s="100">
        <v>2021328</v>
      </c>
      <c r="G387" s="188"/>
      <c r="H387" s="37"/>
      <c r="I387" s="23"/>
      <c r="J387" s="183">
        <v>2021</v>
      </c>
      <c r="M387" s="37">
        <f t="shared" si="80"/>
        <v>0</v>
      </c>
      <c r="N387" s="21">
        <v>3219.64</v>
      </c>
      <c r="O387" s="183" t="s">
        <v>4878</v>
      </c>
      <c r="P387" s="182">
        <v>103521103</v>
      </c>
      <c r="Q387" s="182" t="s">
        <v>2975</v>
      </c>
      <c r="R387" s="183" t="s">
        <v>2977</v>
      </c>
      <c r="S387" s="38">
        <f>IFERROR(VLOOKUP(R387,[47]conductor_pz_summary_hftd_23_re!$B$2:$Q$3636,8,FALSE),0)</f>
        <v>641</v>
      </c>
      <c r="T387" s="201">
        <f>IFERROR(VLOOKUP(R387,[48]conductor_pz_summary_hftd_23_re!$B$2:$H$3636,7,0),0)/1609</f>
        <v>57.142938485843821</v>
      </c>
      <c r="U387" s="23">
        <f>IFERROR(VLOOKUP(R387,[47]conductor_pz_summary_hftd_23_re!$B$2:$Q$3636,14,FALSE),0)</f>
        <v>49</v>
      </c>
      <c r="V387" s="37">
        <f t="shared" si="81"/>
        <v>270.40280484573793</v>
      </c>
      <c r="W387" s="202">
        <f>IFERROR(VLOOKUP(R387,[47]conductor_pz_summary_hftd_23_re!$B$2:$Q$3636,13,FALSE),0)</f>
        <v>0.42184524936932599</v>
      </c>
      <c r="X387" s="183">
        <f>IFERROR(VLOOKUP(R387,conductor_pz_summary_hftd_23_re!$B$2:$N$3636,13,FALSE),0)</f>
        <v>153</v>
      </c>
      <c r="Y387" s="203" t="e">
        <f t="shared" si="82"/>
        <v>#DIV/0!</v>
      </c>
      <c r="AA387" s="183"/>
      <c r="AB387" s="183" t="s">
        <v>5298</v>
      </c>
      <c r="AC387" s="182" t="s">
        <v>5434</v>
      </c>
      <c r="AD387" s="182" t="s">
        <v>5431</v>
      </c>
      <c r="AE387" s="182" t="s">
        <v>5210</v>
      </c>
      <c r="AF387" s="182" t="s">
        <v>4875</v>
      </c>
      <c r="AG387" s="183">
        <v>5794555</v>
      </c>
      <c r="AH387" s="183" t="s">
        <v>6554</v>
      </c>
      <c r="AI387" s="183">
        <v>120564155</v>
      </c>
      <c r="AJ387" s="183">
        <v>35234401</v>
      </c>
      <c r="AK387" s="183" t="s">
        <v>6558</v>
      </c>
      <c r="AL387" s="205"/>
      <c r="AM387" s="205"/>
      <c r="AN387" s="205"/>
      <c r="AO387" s="205"/>
      <c r="AQ387" s="48" t="s">
        <v>6368</v>
      </c>
      <c r="AR387" s="183"/>
      <c r="AS387" s="183"/>
      <c r="AT387" s="92"/>
      <c r="AY387" s="23"/>
      <c r="AZ387" s="40"/>
      <c r="BA387" s="173"/>
      <c r="BB387" s="188"/>
      <c r="BC387" s="189"/>
      <c r="BD387" s="191"/>
    </row>
    <row r="388" spans="1:72" s="182" customFormat="1" x14ac:dyDescent="0.25">
      <c r="A388" s="218">
        <v>35219267</v>
      </c>
      <c r="B388" s="116" t="s">
        <v>5413</v>
      </c>
      <c r="C388" s="183">
        <v>9</v>
      </c>
      <c r="D388" s="23" t="str" cm="1">
        <f t="array" ref="D388">IFERROR(_xlfn.IFS(U388&lt;727,"MEET", AB388="FRRB","MEET", AB388="PSPS","MEET"),"No")</f>
        <v>MEET</v>
      </c>
      <c r="E388" s="23" t="str" cm="1">
        <f t="array" ref="E388">IFERROR(_xlfn.IFS(AM388&gt;0,"MEET", AN388&gt;0,"MEET"),"No")</f>
        <v>No</v>
      </c>
      <c r="F388" s="100">
        <v>2021329</v>
      </c>
      <c r="G388" s="188"/>
      <c r="H388" s="37">
        <f>SUM(AL388:AO388)/5280</f>
        <v>4.2699999999999996</v>
      </c>
      <c r="I388" s="37">
        <f t="shared" ref="I388:I401" si="83">H388-M388</f>
        <v>4.2699999999999996</v>
      </c>
      <c r="J388" s="183">
        <v>2021</v>
      </c>
      <c r="M388" s="37">
        <f t="shared" si="80"/>
        <v>0</v>
      </c>
      <c r="N388" s="21">
        <v>7536.52</v>
      </c>
      <c r="O388" s="183" t="s">
        <v>4878</v>
      </c>
      <c r="P388" s="182">
        <v>254452102</v>
      </c>
      <c r="Q388" s="182" t="s">
        <v>2319</v>
      </c>
      <c r="R388" s="183" t="s">
        <v>2324</v>
      </c>
      <c r="S388" s="38">
        <f>IFERROR(VLOOKUP(R388,[47]conductor_pz_summary_hftd_23_re!$B$2:$Q$3636,8,FALSE),0)</f>
        <v>38</v>
      </c>
      <c r="T388" s="201">
        <f>IFERROR(VLOOKUP(R388,[48]conductor_pz_summary_hftd_23_re!$B$2:$H$3636,7,0),0)/1609</f>
        <v>4.2727186258042078</v>
      </c>
      <c r="U388" s="23">
        <f>IFERROR(VLOOKUP(R388,[47]conductor_pz_summary_hftd_23_re!$B$2:$Q$3636,14,FALSE),0)</f>
        <v>50</v>
      </c>
      <c r="V388" s="37">
        <f t="shared" si="81"/>
        <v>15.978970017877412</v>
      </c>
      <c r="W388" s="202">
        <f>IFERROR(VLOOKUP(R388,[47]conductor_pz_summary_hftd_23_re!$B$2:$Q$3636,13,FALSE),0)</f>
        <v>0.42049921099677401</v>
      </c>
      <c r="X388" s="183">
        <f>IFERROR(VLOOKUP(R388,conductor_pz_summary_hftd_23_re!$B$2:$N$3636,13,FALSE),0)</f>
        <v>157</v>
      </c>
      <c r="Y388" s="203">
        <f t="shared" si="82"/>
        <v>9.9006578551299924</v>
      </c>
      <c r="AA388" s="183" t="s">
        <v>5418</v>
      </c>
      <c r="AB388" s="183" t="s">
        <v>5298</v>
      </c>
      <c r="AC388" s="182" t="s">
        <v>5451</v>
      </c>
      <c r="AD388" s="182" t="s">
        <v>5417</v>
      </c>
      <c r="AE388" s="182" t="s">
        <v>4944</v>
      </c>
      <c r="AF388" s="182" t="s">
        <v>4939</v>
      </c>
      <c r="AG388" s="183">
        <v>5794552</v>
      </c>
      <c r="AH388" s="183" t="s">
        <v>5314</v>
      </c>
      <c r="AI388" s="183">
        <v>120142033</v>
      </c>
      <c r="AJ388" s="183">
        <v>35219267</v>
      </c>
      <c r="AK388" s="183" t="s">
        <v>6666</v>
      </c>
      <c r="AL388" s="205">
        <f>4.27*5280</f>
        <v>22545.599999999999</v>
      </c>
      <c r="AM388" s="205">
        <v>0</v>
      </c>
      <c r="AN388" s="205">
        <v>0</v>
      </c>
      <c r="AO388" s="205">
        <v>0</v>
      </c>
      <c r="AP388" s="117"/>
      <c r="AQ388" s="39" t="s">
        <v>6260</v>
      </c>
      <c r="AR388" s="182">
        <f>AS388*5280</f>
        <v>45302.400000000001</v>
      </c>
      <c r="AS388" s="183">
        <v>8.58</v>
      </c>
      <c r="AT388" s="92">
        <v>950000</v>
      </c>
      <c r="AY388" s="23">
        <f>AW388+AX388</f>
        <v>0</v>
      </c>
      <c r="AZ388" s="40">
        <f>AY388/5280</f>
        <v>0</v>
      </c>
      <c r="BA388" s="173"/>
      <c r="BB388" s="188"/>
      <c r="BC388" s="189"/>
      <c r="BD388" s="191">
        <f t="shared" ref="BD388:BD401" si="84">IFERROR(BC388/BB388,0)</f>
        <v>0</v>
      </c>
    </row>
    <row r="389" spans="1:72" s="182" customFormat="1" x14ac:dyDescent="0.25">
      <c r="A389" s="218">
        <v>35219587</v>
      </c>
      <c r="B389" s="116" t="s">
        <v>5413</v>
      </c>
      <c r="C389" s="183">
        <v>9</v>
      </c>
      <c r="D389" s="23" t="str" cm="1">
        <f t="array" ref="D389">IFERROR(_xlfn.IFS(U389&lt;727,"MEET", AB389="FRRB","MEET", AB389="PSPS","MEET"),"No")</f>
        <v>MEET</v>
      </c>
      <c r="E389" s="23" t="str" cm="1">
        <f t="array" ref="E389">IFERROR(_xlfn.IFS(AM389&gt;0,"MEET", AN389&gt;0,"MEET"),"No")</f>
        <v>No</v>
      </c>
      <c r="F389" s="100">
        <v>2021330</v>
      </c>
      <c r="G389" s="188"/>
      <c r="H389" s="37">
        <f>SUM(AL389:AO389)/5280</f>
        <v>2.16</v>
      </c>
      <c r="I389" s="96">
        <f t="shared" si="83"/>
        <v>2.16</v>
      </c>
      <c r="J389" s="183">
        <v>2021</v>
      </c>
      <c r="M389" s="37">
        <f t="shared" si="80"/>
        <v>0</v>
      </c>
      <c r="N389" s="21">
        <v>606.27</v>
      </c>
      <c r="O389" s="183" t="s">
        <v>4878</v>
      </c>
      <c r="P389" s="182">
        <v>254452102</v>
      </c>
      <c r="Q389" s="182" t="s">
        <v>2319</v>
      </c>
      <c r="R389" s="183" t="s">
        <v>2324</v>
      </c>
      <c r="S389" s="38">
        <f>IFERROR(VLOOKUP(R389,[47]conductor_pz_summary_hftd_23_re!$B$2:$Q$3636,8,FALSE),0)</f>
        <v>38</v>
      </c>
      <c r="T389" s="201">
        <f>IFERROR(VLOOKUP(R389,[48]conductor_pz_summary_hftd_23_re!$B$2:$H$3636,7,0),0)/1609</f>
        <v>4.2727186258042078</v>
      </c>
      <c r="U389" s="23">
        <f>IFERROR(VLOOKUP(R389,[47]conductor_pz_summary_hftd_23_re!$B$2:$Q$3636,14,FALSE),0)</f>
        <v>50</v>
      </c>
      <c r="V389" s="37">
        <f t="shared" si="81"/>
        <v>15.978970017877412</v>
      </c>
      <c r="W389" s="202">
        <f>IFERROR(VLOOKUP(R389,[47]conductor_pz_summary_hftd_23_re!$B$2:$Q$3636,13,FALSE),0)</f>
        <v>0.42049921099677401</v>
      </c>
      <c r="X389" s="183">
        <f>IFERROR(VLOOKUP(R389,conductor_pz_summary_hftd_23_re!$B$2:$N$3636,13,FALSE),0)</f>
        <v>157</v>
      </c>
      <c r="Y389" s="203">
        <f t="shared" si="82"/>
        <v>5.0082953084498341</v>
      </c>
      <c r="AA389" s="183"/>
      <c r="AB389" s="183" t="s">
        <v>5298</v>
      </c>
      <c r="AC389" s="182" t="s">
        <v>5451</v>
      </c>
      <c r="AD389" s="182" t="s">
        <v>5417</v>
      </c>
      <c r="AE389" s="182" t="s">
        <v>4944</v>
      </c>
      <c r="AF389" s="182" t="s">
        <v>4939</v>
      </c>
      <c r="AG389" s="183">
        <v>5794552</v>
      </c>
      <c r="AH389" s="183" t="s">
        <v>5424</v>
      </c>
      <c r="AI389" s="183">
        <v>120165147</v>
      </c>
      <c r="AJ389" s="183">
        <v>35219587</v>
      </c>
      <c r="AK389" s="183" t="s">
        <v>6667</v>
      </c>
      <c r="AL389" s="205">
        <f>2.16*5280</f>
        <v>11404.800000000001</v>
      </c>
      <c r="AM389" s="205">
        <v>0</v>
      </c>
      <c r="AN389" s="205">
        <v>0</v>
      </c>
      <c r="AO389" s="205">
        <v>0</v>
      </c>
      <c r="AP389" s="117"/>
      <c r="AQ389" s="39" t="s">
        <v>6260</v>
      </c>
      <c r="AT389" s="92"/>
      <c r="AY389" s="23"/>
      <c r="AZ389" s="40"/>
      <c r="BA389" s="173"/>
      <c r="BB389" s="188"/>
      <c r="BC389" s="189"/>
      <c r="BD389" s="191">
        <f t="shared" si="84"/>
        <v>0</v>
      </c>
    </row>
    <row r="390" spans="1:72" x14ac:dyDescent="0.25">
      <c r="A390" s="218">
        <v>35219588</v>
      </c>
      <c r="B390" s="116" t="s">
        <v>5413</v>
      </c>
      <c r="C390" s="183">
        <v>9</v>
      </c>
      <c r="D390" s="23" t="str" cm="1">
        <f t="array" ref="D390">IFERROR(_xlfn.IFS(U390&lt;727,"MEET", AB390="FRRB","MEET", AB390="PSPS","MEET"),"No")</f>
        <v>MEET</v>
      </c>
      <c r="E390" s="23" t="str" cm="1">
        <f t="array" ref="E390">IFERROR(_xlfn.IFS(AM390&gt;0,"MEET", AN390&gt;0,"MEET"),"No")</f>
        <v>No</v>
      </c>
      <c r="F390" s="100">
        <v>2021331</v>
      </c>
      <c r="H390" s="37">
        <f>SUM(AL390:AO390)/5280</f>
        <v>2.16</v>
      </c>
      <c r="I390" s="96">
        <f t="shared" si="83"/>
        <v>2.16</v>
      </c>
      <c r="J390" s="183">
        <v>2021</v>
      </c>
      <c r="K390" s="182"/>
      <c r="L390" s="182"/>
      <c r="M390" s="37">
        <f t="shared" si="80"/>
        <v>0</v>
      </c>
      <c r="N390" s="21">
        <v>305.76</v>
      </c>
      <c r="O390" s="183" t="s">
        <v>4878</v>
      </c>
      <c r="P390" s="182">
        <v>254452102</v>
      </c>
      <c r="Q390" s="182" t="s">
        <v>2319</v>
      </c>
      <c r="R390" s="183" t="s">
        <v>2324</v>
      </c>
      <c r="S390" s="38">
        <f>IFERROR(VLOOKUP(R390,[47]conductor_pz_summary_hftd_23_re!$B$2:$Q$3636,8,FALSE),0)</f>
        <v>38</v>
      </c>
      <c r="T390" s="201">
        <f>IFERROR(VLOOKUP(R390,[48]conductor_pz_summary_hftd_23_re!$B$2:$H$3636,7,0),0)/1609</f>
        <v>4.2727186258042078</v>
      </c>
      <c r="U390" s="23">
        <f>IFERROR(VLOOKUP(R390,[47]conductor_pz_summary_hftd_23_re!$B$2:$Q$3636,14,FALSE),0)</f>
        <v>50</v>
      </c>
      <c r="V390" s="37">
        <f t="shared" si="81"/>
        <v>15.978970017877412</v>
      </c>
      <c r="W390" s="202">
        <f>IFERROR(VLOOKUP(R390,[47]conductor_pz_summary_hftd_23_re!$B$2:$Q$3636,13,FALSE),0)</f>
        <v>0.42049921099677401</v>
      </c>
      <c r="X390" s="73">
        <f>IFERROR(VLOOKUP(R390,conductor_pz_summary_hftd_23_re!$B$2:$N$3636,13,FALSE),0)</f>
        <v>157</v>
      </c>
      <c r="Y390" s="203">
        <f t="shared" si="82"/>
        <v>5.0082953084498341</v>
      </c>
      <c r="Z390" s="182"/>
      <c r="AA390" s="183"/>
      <c r="AB390" s="183" t="s">
        <v>5298</v>
      </c>
      <c r="AC390" s="182" t="s">
        <v>5451</v>
      </c>
      <c r="AD390" s="182" t="s">
        <v>5417</v>
      </c>
      <c r="AE390" s="182" t="s">
        <v>4944</v>
      </c>
      <c r="AF390" s="182" t="s">
        <v>4939</v>
      </c>
      <c r="AG390" s="183">
        <v>5794552</v>
      </c>
      <c r="AH390" s="183" t="s">
        <v>5425</v>
      </c>
      <c r="AI390" s="183">
        <v>120165148</v>
      </c>
      <c r="AJ390" s="183">
        <v>35219588</v>
      </c>
      <c r="AK390" s="183" t="s">
        <v>6668</v>
      </c>
      <c r="AL390" s="205">
        <f>2.16*5280</f>
        <v>11404.800000000001</v>
      </c>
      <c r="AM390" s="205">
        <v>0</v>
      </c>
      <c r="AN390" s="205">
        <v>0</v>
      </c>
      <c r="AO390" s="205">
        <v>0</v>
      </c>
      <c r="AP390" s="117"/>
      <c r="AQ390" s="39" t="s">
        <v>6260</v>
      </c>
      <c r="AR390" s="182"/>
      <c r="AS390" s="182"/>
      <c r="AT390" s="92"/>
      <c r="AU390" s="182"/>
      <c r="AV390" s="182"/>
      <c r="AW390" s="182"/>
      <c r="AX390" s="182"/>
      <c r="AY390" s="23"/>
      <c r="AZ390" s="182"/>
      <c r="BD390" s="191">
        <f t="shared" si="84"/>
        <v>0</v>
      </c>
      <c r="BE390" s="182"/>
      <c r="BF390" s="182"/>
      <c r="BG390" s="182"/>
      <c r="BH390" s="182"/>
      <c r="BI390" s="182"/>
      <c r="BJ390" s="182"/>
      <c r="BK390" s="182"/>
      <c r="BL390" s="182"/>
      <c r="BM390" s="182"/>
      <c r="BN390" s="182"/>
      <c r="BO390" s="182"/>
      <c r="BP390" s="182"/>
      <c r="BQ390" s="182"/>
      <c r="BR390" s="182"/>
      <c r="BS390" s="182"/>
      <c r="BT390" s="182"/>
    </row>
    <row r="391" spans="1:72" s="182" customFormat="1" x14ac:dyDescent="0.25">
      <c r="A391" s="218">
        <v>35219589</v>
      </c>
      <c r="B391" s="116" t="s">
        <v>5413</v>
      </c>
      <c r="C391" s="183">
        <v>13</v>
      </c>
      <c r="D391" s="23" t="str" cm="1">
        <f t="array" ref="D391">IFERROR(_xlfn.IFS(U391&lt;727,"MEET", AB391="FRRB","MEET", AB391="PSPS","MEET"),"No")</f>
        <v>MEET</v>
      </c>
      <c r="E391" s="23" t="str" cm="1">
        <f t="array" ref="E391">IFERROR(_xlfn.IFS(AM391&gt;0,"MEET", AN391&gt;0,"MEET"),"No")</f>
        <v>No</v>
      </c>
      <c r="F391" s="100">
        <v>2021332</v>
      </c>
      <c r="G391" s="188"/>
      <c r="H391" s="37">
        <v>3.03</v>
      </c>
      <c r="I391" s="96">
        <f t="shared" si="83"/>
        <v>3.03</v>
      </c>
      <c r="J391" s="183">
        <v>2021</v>
      </c>
      <c r="M391" s="37">
        <f t="shared" si="80"/>
        <v>0</v>
      </c>
      <c r="N391" s="21">
        <v>10742.17</v>
      </c>
      <c r="O391" s="183" t="s">
        <v>4878</v>
      </c>
      <c r="P391" s="182">
        <v>103611101</v>
      </c>
      <c r="Q391" s="182" t="s">
        <v>4644</v>
      </c>
      <c r="R391" s="183" t="s">
        <v>4643</v>
      </c>
      <c r="S391" s="38">
        <f>IFERROR(VLOOKUP(R391,[47]conductor_pz_summary_hftd_23_re!$B$2:$Q$3636,8,FALSE),0)</f>
        <v>31</v>
      </c>
      <c r="T391" s="201">
        <f>IFERROR(VLOOKUP(R391,[48]conductor_pz_summary_hftd_23_re!$B$2:$H$3636,7,0),0)/1609</f>
        <v>7.8322668071100061</v>
      </c>
      <c r="U391" s="23">
        <f>IFERROR(VLOOKUP(R391,[47]conductor_pz_summary_hftd_23_re!$B$2:$Q$3636,14,FALSE),0)</f>
        <v>52</v>
      </c>
      <c r="V391" s="37">
        <f t="shared" si="81"/>
        <v>12.983672756054411</v>
      </c>
      <c r="W391" s="202">
        <f>IFERROR(VLOOKUP(R391,[47]conductor_pz_summary_hftd_23_re!$B$2:$Q$3636,13,FALSE),0)</f>
        <v>0.41882815342111002</v>
      </c>
      <c r="X391" s="183">
        <f>IFERROR(VLOOKUP(R391,conductor_pz_summary_hftd_23_re!$B$2:$N$3636,13,FALSE),0)</f>
        <v>68</v>
      </c>
      <c r="Y391" s="203">
        <f t="shared" si="82"/>
        <v>3.1141849786554694</v>
      </c>
      <c r="AA391" s="183" t="s">
        <v>4903</v>
      </c>
      <c r="AB391" s="183" t="s">
        <v>5298</v>
      </c>
      <c r="AC391" s="182" t="s">
        <v>5474</v>
      </c>
      <c r="AD391" s="182" t="s">
        <v>5431</v>
      </c>
      <c r="AE391" s="182" t="s">
        <v>5210</v>
      </c>
      <c r="AF391" s="182" t="s">
        <v>4875</v>
      </c>
      <c r="AG391" s="183">
        <v>5794561</v>
      </c>
      <c r="AH391" s="183" t="s">
        <v>5426</v>
      </c>
      <c r="AI391" s="183">
        <v>120165231</v>
      </c>
      <c r="AJ391" s="183">
        <v>35219589</v>
      </c>
      <c r="AK391" s="183" t="s">
        <v>5420</v>
      </c>
      <c r="AL391" s="205">
        <f>2.81*5280</f>
        <v>14836.800000000001</v>
      </c>
      <c r="AM391" s="205">
        <v>0</v>
      </c>
      <c r="AN391" s="205">
        <v>0</v>
      </c>
      <c r="AO391" s="205">
        <v>0</v>
      </c>
      <c r="AP391" s="117"/>
      <c r="AQ391" s="39" t="s">
        <v>5604</v>
      </c>
      <c r="AR391" s="183">
        <f>AS391*5280</f>
        <v>15048</v>
      </c>
      <c r="AS391" s="183">
        <v>2.85</v>
      </c>
      <c r="AT391" s="92">
        <v>2940110</v>
      </c>
      <c r="AU391" s="39" t="s">
        <v>6339</v>
      </c>
      <c r="AX391" s="182">
        <v>14837</v>
      </c>
      <c r="AY391" s="23">
        <f>AW391+AX391</f>
        <v>14837</v>
      </c>
      <c r="AZ391" s="23">
        <f>AY391/5280</f>
        <v>2.8100378787878788</v>
      </c>
      <c r="BA391" s="173"/>
      <c r="BB391" s="188"/>
      <c r="BC391" s="189"/>
      <c r="BD391" s="191">
        <f t="shared" si="84"/>
        <v>0</v>
      </c>
    </row>
    <row r="392" spans="1:72" s="182" customFormat="1" x14ac:dyDescent="0.25">
      <c r="A392" s="218">
        <v>35224321</v>
      </c>
      <c r="B392" s="116" t="s">
        <v>5413</v>
      </c>
      <c r="C392" s="183">
        <v>13</v>
      </c>
      <c r="D392" s="23" t="str" cm="1">
        <f t="array" ref="D392">IFERROR(_xlfn.IFS(U392&lt;727,"MEET", AB392="FRRB","MEET", AB392="PSPS","MEET"),"No")</f>
        <v>MEET</v>
      </c>
      <c r="E392" s="23" t="str" cm="1">
        <f t="array" ref="E392">IFERROR(_xlfn.IFS(AM392&gt;0,"MEET", AN392&gt;0,"MEET"),"No")</f>
        <v>No</v>
      </c>
      <c r="F392" s="100">
        <v>2021333</v>
      </c>
      <c r="G392" s="96"/>
      <c r="H392" s="37">
        <f t="shared" ref="H392:H401" si="85">SUM(AL392:AO392)/5280</f>
        <v>2.46</v>
      </c>
      <c r="I392" s="96">
        <f t="shared" si="83"/>
        <v>2.46</v>
      </c>
      <c r="J392" s="183">
        <v>2021</v>
      </c>
      <c r="M392" s="37">
        <f t="shared" si="80"/>
        <v>0</v>
      </c>
      <c r="N392" s="21">
        <v>4955.21</v>
      </c>
      <c r="O392" s="183" t="s">
        <v>4878</v>
      </c>
      <c r="P392" s="182">
        <v>103611101</v>
      </c>
      <c r="Q392" s="182" t="s">
        <v>4644</v>
      </c>
      <c r="R392" s="183" t="s">
        <v>4643</v>
      </c>
      <c r="S392" s="38">
        <f>IFERROR(VLOOKUP(R392,[47]conductor_pz_summary_hftd_23_re!$B$2:$Q$3636,8,FALSE),0)</f>
        <v>31</v>
      </c>
      <c r="T392" s="201">
        <f>IFERROR(VLOOKUP(R392,[48]conductor_pz_summary_hftd_23_re!$B$2:$H$3636,7,0),0)/1609</f>
        <v>7.8322668071100061</v>
      </c>
      <c r="U392" s="23">
        <f>IFERROR(VLOOKUP(R392,[47]conductor_pz_summary_hftd_23_re!$B$2:$Q$3636,14,FALSE),0)</f>
        <v>52</v>
      </c>
      <c r="V392" s="37">
        <f t="shared" si="81"/>
        <v>12.983672756054411</v>
      </c>
      <c r="W392" s="202">
        <f>IFERROR(VLOOKUP(R392,[47]conductor_pz_summary_hftd_23_re!$B$2:$Q$3636,13,FALSE),0)</f>
        <v>0.41882815342111002</v>
      </c>
      <c r="X392" s="183">
        <f>IFERROR(VLOOKUP(R392,conductor_pz_summary_hftd_23_re!$B$2:$N$3636,13,FALSE),0)</f>
        <v>68</v>
      </c>
      <c r="Y392" s="203">
        <f t="shared" si="82"/>
        <v>2.5283482004925597</v>
      </c>
      <c r="AA392" s="183" t="s">
        <v>4903</v>
      </c>
      <c r="AB392" s="183" t="s">
        <v>5298</v>
      </c>
      <c r="AC392" s="182" t="s">
        <v>5474</v>
      </c>
      <c r="AD392" s="182" t="s">
        <v>5465</v>
      </c>
      <c r="AE392" s="182" t="s">
        <v>5210</v>
      </c>
      <c r="AF392" s="182" t="s">
        <v>4875</v>
      </c>
      <c r="AG392" s="183">
        <v>5795128</v>
      </c>
      <c r="AH392" s="183" t="s">
        <v>5594</v>
      </c>
      <c r="AI392" s="183">
        <v>120401277</v>
      </c>
      <c r="AJ392" s="183">
        <v>35224321</v>
      </c>
      <c r="AK392" s="183" t="s">
        <v>6359</v>
      </c>
      <c r="AL392" s="205">
        <f>2.46*5280</f>
        <v>12988.8</v>
      </c>
      <c r="AM392" s="205">
        <v>0</v>
      </c>
      <c r="AN392" s="205">
        <v>0</v>
      </c>
      <c r="AO392" s="205">
        <v>0</v>
      </c>
      <c r="AP392" s="117"/>
      <c r="AQ392" s="39" t="s">
        <v>5605</v>
      </c>
      <c r="AR392" s="183">
        <f>AS392*5280</f>
        <v>26664</v>
      </c>
      <c r="AS392" s="183">
        <v>5.05</v>
      </c>
      <c r="AT392" s="92">
        <v>7710294</v>
      </c>
      <c r="AU392" s="39" t="s">
        <v>6334</v>
      </c>
      <c r="AX392" s="182">
        <v>12989</v>
      </c>
      <c r="AY392" s="23">
        <f>AW392+AX392</f>
        <v>12989</v>
      </c>
      <c r="AZ392" s="23">
        <f>AY392/5280</f>
        <v>2.4600378787878787</v>
      </c>
      <c r="BA392" s="173"/>
      <c r="BB392" s="188"/>
      <c r="BC392" s="189"/>
      <c r="BD392" s="191">
        <f t="shared" si="84"/>
        <v>0</v>
      </c>
    </row>
    <row r="393" spans="1:72" s="182" customFormat="1" x14ac:dyDescent="0.25">
      <c r="A393" s="218">
        <v>35226798</v>
      </c>
      <c r="B393" s="116" t="s">
        <v>5413</v>
      </c>
      <c r="C393" s="183">
        <v>13</v>
      </c>
      <c r="D393" s="23" t="str" cm="1">
        <f t="array" ref="D393">IFERROR(_xlfn.IFS(U393&lt;727,"MEET", AB393="FRRB","MEET", AB393="PSPS","MEET"),"No")</f>
        <v>MEET</v>
      </c>
      <c r="E393" s="23" t="str" cm="1">
        <f t="array" ref="E393">IFERROR(_xlfn.IFS(AM393&gt;0,"MEET", AN393&gt;0,"MEET"),"No")</f>
        <v>No</v>
      </c>
      <c r="F393" s="100">
        <v>2021334</v>
      </c>
      <c r="G393" s="96"/>
      <c r="H393" s="37">
        <f t="shared" si="85"/>
        <v>1.72</v>
      </c>
      <c r="I393" s="96">
        <f t="shared" si="83"/>
        <v>1.72</v>
      </c>
      <c r="J393" s="183">
        <v>2021</v>
      </c>
      <c r="M393" s="37">
        <f t="shared" si="80"/>
        <v>0</v>
      </c>
      <c r="N393" s="21">
        <v>217.2</v>
      </c>
      <c r="O393" s="183" t="s">
        <v>4878</v>
      </c>
      <c r="P393" s="182">
        <v>103611101</v>
      </c>
      <c r="Q393" s="182" t="s">
        <v>4644</v>
      </c>
      <c r="R393" s="183" t="s">
        <v>4643</v>
      </c>
      <c r="S393" s="38">
        <f>IFERROR(VLOOKUP(R393,[47]conductor_pz_summary_hftd_23_re!$B$2:$Q$3636,8,FALSE),0)</f>
        <v>31</v>
      </c>
      <c r="T393" s="201">
        <f>IFERROR(VLOOKUP(R393,[48]conductor_pz_summary_hftd_23_re!$B$2:$H$3636,7,0),0)/1609</f>
        <v>7.8322668071100061</v>
      </c>
      <c r="U393" s="23">
        <f>IFERROR(VLOOKUP(R393,[47]conductor_pz_summary_hftd_23_re!$B$2:$Q$3636,14,FALSE),0)</f>
        <v>52</v>
      </c>
      <c r="V393" s="37">
        <f t="shared" si="81"/>
        <v>12.983672756054411</v>
      </c>
      <c r="W393" s="202">
        <f>IFERROR(VLOOKUP(R393,[47]conductor_pz_summary_hftd_23_re!$B$2:$Q$3636,13,FALSE),0)</f>
        <v>0.41882815342111002</v>
      </c>
      <c r="X393" s="183">
        <f>IFERROR(VLOOKUP(R393,conductor_pz_summary_hftd_23_re!$B$2:$N$3636,13,FALSE),0)</f>
        <v>68</v>
      </c>
      <c r="Y393" s="203">
        <f t="shared" si="82"/>
        <v>1.7677881727021147</v>
      </c>
      <c r="AA393" s="183" t="s">
        <v>4903</v>
      </c>
      <c r="AB393" s="183" t="s">
        <v>5298</v>
      </c>
      <c r="AC393" s="182" t="s">
        <v>5474</v>
      </c>
      <c r="AD393" s="182" t="s">
        <v>5465</v>
      </c>
      <c r="AE393" s="182" t="s">
        <v>5210</v>
      </c>
      <c r="AF393" s="182" t="s">
        <v>4875</v>
      </c>
      <c r="AG393" s="183">
        <v>5795128</v>
      </c>
      <c r="AH393" s="183" t="s">
        <v>6122</v>
      </c>
      <c r="AI393" s="183">
        <v>120450942</v>
      </c>
      <c r="AJ393" s="183">
        <v>35226798</v>
      </c>
      <c r="AK393" s="183" t="s">
        <v>6360</v>
      </c>
      <c r="AL393" s="205">
        <f>1.72*5280</f>
        <v>9081.6</v>
      </c>
      <c r="AM393" s="205">
        <v>0</v>
      </c>
      <c r="AN393" s="205">
        <v>0</v>
      </c>
      <c r="AO393" s="205">
        <v>0</v>
      </c>
      <c r="AP393" s="117"/>
      <c r="AQ393" s="39" t="s">
        <v>5605</v>
      </c>
      <c r="AR393" s="183"/>
      <c r="AS393" s="183"/>
      <c r="AT393" s="92"/>
      <c r="AU393" s="39" t="s">
        <v>6334</v>
      </c>
      <c r="AX393" s="182">
        <v>9082</v>
      </c>
      <c r="AY393" s="23">
        <f>AW393+AX393</f>
        <v>9082</v>
      </c>
      <c r="AZ393" s="23">
        <f>AY393/5280</f>
        <v>1.7200757575757575</v>
      </c>
      <c r="BA393" s="173"/>
      <c r="BB393" s="188"/>
      <c r="BC393" s="189"/>
      <c r="BD393" s="191">
        <f t="shared" si="84"/>
        <v>0</v>
      </c>
    </row>
    <row r="394" spans="1:72" s="182" customFormat="1" x14ac:dyDescent="0.25">
      <c r="A394" s="218">
        <v>35226799</v>
      </c>
      <c r="B394" s="116" t="s">
        <v>5413</v>
      </c>
      <c r="C394" s="183">
        <v>13</v>
      </c>
      <c r="D394" s="23" t="str" cm="1">
        <f t="array" ref="D394">IFERROR(_xlfn.IFS(U394&lt;727,"MEET", AB394="FRRB","MEET", AB394="PSPS","MEET"),"No")</f>
        <v>MEET</v>
      </c>
      <c r="E394" s="23" t="str" cm="1">
        <f t="array" ref="E394">IFERROR(_xlfn.IFS(AM394&gt;0,"MEET", AN394&gt;0,"MEET"),"No")</f>
        <v>No</v>
      </c>
      <c r="F394" s="100">
        <v>2021335</v>
      </c>
      <c r="G394" s="96"/>
      <c r="H394" s="37">
        <f t="shared" si="85"/>
        <v>0.19</v>
      </c>
      <c r="I394" s="96">
        <f t="shared" si="83"/>
        <v>0.19</v>
      </c>
      <c r="J394" s="183">
        <v>2021</v>
      </c>
      <c r="M394" s="37">
        <f t="shared" ref="M394:M401" si="86">SUM(K394:L394)</f>
        <v>0</v>
      </c>
      <c r="N394" s="21">
        <v>0</v>
      </c>
      <c r="O394" s="183" t="s">
        <v>4878</v>
      </c>
      <c r="P394" s="182">
        <v>103611101</v>
      </c>
      <c r="Q394" s="182" t="s">
        <v>4644</v>
      </c>
      <c r="R394" s="183" t="s">
        <v>4643</v>
      </c>
      <c r="S394" s="38">
        <f>IFERROR(VLOOKUP(R394,[47]conductor_pz_summary_hftd_23_re!$B$2:$Q$3636,8,FALSE),0)</f>
        <v>31</v>
      </c>
      <c r="T394" s="201">
        <f>IFERROR(VLOOKUP(R394,[48]conductor_pz_summary_hftd_23_re!$B$2:$H$3636,7,0),0)/1609</f>
        <v>7.8322668071100061</v>
      </c>
      <c r="U394" s="23">
        <f>IFERROR(VLOOKUP(R394,[47]conductor_pz_summary_hftd_23_re!$B$2:$Q$3636,14,FALSE),0)</f>
        <v>52</v>
      </c>
      <c r="V394" s="37">
        <f t="shared" si="81"/>
        <v>12.983672756054411</v>
      </c>
      <c r="W394" s="202">
        <f>IFERROR(VLOOKUP(R394,[47]conductor_pz_summary_hftd_23_re!$B$2:$Q$3636,13,FALSE),0)</f>
        <v>0.41882815342111002</v>
      </c>
      <c r="X394" s="183">
        <f>IFERROR(VLOOKUP(R394,conductor_pz_summary_hftd_23_re!$B$2:$N$3636,13,FALSE),0)</f>
        <v>68</v>
      </c>
      <c r="Y394" s="203">
        <f t="shared" si="82"/>
        <v>0.19527892605430339</v>
      </c>
      <c r="AA394" s="183" t="s">
        <v>4903</v>
      </c>
      <c r="AB394" s="183" t="s">
        <v>5298</v>
      </c>
      <c r="AC394" s="182" t="s">
        <v>5474</v>
      </c>
      <c r="AD394" s="182" t="s">
        <v>5465</v>
      </c>
      <c r="AE394" s="182" t="s">
        <v>5210</v>
      </c>
      <c r="AF394" s="182" t="s">
        <v>4875</v>
      </c>
      <c r="AG394" s="183">
        <v>5795128</v>
      </c>
      <c r="AH394" s="183" t="s">
        <v>6123</v>
      </c>
      <c r="AI394" s="183">
        <v>120450944</v>
      </c>
      <c r="AJ394" s="183">
        <v>35226799</v>
      </c>
      <c r="AK394" s="183" t="s">
        <v>6361</v>
      </c>
      <c r="AL394" s="205">
        <f>0.19*5280</f>
        <v>1003.2</v>
      </c>
      <c r="AM394" s="205">
        <v>0</v>
      </c>
      <c r="AN394" s="205">
        <v>0</v>
      </c>
      <c r="AO394" s="205">
        <v>0</v>
      </c>
      <c r="AP394" s="117"/>
      <c r="AQ394" s="39" t="s">
        <v>5605</v>
      </c>
      <c r="AR394" s="183"/>
      <c r="AS394" s="183"/>
      <c r="AT394" s="92"/>
      <c r="AU394" s="39" t="s">
        <v>6334</v>
      </c>
      <c r="AX394" s="182">
        <v>1003</v>
      </c>
      <c r="AY394" s="23">
        <f>AW394+AX394</f>
        <v>1003</v>
      </c>
      <c r="AZ394" s="23">
        <f>AY394/5280</f>
        <v>0.18996212121212122</v>
      </c>
      <c r="BA394" s="173"/>
      <c r="BB394" s="188"/>
      <c r="BC394" s="189"/>
      <c r="BD394" s="191">
        <f t="shared" si="84"/>
        <v>0</v>
      </c>
    </row>
    <row r="395" spans="1:72" x14ac:dyDescent="0.25">
      <c r="A395" s="218">
        <v>35226900</v>
      </c>
      <c r="B395" s="116" t="s">
        <v>5413</v>
      </c>
      <c r="C395" s="183">
        <v>13</v>
      </c>
      <c r="D395" s="23" t="str" cm="1">
        <f t="array" ref="D395">IFERROR(_xlfn.IFS(U395&lt;727,"MEET", AB395="FRRB","MEET", AB395="PSPS","MEET"),"No")</f>
        <v>MEET</v>
      </c>
      <c r="E395" s="23" t="str" cm="1">
        <f t="array" ref="E395">IFERROR(_xlfn.IFS(AM395&gt;0,"MEET", AN395&gt;0,"MEET"),"No")</f>
        <v>No</v>
      </c>
      <c r="F395" s="100">
        <v>2021336</v>
      </c>
      <c r="G395" s="96"/>
      <c r="H395" s="37">
        <f t="shared" si="85"/>
        <v>0.69</v>
      </c>
      <c r="I395" s="96">
        <f t="shared" si="83"/>
        <v>0.69</v>
      </c>
      <c r="J395" s="183">
        <v>2021</v>
      </c>
      <c r="K395" s="182"/>
      <c r="L395" s="182"/>
      <c r="M395" s="37">
        <f t="shared" si="86"/>
        <v>0</v>
      </c>
      <c r="N395" s="21">
        <v>0</v>
      </c>
      <c r="O395" s="183" t="s">
        <v>4878</v>
      </c>
      <c r="P395" s="182">
        <v>103611101</v>
      </c>
      <c r="Q395" s="182" t="s">
        <v>4644</v>
      </c>
      <c r="R395" s="183" t="s">
        <v>4643</v>
      </c>
      <c r="S395" s="38">
        <f>IFERROR(VLOOKUP(R395,[47]conductor_pz_summary_hftd_23_re!$B$2:$Q$3636,8,FALSE),0)</f>
        <v>31</v>
      </c>
      <c r="T395" s="201">
        <f>IFERROR(VLOOKUP(R395,[48]conductor_pz_summary_hftd_23_re!$B$2:$H$3636,7,0),0)/1609</f>
        <v>7.8322668071100061</v>
      </c>
      <c r="U395" s="23">
        <f>IFERROR(VLOOKUP(R395,[47]conductor_pz_summary_hftd_23_re!$B$2:$Q$3636,14,FALSE),0)</f>
        <v>52</v>
      </c>
      <c r="V395" s="37">
        <f t="shared" si="81"/>
        <v>12.983672756054411</v>
      </c>
      <c r="W395" s="202">
        <f>IFERROR(VLOOKUP(R395,[47]conductor_pz_summary_hftd_23_re!$B$2:$Q$3636,13,FALSE),0)</f>
        <v>0.41882815342111002</v>
      </c>
      <c r="X395" s="73">
        <f>IFERROR(VLOOKUP(R395,conductor_pz_summary_hftd_23_re!$B$2:$N$3636,13,FALSE),0)</f>
        <v>68</v>
      </c>
      <c r="Y395" s="203">
        <f t="shared" si="82"/>
        <v>0.70917083672352255</v>
      </c>
      <c r="Z395" s="182"/>
      <c r="AA395" s="183" t="s">
        <v>4903</v>
      </c>
      <c r="AB395" s="183" t="s">
        <v>5298</v>
      </c>
      <c r="AC395" s="182" t="s">
        <v>5474</v>
      </c>
      <c r="AD395" s="182" t="s">
        <v>5465</v>
      </c>
      <c r="AE395" s="182" t="s">
        <v>5210</v>
      </c>
      <c r="AF395" s="182" t="s">
        <v>4875</v>
      </c>
      <c r="AG395" s="183">
        <v>5795128</v>
      </c>
      <c r="AH395" s="183" t="s">
        <v>6124</v>
      </c>
      <c r="AI395" s="183">
        <v>120450946</v>
      </c>
      <c r="AJ395" s="183">
        <v>35226900</v>
      </c>
      <c r="AK395" s="183" t="s">
        <v>6362</v>
      </c>
      <c r="AL395" s="205">
        <f>0.69*5280</f>
        <v>3643.2</v>
      </c>
      <c r="AM395" s="205">
        <v>0</v>
      </c>
      <c r="AN395" s="205">
        <v>0</v>
      </c>
      <c r="AO395" s="205">
        <v>0</v>
      </c>
      <c r="AP395" s="117"/>
      <c r="AQ395" s="39" t="s">
        <v>5605</v>
      </c>
      <c r="AR395" s="183"/>
      <c r="AS395" s="183"/>
      <c r="AT395" s="92"/>
      <c r="AU395" s="39" t="s">
        <v>6334</v>
      </c>
      <c r="AV395" s="182"/>
      <c r="AW395" s="182"/>
      <c r="AX395" s="182">
        <v>3643</v>
      </c>
      <c r="AY395" s="23">
        <f>AW395+AX395</f>
        <v>3643</v>
      </c>
      <c r="AZ395" s="23">
        <f>AY395/5280</f>
        <v>0.68996212121212119</v>
      </c>
      <c r="BD395" s="191">
        <f t="shared" si="84"/>
        <v>0</v>
      </c>
      <c r="BE395" s="182"/>
      <c r="BF395" s="182"/>
      <c r="BG395" s="182"/>
      <c r="BH395" s="182"/>
      <c r="BI395" s="182"/>
      <c r="BJ395" s="182"/>
      <c r="BK395" s="182"/>
      <c r="BL395" s="182"/>
      <c r="BM395" s="182"/>
      <c r="BN395" s="182"/>
      <c r="BO395" s="182"/>
      <c r="BP395" s="182"/>
      <c r="BQ395" s="182"/>
      <c r="BR395" s="182"/>
      <c r="BS395" s="182"/>
      <c r="BT395" s="182"/>
    </row>
    <row r="396" spans="1:72" x14ac:dyDescent="0.25">
      <c r="A396" s="218">
        <v>35219590</v>
      </c>
      <c r="B396" s="116" t="s">
        <v>5413</v>
      </c>
      <c r="C396" s="183">
        <v>9</v>
      </c>
      <c r="D396" s="23" t="str" cm="1">
        <f t="array" ref="D396">IFERROR(_xlfn.IFS(U396&lt;727,"MEET", AB396="FRRB","MEET", AB396="PSPS","MEET"),"No")</f>
        <v>MEET</v>
      </c>
      <c r="E396" s="23" t="str" cm="1">
        <f t="array" ref="E396">IFERROR(_xlfn.IFS(AM396&gt;0,"MEET", AN396&gt;0,"MEET"),"No")</f>
        <v>No</v>
      </c>
      <c r="F396" s="100">
        <v>2021337</v>
      </c>
      <c r="H396" s="37">
        <f t="shared" si="85"/>
        <v>0.75</v>
      </c>
      <c r="I396" s="96">
        <f t="shared" si="83"/>
        <v>0.75</v>
      </c>
      <c r="J396" s="183">
        <v>2021</v>
      </c>
      <c r="K396" s="182"/>
      <c r="L396" s="182"/>
      <c r="M396" s="37">
        <f t="shared" si="86"/>
        <v>0</v>
      </c>
      <c r="N396" s="21">
        <v>385.66</v>
      </c>
      <c r="O396" s="183" t="s">
        <v>4878</v>
      </c>
      <c r="P396" s="182">
        <v>63591105</v>
      </c>
      <c r="Q396" s="182" t="s">
        <v>4461</v>
      </c>
      <c r="R396" s="183" t="s">
        <v>4462</v>
      </c>
      <c r="S396" s="38">
        <f>IFERROR(VLOOKUP(R396,[47]conductor_pz_summary_hftd_23_re!$B$2:$Q$3636,8,FALSE),0)</f>
        <v>21</v>
      </c>
      <c r="T396" s="201">
        <f>IFERROR(VLOOKUP(R396,[48]conductor_pz_summary_hftd_23_re!$B$2:$H$3636,7,0),0)/1609</f>
        <v>0.75146626684492235</v>
      </c>
      <c r="U396" s="23">
        <f>IFERROR(VLOOKUP(R396,[47]conductor_pz_summary_hftd_23_re!$B$2:$Q$3636,14,FALSE),0)</f>
        <v>53</v>
      </c>
      <c r="V396" s="37">
        <f t="shared" si="81"/>
        <v>8.6971020580462834</v>
      </c>
      <c r="W396" s="202">
        <f>IFERROR(VLOOKUP(R396,[47]conductor_pz_summary_hftd_23_re!$B$2:$Q$3636,13,FALSE),0)</f>
        <v>0.41414771704982301</v>
      </c>
      <c r="X396" s="73">
        <f>IFERROR(VLOOKUP(R396,conductor_pz_summary_hftd_23_re!$B$2:$N$3636,13,FALSE),0)</f>
        <v>91</v>
      </c>
      <c r="Y396" s="203">
        <f t="shared" si="82"/>
        <v>5.381681966871442</v>
      </c>
      <c r="Z396" s="182"/>
      <c r="AA396" s="183" t="s">
        <v>4903</v>
      </c>
      <c r="AB396" s="183" t="s">
        <v>5298</v>
      </c>
      <c r="AC396" s="182" t="s">
        <v>5450</v>
      </c>
      <c r="AD396" s="182" t="s">
        <v>5453</v>
      </c>
      <c r="AE396" s="182" t="s">
        <v>5278</v>
      </c>
      <c r="AF396" s="182" t="s">
        <v>4875</v>
      </c>
      <c r="AG396" s="183">
        <v>5794542</v>
      </c>
      <c r="AH396" s="183" t="s">
        <v>5427</v>
      </c>
      <c r="AI396" s="183">
        <v>120165232</v>
      </c>
      <c r="AJ396" s="183">
        <v>35219590</v>
      </c>
      <c r="AK396" s="183" t="s">
        <v>5421</v>
      </c>
      <c r="AL396" s="205">
        <f>0.75*5280</f>
        <v>3960</v>
      </c>
      <c r="AM396" s="205">
        <v>0</v>
      </c>
      <c r="AN396" s="205">
        <v>0</v>
      </c>
      <c r="AO396" s="205">
        <v>0</v>
      </c>
      <c r="AP396" s="117"/>
      <c r="AQ396" s="39" t="s">
        <v>6041</v>
      </c>
      <c r="AR396" s="183">
        <f>AS396*5280</f>
        <v>3168</v>
      </c>
      <c r="AS396" s="183">
        <v>0.6</v>
      </c>
      <c r="AT396" s="92">
        <v>1047680</v>
      </c>
      <c r="AU396" s="182"/>
      <c r="AV396" s="182"/>
      <c r="AW396" s="182"/>
      <c r="AX396" s="182"/>
      <c r="AY396" s="23"/>
      <c r="AZ396" s="182"/>
      <c r="BD396" s="191">
        <f t="shared" si="84"/>
        <v>0</v>
      </c>
      <c r="BE396" s="182"/>
      <c r="BF396" s="182"/>
      <c r="BG396" s="182"/>
      <c r="BH396" s="182"/>
      <c r="BI396" s="182"/>
      <c r="BJ396" s="182"/>
      <c r="BK396" s="182"/>
      <c r="BL396" s="182"/>
      <c r="BM396" s="182"/>
      <c r="BN396" s="182"/>
      <c r="BO396" s="182"/>
      <c r="BP396" s="182"/>
      <c r="BQ396" s="182"/>
      <c r="BR396" s="182"/>
      <c r="BS396" s="182"/>
      <c r="BT396" s="182"/>
    </row>
    <row r="397" spans="1:72" x14ac:dyDescent="0.25">
      <c r="A397" s="218">
        <v>35219591</v>
      </c>
      <c r="B397" s="116" t="s">
        <v>5413</v>
      </c>
      <c r="C397" s="183">
        <v>8</v>
      </c>
      <c r="D397" s="23" t="str" cm="1">
        <f t="array" ref="D397">IFERROR(_xlfn.IFS(U397&lt;727,"MEET", AB397="FRRB","MEET", AB397="PSPS","MEET"),"No")</f>
        <v>MEET</v>
      </c>
      <c r="E397" s="23" t="str" cm="1">
        <f t="array" ref="E397">IFERROR(_xlfn.IFS(AM397&gt;0,"MEET", AN397&gt;0,"MEET"),"No")</f>
        <v>No</v>
      </c>
      <c r="F397" s="182">
        <v>2021338</v>
      </c>
      <c r="H397" s="37">
        <f t="shared" si="85"/>
        <v>2.88</v>
      </c>
      <c r="I397" s="96">
        <f t="shared" si="83"/>
        <v>2.88</v>
      </c>
      <c r="J397" s="183">
        <v>2021</v>
      </c>
      <c r="K397" s="182"/>
      <c r="L397" s="182"/>
      <c r="M397" s="37">
        <f t="shared" si="86"/>
        <v>0</v>
      </c>
      <c r="N397" s="21">
        <v>152.97</v>
      </c>
      <c r="O397" s="183" t="s">
        <v>4878</v>
      </c>
      <c r="P397" s="182">
        <v>163541101</v>
      </c>
      <c r="Q397" s="182" t="s">
        <v>2949</v>
      </c>
      <c r="R397" s="183" t="s">
        <v>2957</v>
      </c>
      <c r="S397" s="38">
        <f>IFERROR(VLOOKUP(R397,[47]conductor_pz_summary_hftd_23_re!$B$2:$Q$3636,8,FALSE),0)</f>
        <v>29</v>
      </c>
      <c r="T397" s="201">
        <f>IFERROR(VLOOKUP(R397,[48]conductor_pz_summary_hftd_23_re!$B$2:$H$3636,7,0),0)/1609</f>
        <v>2.8841288480634493</v>
      </c>
      <c r="U397" s="23">
        <f>IFERROR(VLOOKUP(R397,[47]conductor_pz_summary_hftd_23_re!$B$2:$Q$3636,14,FALSE),0)</f>
        <v>54</v>
      </c>
      <c r="V397" s="37">
        <f t="shared" si="81"/>
        <v>11.806583015215489</v>
      </c>
      <c r="W397" s="202">
        <f>IFERROR(VLOOKUP(R397,[47]conductor_pz_summary_hftd_23_re!$B$2:$Q$3636,13,FALSE),0)</f>
        <v>0.40712355224880997</v>
      </c>
      <c r="X397" s="73">
        <f>IFERROR(VLOOKUP(R397,conductor_pz_summary_hftd_23_re!$B$2:$N$3636,13,FALSE),0)</f>
        <v>306</v>
      </c>
      <c r="Y397" s="203">
        <f t="shared" si="82"/>
        <v>7.3096022204847726</v>
      </c>
      <c r="Z397" s="182"/>
      <c r="AA397" s="183"/>
      <c r="AB397" s="183" t="s">
        <v>5298</v>
      </c>
      <c r="AC397" s="182" t="s">
        <v>5475</v>
      </c>
      <c r="AD397" s="182" t="s">
        <v>4999</v>
      </c>
      <c r="AE397" s="182" t="s">
        <v>4938</v>
      </c>
      <c r="AF397" s="182" t="s">
        <v>4939</v>
      </c>
      <c r="AG397" s="183">
        <v>5794611</v>
      </c>
      <c r="AH397" s="183" t="s">
        <v>5428</v>
      </c>
      <c r="AI397" s="183">
        <v>120173637</v>
      </c>
      <c r="AJ397" s="183">
        <v>35219591</v>
      </c>
      <c r="AK397" s="183" t="s">
        <v>5422</v>
      </c>
      <c r="AL397" s="205">
        <f>2.88*5280</f>
        <v>15206.4</v>
      </c>
      <c r="AM397" s="205">
        <v>0</v>
      </c>
      <c r="AN397" s="205">
        <v>0</v>
      </c>
      <c r="AO397" s="205">
        <v>0</v>
      </c>
      <c r="AP397" s="117"/>
      <c r="AQ397" s="48" t="s">
        <v>6376</v>
      </c>
      <c r="AR397" s="183"/>
      <c r="AS397" s="182"/>
      <c r="AT397" s="92"/>
      <c r="AU397" s="182"/>
      <c r="AV397" s="182"/>
      <c r="AW397" s="182"/>
      <c r="AX397" s="182"/>
      <c r="AY397" s="23"/>
      <c r="AZ397" s="182"/>
      <c r="BD397" s="191">
        <f t="shared" si="84"/>
        <v>0</v>
      </c>
      <c r="BE397" s="182"/>
      <c r="BF397" s="182"/>
      <c r="BG397" s="182"/>
      <c r="BH397" s="182"/>
      <c r="BI397" s="182"/>
      <c r="BJ397" s="182"/>
      <c r="BK397" s="182"/>
      <c r="BL397" s="182"/>
      <c r="BM397" s="182"/>
      <c r="BN397" s="182"/>
      <c r="BO397" s="182"/>
      <c r="BP397" s="182"/>
      <c r="BQ397" s="182"/>
      <c r="BR397" s="182"/>
      <c r="BS397" s="182"/>
      <c r="BT397" s="182"/>
    </row>
    <row r="398" spans="1:72" x14ac:dyDescent="0.25">
      <c r="A398" s="218">
        <v>35192053</v>
      </c>
      <c r="B398" s="199" t="s">
        <v>6350</v>
      </c>
      <c r="C398" s="23">
        <v>20</v>
      </c>
      <c r="D398" s="23" t="str" cm="1">
        <f t="array" ref="D398">IFERROR(_xlfn.IFS(U398&lt;727,"MEET", AB398="FRRB","MEET", AB398="PSPS","MEET"),"No")</f>
        <v>No</v>
      </c>
      <c r="E398" s="23" t="str" cm="1">
        <f t="array" ref="E398">IFERROR(_xlfn.IFS(AM398&gt;0,"MEET", AN398&gt;0,"MEET"),"No")</f>
        <v>No</v>
      </c>
      <c r="F398" s="182">
        <v>2021339</v>
      </c>
      <c r="G398" s="23"/>
      <c r="H398" s="37">
        <f t="shared" si="85"/>
        <v>1.97</v>
      </c>
      <c r="I398" s="96">
        <f t="shared" si="83"/>
        <v>1.97</v>
      </c>
      <c r="J398" s="20">
        <v>2021</v>
      </c>
      <c r="K398" s="37"/>
      <c r="L398" s="37"/>
      <c r="M398" s="37">
        <f t="shared" si="86"/>
        <v>0</v>
      </c>
      <c r="N398" s="21">
        <v>972832.92</v>
      </c>
      <c r="O398" s="23" t="s">
        <v>4941</v>
      </c>
      <c r="P398" s="22">
        <v>254421103</v>
      </c>
      <c r="Q398" s="19" t="s">
        <v>2772</v>
      </c>
      <c r="R398" s="23" t="s">
        <v>2776</v>
      </c>
      <c r="S398" s="38">
        <f>IFERROR(VLOOKUP(R398,[47]conductor_pz_summary_hftd_23_re!$B$2:$Q$3636,8,FALSE),0)</f>
        <v>19</v>
      </c>
      <c r="T398" s="201">
        <f>IFERROR(VLOOKUP(R398,[48]conductor_pz_summary_hftd_23_re!$B$2:$H$3636,7,0),0)/1609</f>
        <v>6.1605902709633558</v>
      </c>
      <c r="U398" s="23">
        <f>IFERROR(VLOOKUP(R398,[47]conductor_pz_summary_hftd_23_re!$B$2:$Q$3636,14,FALSE),0)</f>
        <v>1975</v>
      </c>
      <c r="V398" s="37">
        <f t="shared" si="81"/>
        <v>0.18332672240004058</v>
      </c>
      <c r="W398" s="202">
        <f>IFERROR(VLOOKUP(R398,[47]conductor_pz_summary_hftd_23_re!$B$2:$Q$3636,13,FALSE),0)</f>
        <v>9.6487748631600301E-3</v>
      </c>
      <c r="X398" s="73">
        <f>IFERROR(VLOOKUP(R398,conductor_pz_summary_hftd_23_re!$B$2:$N$3636,13,FALSE),0)</f>
        <v>1809</v>
      </c>
      <c r="Y398" s="203">
        <f t="shared" si="82"/>
        <v>3.6346396837132144E-2</v>
      </c>
      <c r="Z398" s="23">
        <v>404</v>
      </c>
      <c r="AA398" s="23" t="s">
        <v>4871</v>
      </c>
      <c r="AB398" s="23" t="s">
        <v>6352</v>
      </c>
      <c r="AC398" s="19" t="s">
        <v>6480</v>
      </c>
      <c r="AD398" s="19" t="s">
        <v>5451</v>
      </c>
      <c r="AE398" s="95" t="s">
        <v>6353</v>
      </c>
      <c r="AF398" s="19" t="s">
        <v>6354</v>
      </c>
      <c r="AG398" s="23">
        <v>5792082</v>
      </c>
      <c r="AH398" s="23" t="s">
        <v>6460</v>
      </c>
      <c r="AI398" s="23">
        <v>119554059</v>
      </c>
      <c r="AJ398" s="51">
        <v>35192053</v>
      </c>
      <c r="AK398" s="23" t="s">
        <v>6465</v>
      </c>
      <c r="AL398" s="20">
        <v>10401.6</v>
      </c>
      <c r="AM398" s="205">
        <v>0</v>
      </c>
      <c r="AN398" s="205">
        <v>0</v>
      </c>
      <c r="AO398" s="205">
        <v>0</v>
      </c>
      <c r="AP398" s="23" t="s">
        <v>4988</v>
      </c>
      <c r="AQ398" s="39" t="s">
        <v>6351</v>
      </c>
      <c r="AR398" s="23">
        <v>21965</v>
      </c>
      <c r="AS398" s="183">
        <v>4.16</v>
      </c>
      <c r="AT398" s="41">
        <v>7671845</v>
      </c>
      <c r="AU398" s="23"/>
      <c r="AV398" s="19"/>
      <c r="AW398" s="19"/>
      <c r="AX398" s="19"/>
      <c r="AY398" s="23"/>
      <c r="AZ398" s="40"/>
      <c r="BA398" s="43"/>
      <c r="BB398" s="190"/>
      <c r="BC398" s="194"/>
      <c r="BD398" s="191">
        <f t="shared" si="84"/>
        <v>0</v>
      </c>
      <c r="BE398" s="39" t="s">
        <v>6459</v>
      </c>
      <c r="BF398" s="23"/>
      <c r="BG398" s="23"/>
      <c r="BH398" s="23"/>
      <c r="BI398" s="23">
        <f>1.97*5280</f>
        <v>10401.6</v>
      </c>
      <c r="BJ398" s="23">
        <f>SUM(BG398:BI398)</f>
        <v>10401.6</v>
      </c>
      <c r="BK398" s="40">
        <f>BJ398/5280</f>
        <v>1.97</v>
      </c>
      <c r="BL398" s="44"/>
      <c r="BM398" s="41"/>
      <c r="BN398" s="45"/>
      <c r="BO398" s="19"/>
      <c r="BP398" s="19"/>
      <c r="BQ398" s="19"/>
      <c r="BR398" s="19"/>
      <c r="BS398" s="19"/>
      <c r="BT398" s="19"/>
    </row>
    <row r="399" spans="1:72" s="59" customFormat="1" x14ac:dyDescent="0.25">
      <c r="A399" s="218">
        <v>35227096</v>
      </c>
      <c r="B399" s="199" t="s">
        <v>6350</v>
      </c>
      <c r="C399" s="23">
        <v>20</v>
      </c>
      <c r="D399" s="23" t="str" cm="1">
        <f t="array" ref="D399">IFERROR(_xlfn.IFS(U399&lt;727,"MEET", AB399="FRRB","MEET", AB399="PSPS","MEET"),"No")</f>
        <v>No</v>
      </c>
      <c r="E399" s="23" t="str" cm="1">
        <f t="array" ref="E399">IFERROR(_xlfn.IFS(AM399&gt;0,"MEET", AN399&gt;0,"MEET"),"No")</f>
        <v>No</v>
      </c>
      <c r="F399" s="182">
        <v>2021340</v>
      </c>
      <c r="G399" s="23"/>
      <c r="H399" s="37">
        <f t="shared" si="85"/>
        <v>1.0602272727272728</v>
      </c>
      <c r="I399" s="96">
        <f t="shared" si="83"/>
        <v>1.0602272727272728</v>
      </c>
      <c r="J399" s="20">
        <v>2021</v>
      </c>
      <c r="K399" s="37"/>
      <c r="L399" s="21"/>
      <c r="M399" s="183">
        <f t="shared" si="86"/>
        <v>0</v>
      </c>
      <c r="N399" s="21">
        <v>194307.81</v>
      </c>
      <c r="O399" s="23" t="s">
        <v>4941</v>
      </c>
      <c r="P399" s="23">
        <v>254421103</v>
      </c>
      <c r="Q399" s="213" t="s">
        <v>2772</v>
      </c>
      <c r="R399" s="38" t="s">
        <v>2776</v>
      </c>
      <c r="S399" s="23">
        <f>IFERROR(VLOOKUP(R399,[47]conductor_pz_summary_hftd_23_re!$B$2:$Q$3636,8,FALSE),0)</f>
        <v>19</v>
      </c>
      <c r="T399" s="37">
        <f>IFERROR(VLOOKUP(R399,[48]conductor_pz_summary_hftd_23_re!$B$2:$H$3636,7,0),0)/1609</f>
        <v>6.1605902709633558</v>
      </c>
      <c r="U399" s="23">
        <f>IFERROR(VLOOKUP(R399,[47]conductor_pz_summary_hftd_23_re!$B$2:$Q$3636,14,FALSE),0)</f>
        <v>1975</v>
      </c>
      <c r="V399" s="188">
        <f t="shared" si="81"/>
        <v>0.18332672240004058</v>
      </c>
      <c r="W399" s="203">
        <f>IFERROR(VLOOKUP(R399,[47]conductor_pz_summary_hftd_23_re!$B$2:$Q$3636,13,FALSE),0)</f>
        <v>9.6487748631600301E-3</v>
      </c>
      <c r="X399" s="23">
        <f>IFERROR(VLOOKUP(R399,conductor_pz_summary_hftd_23_re!$B$2:$N$3636,13,FALSE),0)</f>
        <v>1809</v>
      </c>
      <c r="Y399" s="203">
        <f t="shared" si="82"/>
        <v>1.9561137660962326E-2</v>
      </c>
      <c r="Z399" s="23">
        <v>404</v>
      </c>
      <c r="AA399" s="23" t="s">
        <v>4871</v>
      </c>
      <c r="AB399" s="23" t="s">
        <v>6352</v>
      </c>
      <c r="AC399" s="19" t="s">
        <v>6480</v>
      </c>
      <c r="AD399" s="19" t="s">
        <v>5451</v>
      </c>
      <c r="AE399" s="95" t="s">
        <v>6353</v>
      </c>
      <c r="AF399" s="23" t="s">
        <v>6354</v>
      </c>
      <c r="AG399" s="23">
        <v>5792082</v>
      </c>
      <c r="AH399" s="51" t="s">
        <v>6462</v>
      </c>
      <c r="AI399" s="23">
        <v>120457011</v>
      </c>
      <c r="AJ399" s="20">
        <v>35227096</v>
      </c>
      <c r="AK399" s="23" t="s">
        <v>6463</v>
      </c>
      <c r="AL399" s="20">
        <v>5598</v>
      </c>
      <c r="AM399" s="205">
        <v>0</v>
      </c>
      <c r="AN399" s="205">
        <v>0</v>
      </c>
      <c r="AO399" s="205">
        <v>0</v>
      </c>
      <c r="AP399" s="23"/>
      <c r="AQ399" s="183"/>
      <c r="AR399" s="41"/>
      <c r="AS399" s="23"/>
      <c r="AT399" s="19"/>
      <c r="AU399" s="19"/>
      <c r="AV399" s="19"/>
      <c r="AW399" s="23"/>
      <c r="AX399" s="40"/>
      <c r="AY399" s="43"/>
      <c r="AZ399" s="190"/>
      <c r="BA399" s="194"/>
      <c r="BB399" s="191"/>
      <c r="BC399" s="196"/>
      <c r="BD399" s="191">
        <f t="shared" si="84"/>
        <v>0</v>
      </c>
      <c r="BE399" s="207" t="s">
        <v>6466</v>
      </c>
      <c r="BF399" s="23"/>
      <c r="BG399" s="23"/>
      <c r="BH399" s="23"/>
      <c r="BI399" s="23">
        <v>5598</v>
      </c>
      <c r="BJ399" s="23">
        <f>SUM(BG399:BI399)</f>
        <v>5598</v>
      </c>
      <c r="BK399" s="40">
        <f>BJ399/5280</f>
        <v>1.0602272727272728</v>
      </c>
      <c r="BL399" s="45"/>
      <c r="BM399" s="19"/>
      <c r="BN399" s="19"/>
      <c r="BO399" s="19"/>
      <c r="BP399" s="19"/>
      <c r="BQ399" s="19"/>
      <c r="BR399" s="19"/>
      <c r="BS399" s="182"/>
      <c r="BT399" s="182"/>
    </row>
    <row r="400" spans="1:72" s="59" customFormat="1" x14ac:dyDescent="0.25">
      <c r="A400" s="221">
        <v>35227201</v>
      </c>
      <c r="B400" s="199" t="s">
        <v>6350</v>
      </c>
      <c r="C400" s="23">
        <v>19</v>
      </c>
      <c r="D400" s="23" t="str" cm="1">
        <f t="array" ref="D400">IFERROR(_xlfn.IFS(U400&lt;727,"MEET", AB400="FRRB","MEET", AB400="PSPS","MEET"),"No")</f>
        <v>No</v>
      </c>
      <c r="E400" s="23" t="str" cm="1">
        <f t="array" ref="E400">IFERROR(_xlfn.IFS(AM400&gt;0,"MEET", AN400&gt;0,"MEET"),"No")</f>
        <v>No</v>
      </c>
      <c r="F400" s="182">
        <v>2021341</v>
      </c>
      <c r="G400" s="188"/>
      <c r="H400" s="37">
        <f t="shared" si="85"/>
        <v>0.82481060606060608</v>
      </c>
      <c r="I400" s="96">
        <f t="shared" si="83"/>
        <v>0.82481060606060608</v>
      </c>
      <c r="J400" s="20">
        <v>2021</v>
      </c>
      <c r="K400" s="182"/>
      <c r="L400" s="182"/>
      <c r="M400" s="37">
        <f t="shared" si="86"/>
        <v>0</v>
      </c>
      <c r="N400" s="21">
        <v>199814.78</v>
      </c>
      <c r="O400" s="183" t="s">
        <v>5321</v>
      </c>
      <c r="P400" s="22">
        <v>254421103</v>
      </c>
      <c r="Q400" s="19" t="s">
        <v>2772</v>
      </c>
      <c r="R400" s="23" t="s">
        <v>2776</v>
      </c>
      <c r="S400" s="38">
        <f>IFERROR(VLOOKUP(R400,[47]conductor_pz_summary_hftd_23_re!$B$2:$Q$3636,8,FALSE),0)</f>
        <v>19</v>
      </c>
      <c r="T400" s="201">
        <f>IFERROR(VLOOKUP(R400,[48]conductor_pz_summary_hftd_23_re!$B$2:$H$3636,7,0),0)/1609</f>
        <v>6.1605902709633558</v>
      </c>
      <c r="U400" s="23">
        <f>IFERROR(VLOOKUP(R400,[47]conductor_pz_summary_hftd_23_re!$B$2:$Q$3636,14,FALSE),0)</f>
        <v>1975</v>
      </c>
      <c r="V400" s="37">
        <f t="shared" si="81"/>
        <v>0.18332672240004058</v>
      </c>
      <c r="W400" s="202">
        <f>IFERROR(VLOOKUP(R400,[47]conductor_pz_summary_hftd_23_re!$B$2:$Q$3636,13,FALSE),0)</f>
        <v>9.6487748631600301E-3</v>
      </c>
      <c r="X400" s="183">
        <f>IFERROR(VLOOKUP(R400,conductor_pz_summary_hftd_23_re!$B$2:$N$3636,13,FALSE),0)</f>
        <v>1809</v>
      </c>
      <c r="Y400" s="203">
        <f t="shared" si="82"/>
        <v>1.5217712489012316E-2</v>
      </c>
      <c r="Z400" s="23">
        <v>404</v>
      </c>
      <c r="AA400" s="23" t="s">
        <v>4871</v>
      </c>
      <c r="AB400" s="23" t="s">
        <v>6352</v>
      </c>
      <c r="AC400" s="19" t="s">
        <v>6480</v>
      </c>
      <c r="AD400" s="19" t="s">
        <v>5451</v>
      </c>
      <c r="AE400" s="95" t="s">
        <v>6353</v>
      </c>
      <c r="AF400" s="19" t="s">
        <v>6354</v>
      </c>
      <c r="AG400" s="23">
        <v>5792082</v>
      </c>
      <c r="AH400" s="183" t="s">
        <v>6461</v>
      </c>
      <c r="AI400" s="183">
        <v>120457012</v>
      </c>
      <c r="AJ400" s="195">
        <v>35227201</v>
      </c>
      <c r="AK400" s="23" t="s">
        <v>6464</v>
      </c>
      <c r="AL400" s="205">
        <v>4355</v>
      </c>
      <c r="AM400" s="205">
        <v>0</v>
      </c>
      <c r="AN400" s="205">
        <v>0</v>
      </c>
      <c r="AO400" s="205">
        <v>0</v>
      </c>
      <c r="AP400" s="182"/>
      <c r="AQ400" s="182"/>
      <c r="AR400" s="182"/>
      <c r="AS400" s="182"/>
      <c r="AT400" s="92"/>
      <c r="AU400" s="182"/>
      <c r="AV400" s="182"/>
      <c r="AW400" s="182"/>
      <c r="AX400" s="182"/>
      <c r="AY400" s="182"/>
      <c r="AZ400" s="182"/>
      <c r="BA400" s="173"/>
      <c r="BB400" s="188"/>
      <c r="BC400" s="189"/>
      <c r="BD400" s="191">
        <f t="shared" si="84"/>
        <v>0</v>
      </c>
      <c r="BE400" s="39" t="s">
        <v>6467</v>
      </c>
      <c r="BF400" s="182"/>
      <c r="BG400" s="182"/>
      <c r="BH400" s="182"/>
      <c r="BI400" s="183">
        <v>4355</v>
      </c>
      <c r="BJ400" s="23">
        <f>SUM(BG400:BI400)</f>
        <v>4355</v>
      </c>
      <c r="BK400" s="40">
        <f>BJ400/5280</f>
        <v>0.82481060606060608</v>
      </c>
      <c r="BL400" s="182"/>
      <c r="BM400" s="182"/>
      <c r="BN400" s="182"/>
      <c r="BO400" s="182"/>
      <c r="BP400" s="182"/>
      <c r="BQ400" s="182"/>
      <c r="BR400" s="182"/>
      <c r="BS400" s="182"/>
      <c r="BT400" s="182"/>
    </row>
    <row r="401" spans="1:72" s="59" customFormat="1" x14ac:dyDescent="0.25">
      <c r="A401" s="221">
        <v>35228449</v>
      </c>
      <c r="B401" s="199" t="s">
        <v>6350</v>
      </c>
      <c r="C401" s="74">
        <v>19</v>
      </c>
      <c r="D401" s="23" t="str" cm="1">
        <f t="array" ref="D401">IFERROR(_xlfn.IFS(U401&lt;727,"MEET", AB401="FRRB","MEET", AB401="PSPS","MEET"),"No")</f>
        <v>MEET</v>
      </c>
      <c r="E401" s="23" t="str" cm="1">
        <f t="array" ref="E401">IFERROR(_xlfn.IFS(AM401&gt;0,"MEET", AN401&gt;0,"MEET"),"No")</f>
        <v>No</v>
      </c>
      <c r="F401" s="182">
        <v>2021342</v>
      </c>
      <c r="G401" s="188">
        <v>2.89</v>
      </c>
      <c r="H401" s="37">
        <f t="shared" si="85"/>
        <v>2.8937499999999998</v>
      </c>
      <c r="I401" s="96">
        <f t="shared" si="83"/>
        <v>2.8937499999999998</v>
      </c>
      <c r="J401" s="93">
        <v>2021</v>
      </c>
      <c r="K401" s="182"/>
      <c r="L401" s="182"/>
      <c r="M401" s="37">
        <f t="shared" si="86"/>
        <v>0</v>
      </c>
      <c r="N401" s="21">
        <v>795091.79</v>
      </c>
      <c r="O401" s="183" t="s">
        <v>5321</v>
      </c>
      <c r="P401" s="182">
        <v>192251102</v>
      </c>
      <c r="Q401" s="94" t="s">
        <v>3587</v>
      </c>
      <c r="R401" s="74" t="s">
        <v>6474</v>
      </c>
      <c r="S401" s="38">
        <f>IFERROR(VLOOKUP(R401,[47]conductor_pz_summary_hftd_23_re!$B$2:$Q$3636,8,FALSE),0)</f>
        <v>59</v>
      </c>
      <c r="T401" s="201">
        <f>IFERROR(VLOOKUP(R401,[48]conductor_pz_summary_hftd_23_re!$B$2:$H$3636,7,0),0)/1609</f>
        <v>22.900947686024423</v>
      </c>
      <c r="U401" s="23">
        <f>IFERROR(VLOOKUP(R401,[47]conductor_pz_summary_hftd_23_re!$B$2:$Q$3636,14,FALSE),0)</f>
        <v>585</v>
      </c>
      <c r="V401" s="37">
        <f t="shared" si="81"/>
        <v>7.9720702543643647</v>
      </c>
      <c r="W401" s="202">
        <f>IFERROR(VLOOKUP(R401,[47]conductor_pz_summary_hftd_23_re!$B$2:$Q$3636,13,FALSE),0)</f>
        <v>0.135119834819735</v>
      </c>
      <c r="X401" s="73">
        <f>IFERROR(VLOOKUP(R401,conductor_pz_summary_hftd_23_re!$B$2:$N$3636,13,FALSE),0)</f>
        <v>1331</v>
      </c>
      <c r="Y401" s="203">
        <f t="shared" si="82"/>
        <v>0.62455452679104517</v>
      </c>
      <c r="Z401" s="183">
        <v>3088</v>
      </c>
      <c r="AA401" s="183" t="s">
        <v>4903</v>
      </c>
      <c r="AB401" s="23" t="s">
        <v>6352</v>
      </c>
      <c r="AC401" s="182" t="s">
        <v>6478</v>
      </c>
      <c r="AD401" s="94" t="s">
        <v>6476</v>
      </c>
      <c r="AE401" s="200" t="s">
        <v>6476</v>
      </c>
      <c r="AF401" s="94" t="s">
        <v>6477</v>
      </c>
      <c r="AG401" s="183">
        <v>5795392</v>
      </c>
      <c r="AH401" s="182"/>
      <c r="AI401" s="74">
        <v>120481753</v>
      </c>
      <c r="AJ401" s="183">
        <f>A401</f>
        <v>35228449</v>
      </c>
      <c r="AK401" s="74" t="s">
        <v>6475</v>
      </c>
      <c r="AL401" s="205">
        <v>15279</v>
      </c>
      <c r="AM401" s="20">
        <v>0</v>
      </c>
      <c r="AN401" s="20">
        <v>0</v>
      </c>
      <c r="AO401" s="20">
        <v>0</v>
      </c>
      <c r="AP401" s="183" t="s">
        <v>4988</v>
      </c>
      <c r="AQ401" s="183" t="s">
        <v>4988</v>
      </c>
      <c r="AR401" s="93">
        <v>15279</v>
      </c>
      <c r="AS401" s="188">
        <f>AR401/5280</f>
        <v>2.8937499999999998</v>
      </c>
      <c r="AT401" s="92">
        <f>AS401*1890000</f>
        <v>5469187.5</v>
      </c>
      <c r="AU401" s="183" t="s">
        <v>4988</v>
      </c>
      <c r="AV401" s="183" t="s">
        <v>4988</v>
      </c>
      <c r="AW401" s="183" t="s">
        <v>4988</v>
      </c>
      <c r="AX401" s="183" t="s">
        <v>4988</v>
      </c>
      <c r="AY401" s="183" t="s">
        <v>4988</v>
      </c>
      <c r="AZ401" s="183" t="s">
        <v>4988</v>
      </c>
      <c r="BA401" s="183" t="s">
        <v>4988</v>
      </c>
      <c r="BB401" s="188"/>
      <c r="BC401" s="189"/>
      <c r="BD401" s="191">
        <f t="shared" si="84"/>
        <v>0</v>
      </c>
      <c r="BE401" s="39" t="s">
        <v>6482</v>
      </c>
      <c r="BF401" s="48" t="s">
        <v>6481</v>
      </c>
      <c r="BG401" s="182">
        <v>0</v>
      </c>
      <c r="BH401" s="182">
        <v>0</v>
      </c>
      <c r="BI401" s="183">
        <v>15279</v>
      </c>
      <c r="BJ401" s="23">
        <f>SUM(BG401:BI401)</f>
        <v>15279</v>
      </c>
      <c r="BK401" s="40">
        <f>BJ401/5280</f>
        <v>2.8937499999999998</v>
      </c>
      <c r="BL401" s="92">
        <v>9426416</v>
      </c>
      <c r="BM401" s="92">
        <v>12825799</v>
      </c>
      <c r="BN401" s="208">
        <f>BL401/BJ401</f>
        <v>616.95241835198635</v>
      </c>
      <c r="BO401" s="182"/>
      <c r="BP401" s="182"/>
      <c r="BQ401" s="182"/>
      <c r="BR401" s="182"/>
      <c r="BS401" s="182"/>
      <c r="BT401" s="182"/>
    </row>
    <row r="402" spans="1:72" x14ac:dyDescent="0.25">
      <c r="A402" s="218">
        <v>35233166</v>
      </c>
      <c r="B402" s="116" t="s">
        <v>5505</v>
      </c>
      <c r="C402" s="183">
        <v>14</v>
      </c>
      <c r="D402" s="23" t="str" cm="1">
        <f t="array" ref="D402">IFERROR(_xlfn.IFS(U402&lt;727,"MEET", AB402="FRRB","MEET", AB402="PSPS","MEET"),"No")</f>
        <v>MEET</v>
      </c>
      <c r="E402" s="23" t="str" cm="1">
        <f t="array" ref="E402">IFERROR(_xlfn.IFS(AM402&gt;0,"MEET", AN402&gt;0,"MEET"),"No")</f>
        <v>No</v>
      </c>
      <c r="F402" s="100">
        <v>2021343</v>
      </c>
      <c r="G402" s="168"/>
      <c r="H402" s="37"/>
      <c r="I402" s="37"/>
      <c r="J402" s="93">
        <v>2021</v>
      </c>
      <c r="K402" s="182"/>
      <c r="L402" s="182"/>
      <c r="M402" s="37">
        <v>0</v>
      </c>
      <c r="N402" s="21"/>
      <c r="O402" s="74" t="s">
        <v>4878</v>
      </c>
      <c r="P402" s="22">
        <v>103751102</v>
      </c>
      <c r="Q402" s="94" t="s">
        <v>354</v>
      </c>
      <c r="R402" s="74" t="s">
        <v>353</v>
      </c>
      <c r="S402" s="38">
        <f>IFERROR(VLOOKUP(R402,[47]conductor_pz_summary_hftd_23_re!$B$2:$Q$3636,8,FALSE),0)</f>
        <v>177</v>
      </c>
      <c r="T402" s="38">
        <f>IFERROR(VLOOKUP(R402,[48]conductor_pz_summary_hftd_23_re!$B$2:$H$3636,7,0),0)/1609</f>
        <v>21.29644667592169</v>
      </c>
      <c r="U402" s="23">
        <f>IFERROR(VLOOKUP(R402,[47]conductor_pz_summary_hftd_23_re!$B$2:$Q$3636,14,FALSE),0)</f>
        <v>1288</v>
      </c>
      <c r="V402" s="23">
        <f t="shared" si="81"/>
        <v>7.2500155067644982</v>
      </c>
      <c r="W402" s="23">
        <f>IFERROR(VLOOKUP(R402,[47]conductor_pz_summary_hftd_23_re!$B$2:$Q$3636,13,FALSE),0)</f>
        <v>4.0960539586240102E-2</v>
      </c>
      <c r="X402" s="73">
        <f>IFERROR(VLOOKUP(R402,conductor_pz_summary_hftd_23_re!$B$2:$N$3636,13,FALSE),0)</f>
        <v>1326</v>
      </c>
      <c r="Y402" s="182" t="e">
        <f t="shared" si="82"/>
        <v>#DIV/0!</v>
      </c>
      <c r="Z402" s="182"/>
      <c r="AA402" s="182"/>
      <c r="AB402" s="183" t="s">
        <v>5171</v>
      </c>
      <c r="AC402" s="94" t="s">
        <v>5455</v>
      </c>
      <c r="AD402" s="94" t="s">
        <v>5215</v>
      </c>
      <c r="AE402" s="94" t="s">
        <v>5210</v>
      </c>
      <c r="AF402" s="94" t="s">
        <v>4875</v>
      </c>
      <c r="AG402" s="183">
        <v>5795419</v>
      </c>
      <c r="AH402" s="115" t="s">
        <v>6562</v>
      </c>
      <c r="AI402" s="115">
        <v>120541098</v>
      </c>
      <c r="AJ402" s="183">
        <v>35233166</v>
      </c>
      <c r="AK402" s="183" t="s">
        <v>6563</v>
      </c>
      <c r="AL402" s="161"/>
      <c r="AM402" s="161"/>
      <c r="AN402" s="161"/>
      <c r="AO402" s="161"/>
      <c r="AP402" s="182"/>
      <c r="AQ402" s="39"/>
      <c r="AR402" s="182"/>
      <c r="AS402" s="183"/>
      <c r="AT402" s="92"/>
      <c r="AU402" s="182"/>
      <c r="AV402" s="182"/>
      <c r="AW402" s="182"/>
      <c r="AX402" s="182"/>
      <c r="AY402" s="23"/>
      <c r="AZ402" s="40"/>
      <c r="BD402" s="191"/>
      <c r="BE402" s="182"/>
      <c r="BF402" s="182"/>
      <c r="BG402" s="182"/>
      <c r="BH402" s="182"/>
      <c r="BI402" s="182"/>
      <c r="BJ402" s="182"/>
      <c r="BK402" s="182"/>
      <c r="BL402" s="182"/>
      <c r="BM402" s="182"/>
      <c r="BN402" s="182"/>
      <c r="BO402" s="182"/>
      <c r="BP402" s="182"/>
      <c r="BQ402" s="182"/>
      <c r="BR402" s="182"/>
      <c r="BS402" s="182"/>
      <c r="BT402" s="182"/>
    </row>
    <row r="422" spans="8:46" x14ac:dyDescent="0.25">
      <c r="H422" s="73"/>
      <c r="AL422" s="212"/>
      <c r="AT422" s="92"/>
    </row>
    <row r="423" spans="8:46" x14ac:dyDescent="0.25">
      <c r="H423" s="73"/>
      <c r="AT423" s="92"/>
    </row>
    <row r="424" spans="8:46" x14ac:dyDescent="0.25">
      <c r="H424" s="73"/>
      <c r="AT424" s="92"/>
    </row>
    <row r="425" spans="8:46" x14ac:dyDescent="0.25">
      <c r="H425" s="73"/>
      <c r="AT425" s="92"/>
    </row>
    <row r="426" spans="8:46" x14ac:dyDescent="0.25">
      <c r="H426" s="73"/>
      <c r="AT426" s="92"/>
    </row>
    <row r="427" spans="8:46" x14ac:dyDescent="0.25">
      <c r="H427" s="73"/>
      <c r="AT427" s="92"/>
    </row>
    <row r="428" spans="8:46" x14ac:dyDescent="0.25">
      <c r="H428" s="73"/>
      <c r="AT428" s="92"/>
    </row>
    <row r="429" spans="8:46" x14ac:dyDescent="0.25">
      <c r="H429" s="73"/>
      <c r="AT429" s="92"/>
    </row>
    <row r="430" spans="8:46" x14ac:dyDescent="0.25">
      <c r="H430" s="73"/>
      <c r="AT430" s="92"/>
    </row>
    <row r="431" spans="8:46" x14ac:dyDescent="0.25">
      <c r="H431" s="73"/>
      <c r="AT431" s="92"/>
    </row>
    <row r="432" spans="8:46" x14ac:dyDescent="0.25">
      <c r="H432" s="73"/>
      <c r="AT432" s="92"/>
    </row>
    <row r="433" spans="8:46" x14ac:dyDescent="0.25">
      <c r="H433" s="73"/>
      <c r="AT433" s="92"/>
    </row>
    <row r="434" spans="8:46" x14ac:dyDescent="0.25">
      <c r="H434" s="73"/>
      <c r="AT434" s="92"/>
    </row>
    <row r="435" spans="8:46" x14ac:dyDescent="0.25">
      <c r="H435" s="73"/>
      <c r="AT435" s="92"/>
    </row>
    <row r="436" spans="8:46" x14ac:dyDescent="0.25">
      <c r="H436" s="73"/>
      <c r="AT436" s="92"/>
    </row>
    <row r="437" spans="8:46" x14ac:dyDescent="0.25">
      <c r="H437" s="73"/>
      <c r="AT437" s="92"/>
    </row>
    <row r="438" spans="8:46" x14ac:dyDescent="0.25">
      <c r="H438" s="73"/>
      <c r="AT438" s="92"/>
    </row>
    <row r="439" spans="8:46" x14ac:dyDescent="0.25">
      <c r="H439" s="73"/>
      <c r="AT439" s="92"/>
    </row>
    <row r="440" spans="8:46" x14ac:dyDescent="0.25">
      <c r="H440" s="73"/>
      <c r="AT440" s="92"/>
    </row>
    <row r="441" spans="8:46" x14ac:dyDescent="0.25">
      <c r="H441" s="73"/>
      <c r="AT441" s="92"/>
    </row>
    <row r="442" spans="8:46" x14ac:dyDescent="0.25">
      <c r="H442" s="73"/>
      <c r="AT442" s="92"/>
    </row>
    <row r="443" spans="8:46" x14ac:dyDescent="0.25">
      <c r="H443" s="73"/>
      <c r="AT443" s="92"/>
    </row>
    <row r="444" spans="8:46" x14ac:dyDescent="0.25">
      <c r="H444" s="73"/>
      <c r="AT444" s="92"/>
    </row>
    <row r="445" spans="8:46" x14ac:dyDescent="0.25">
      <c r="H445" s="73"/>
      <c r="AT445" s="92"/>
    </row>
    <row r="446" spans="8:46" x14ac:dyDescent="0.25">
      <c r="H446" s="73"/>
      <c r="AT446" s="92"/>
    </row>
    <row r="447" spans="8:46" x14ac:dyDescent="0.25">
      <c r="H447" s="73"/>
      <c r="AT447" s="92"/>
    </row>
    <row r="448" spans="8:46" x14ac:dyDescent="0.25">
      <c r="H448" s="73"/>
      <c r="AT448" s="92"/>
    </row>
    <row r="449" spans="8:46" x14ac:dyDescent="0.25">
      <c r="H449" s="73"/>
      <c r="AT449" s="92"/>
    </row>
    <row r="450" spans="8:46" x14ac:dyDescent="0.25">
      <c r="H450" s="73"/>
      <c r="AT450" s="92"/>
    </row>
    <row r="451" spans="8:46" x14ac:dyDescent="0.25">
      <c r="H451" s="73"/>
      <c r="AT451" s="92"/>
    </row>
    <row r="452" spans="8:46" x14ac:dyDescent="0.25">
      <c r="H452" s="73"/>
      <c r="AT452" s="92"/>
    </row>
    <row r="453" spans="8:46" x14ac:dyDescent="0.25">
      <c r="H453" s="73"/>
      <c r="AT453" s="92"/>
    </row>
    <row r="454" spans="8:46" x14ac:dyDescent="0.25">
      <c r="H454" s="73"/>
      <c r="AT454" s="92"/>
    </row>
    <row r="455" spans="8:46" x14ac:dyDescent="0.25">
      <c r="H455" s="73"/>
      <c r="AT455" s="92"/>
    </row>
    <row r="456" spans="8:46" x14ac:dyDescent="0.25">
      <c r="H456" s="73"/>
      <c r="AT456" s="92"/>
    </row>
    <row r="457" spans="8:46" x14ac:dyDescent="0.25">
      <c r="H457" s="73"/>
      <c r="AT457" s="92"/>
    </row>
    <row r="458" spans="8:46" x14ac:dyDescent="0.25">
      <c r="H458" s="73"/>
      <c r="AT458" s="92"/>
    </row>
    <row r="459" spans="8:46" x14ac:dyDescent="0.25">
      <c r="H459" s="73"/>
      <c r="AT459" s="92"/>
    </row>
    <row r="460" spans="8:46" x14ac:dyDescent="0.25">
      <c r="H460" s="73"/>
      <c r="AT460" s="92"/>
    </row>
    <row r="461" spans="8:46" x14ac:dyDescent="0.25">
      <c r="H461" s="73"/>
      <c r="AT461" s="92"/>
    </row>
    <row r="462" spans="8:46" x14ac:dyDescent="0.25">
      <c r="H462" s="73"/>
      <c r="AT462" s="92"/>
    </row>
    <row r="463" spans="8:46" x14ac:dyDescent="0.25">
      <c r="H463" s="73"/>
      <c r="AT463" s="92"/>
    </row>
    <row r="464" spans="8:46" x14ac:dyDescent="0.25">
      <c r="H464" s="73"/>
      <c r="AT464" s="92"/>
    </row>
    <row r="465" spans="8:46" x14ac:dyDescent="0.25">
      <c r="H465" s="73"/>
      <c r="AT465" s="92"/>
    </row>
    <row r="466" spans="8:46" x14ac:dyDescent="0.25">
      <c r="H466" s="73"/>
      <c r="AT466" s="92"/>
    </row>
    <row r="467" spans="8:46" x14ac:dyDescent="0.25">
      <c r="H467" s="73"/>
      <c r="AT467" s="92"/>
    </row>
    <row r="468" spans="8:46" x14ac:dyDescent="0.25">
      <c r="H468" s="73"/>
      <c r="AT468" s="92"/>
    </row>
    <row r="469" spans="8:46" x14ac:dyDescent="0.25">
      <c r="H469" s="73"/>
      <c r="AT469" s="92"/>
    </row>
    <row r="470" spans="8:46" x14ac:dyDescent="0.25">
      <c r="H470" s="73"/>
      <c r="AT470" s="92"/>
    </row>
    <row r="471" spans="8:46" x14ac:dyDescent="0.25">
      <c r="H471" s="73"/>
      <c r="AT471" s="92"/>
    </row>
    <row r="472" spans="8:46" x14ac:dyDescent="0.25">
      <c r="H472" s="73"/>
      <c r="AT472" s="92"/>
    </row>
    <row r="473" spans="8:46" x14ac:dyDescent="0.25">
      <c r="H473" s="73"/>
      <c r="AT473" s="92"/>
    </row>
    <row r="474" spans="8:46" x14ac:dyDescent="0.25">
      <c r="H474" s="73"/>
      <c r="AT474" s="92"/>
    </row>
    <row r="475" spans="8:46" x14ac:dyDescent="0.25">
      <c r="H475" s="73"/>
      <c r="AT475" s="92"/>
    </row>
    <row r="476" spans="8:46" x14ac:dyDescent="0.25">
      <c r="H476" s="73"/>
      <c r="AT476" s="92"/>
    </row>
    <row r="477" spans="8:46" x14ac:dyDescent="0.25">
      <c r="H477" s="73"/>
      <c r="AT477" s="92"/>
    </row>
    <row r="478" spans="8:46" x14ac:dyDescent="0.25">
      <c r="H478" s="73"/>
      <c r="AT478" s="92"/>
    </row>
    <row r="479" spans="8:46" x14ac:dyDescent="0.25">
      <c r="H479" s="73"/>
      <c r="AT479" s="92"/>
    </row>
    <row r="480" spans="8:46" x14ac:dyDescent="0.25">
      <c r="H480" s="73"/>
      <c r="AT480" s="92"/>
    </row>
    <row r="481" spans="8:46" x14ac:dyDescent="0.25">
      <c r="H481" s="73"/>
      <c r="AT481" s="92"/>
    </row>
    <row r="482" spans="8:46" x14ac:dyDescent="0.25">
      <c r="H482" s="73"/>
      <c r="AT482" s="92"/>
    </row>
    <row r="483" spans="8:46" x14ac:dyDescent="0.25">
      <c r="H483" s="73"/>
      <c r="AT483" s="92"/>
    </row>
    <row r="484" spans="8:46" x14ac:dyDescent="0.25">
      <c r="H484" s="73"/>
      <c r="AT484" s="92"/>
    </row>
    <row r="485" spans="8:46" x14ac:dyDescent="0.25">
      <c r="H485" s="73"/>
      <c r="AT485" s="92"/>
    </row>
    <row r="486" spans="8:46" x14ac:dyDescent="0.25">
      <c r="H486" s="73"/>
      <c r="AT486" s="92"/>
    </row>
    <row r="487" spans="8:46" x14ac:dyDescent="0.25">
      <c r="H487" s="73"/>
      <c r="AT487" s="92"/>
    </row>
    <row r="488" spans="8:46" x14ac:dyDescent="0.25">
      <c r="H488" s="73"/>
      <c r="AT488" s="92"/>
    </row>
    <row r="489" spans="8:46" x14ac:dyDescent="0.25">
      <c r="H489" s="73"/>
      <c r="AT489" s="92"/>
    </row>
    <row r="490" spans="8:46" x14ac:dyDescent="0.25">
      <c r="H490" s="73"/>
      <c r="AT490" s="92"/>
    </row>
    <row r="491" spans="8:46" x14ac:dyDescent="0.25">
      <c r="H491" s="73"/>
      <c r="AT491" s="92"/>
    </row>
    <row r="492" spans="8:46" x14ac:dyDescent="0.25">
      <c r="H492" s="73"/>
      <c r="AT492" s="92"/>
    </row>
    <row r="493" spans="8:46" x14ac:dyDescent="0.25">
      <c r="H493" s="73"/>
      <c r="AT493" s="92"/>
    </row>
    <row r="494" spans="8:46" x14ac:dyDescent="0.25">
      <c r="H494" s="73"/>
      <c r="AT494" s="92"/>
    </row>
    <row r="495" spans="8:46" x14ac:dyDescent="0.25">
      <c r="H495" s="73"/>
      <c r="AT495" s="92"/>
    </row>
    <row r="496" spans="8:46" x14ac:dyDescent="0.25">
      <c r="H496" s="73"/>
      <c r="AT496" s="92"/>
    </row>
    <row r="497" spans="8:46" x14ac:dyDescent="0.25">
      <c r="H497" s="73"/>
      <c r="AT497" s="92"/>
    </row>
    <row r="498" spans="8:46" x14ac:dyDescent="0.25">
      <c r="H498" s="73"/>
      <c r="AT498" s="92"/>
    </row>
    <row r="499" spans="8:46" x14ac:dyDescent="0.25">
      <c r="H499" s="73"/>
      <c r="AT499" s="92"/>
    </row>
    <row r="500" spans="8:46" x14ac:dyDescent="0.25">
      <c r="H500" s="73"/>
      <c r="AT500" s="92"/>
    </row>
    <row r="501" spans="8:46" x14ac:dyDescent="0.25">
      <c r="H501" s="73"/>
      <c r="AT501" s="92"/>
    </row>
    <row r="502" spans="8:46" x14ac:dyDescent="0.25">
      <c r="H502" s="73"/>
      <c r="AT502" s="92"/>
    </row>
    <row r="503" spans="8:46" x14ac:dyDescent="0.25">
      <c r="H503" s="73"/>
      <c r="AT503" s="92"/>
    </row>
    <row r="504" spans="8:46" x14ac:dyDescent="0.25">
      <c r="H504" s="73"/>
      <c r="AT504" s="92"/>
    </row>
    <row r="505" spans="8:46" x14ac:dyDescent="0.25">
      <c r="H505" s="73"/>
      <c r="AT505" s="92"/>
    </row>
    <row r="506" spans="8:46" x14ac:dyDescent="0.25">
      <c r="H506" s="73"/>
      <c r="AT506" s="92"/>
    </row>
    <row r="507" spans="8:46" x14ac:dyDescent="0.25">
      <c r="H507" s="73"/>
      <c r="AT507" s="92"/>
    </row>
    <row r="508" spans="8:46" x14ac:dyDescent="0.25">
      <c r="H508" s="73"/>
      <c r="AT508" s="92"/>
    </row>
    <row r="509" spans="8:46" x14ac:dyDescent="0.25">
      <c r="H509" s="73"/>
      <c r="AT509" s="92"/>
    </row>
    <row r="510" spans="8:46" x14ac:dyDescent="0.25">
      <c r="H510" s="73"/>
      <c r="AT510" s="92"/>
    </row>
    <row r="511" spans="8:46" x14ac:dyDescent="0.25">
      <c r="H511" s="73"/>
      <c r="AT511" s="92"/>
    </row>
    <row r="512" spans="8:46" x14ac:dyDescent="0.25">
      <c r="H512" s="73"/>
      <c r="AT512" s="92"/>
    </row>
    <row r="513" spans="8:46" x14ac:dyDescent="0.25">
      <c r="H513" s="73"/>
      <c r="AT513" s="92"/>
    </row>
    <row r="514" spans="8:46" x14ac:dyDescent="0.25">
      <c r="H514" s="73"/>
      <c r="AT514" s="92"/>
    </row>
    <row r="515" spans="8:46" x14ac:dyDescent="0.25">
      <c r="H515" s="73"/>
      <c r="AT515" s="92"/>
    </row>
    <row r="516" spans="8:46" x14ac:dyDescent="0.25">
      <c r="H516" s="73"/>
      <c r="AT516" s="92"/>
    </row>
    <row r="517" spans="8:46" x14ac:dyDescent="0.25">
      <c r="H517" s="73"/>
      <c r="AT517" s="92"/>
    </row>
    <row r="518" spans="8:46" x14ac:dyDescent="0.25">
      <c r="H518" s="73"/>
      <c r="AT518" s="92"/>
    </row>
    <row r="519" spans="8:46" x14ac:dyDescent="0.25">
      <c r="H519" s="73"/>
      <c r="AT519" s="92"/>
    </row>
    <row r="520" spans="8:46" x14ac:dyDescent="0.25">
      <c r="H520" s="73"/>
      <c r="AT520" s="92"/>
    </row>
    <row r="521" spans="8:46" x14ac:dyDescent="0.25">
      <c r="H521" s="73"/>
      <c r="AT521" s="92"/>
    </row>
    <row r="522" spans="8:46" x14ac:dyDescent="0.25">
      <c r="H522" s="73"/>
      <c r="AT522" s="92"/>
    </row>
    <row r="523" spans="8:46" x14ac:dyDescent="0.25">
      <c r="H523" s="73"/>
      <c r="AT523" s="92"/>
    </row>
    <row r="524" spans="8:46" x14ac:dyDescent="0.25">
      <c r="H524" s="73"/>
      <c r="AT524" s="92"/>
    </row>
    <row r="525" spans="8:46" x14ac:dyDescent="0.25">
      <c r="H525" s="73"/>
      <c r="AT525" s="92"/>
    </row>
    <row r="526" spans="8:46" x14ac:dyDescent="0.25">
      <c r="H526" s="73"/>
      <c r="AT526" s="92"/>
    </row>
    <row r="527" spans="8:46" x14ac:dyDescent="0.25">
      <c r="H527" s="73"/>
    </row>
    <row r="528" spans="8:46" x14ac:dyDescent="0.25">
      <c r="H528" s="73"/>
    </row>
    <row r="529" spans="8:8" x14ac:dyDescent="0.25">
      <c r="H529" s="73"/>
    </row>
    <row r="530" spans="8:8" x14ac:dyDescent="0.25">
      <c r="H530" s="73"/>
    </row>
    <row r="531" spans="8:8" x14ac:dyDescent="0.25">
      <c r="H531" s="73"/>
    </row>
    <row r="532" spans="8:8" x14ac:dyDescent="0.25">
      <c r="H532" s="73"/>
    </row>
    <row r="533" spans="8:8" x14ac:dyDescent="0.25">
      <c r="H533" s="73"/>
    </row>
    <row r="534" spans="8:8" x14ac:dyDescent="0.25">
      <c r="H534" s="73"/>
    </row>
    <row r="535" spans="8:8" x14ac:dyDescent="0.25">
      <c r="H535" s="73"/>
    </row>
    <row r="536" spans="8:8" x14ac:dyDescent="0.25">
      <c r="H536" s="73"/>
    </row>
    <row r="537" spans="8:8" x14ac:dyDescent="0.25">
      <c r="H537" s="73"/>
    </row>
    <row r="538" spans="8:8" x14ac:dyDescent="0.25">
      <c r="H538" s="73"/>
    </row>
    <row r="539" spans="8:8" x14ac:dyDescent="0.25">
      <c r="H539" s="73"/>
    </row>
    <row r="540" spans="8:8" x14ac:dyDescent="0.25">
      <c r="H540" s="73"/>
    </row>
    <row r="541" spans="8:8" x14ac:dyDescent="0.25">
      <c r="H541" s="73"/>
    </row>
    <row r="542" spans="8:8" x14ac:dyDescent="0.25">
      <c r="H542" s="73"/>
    </row>
    <row r="543" spans="8:8" x14ac:dyDescent="0.25">
      <c r="H543" s="73"/>
    </row>
    <row r="544" spans="8:8" x14ac:dyDescent="0.25">
      <c r="H544" s="73"/>
    </row>
    <row r="545" spans="8:8" x14ac:dyDescent="0.25">
      <c r="H545" s="73"/>
    </row>
    <row r="546" spans="8:8" x14ac:dyDescent="0.25">
      <c r="H546" s="73"/>
    </row>
    <row r="547" spans="8:8" x14ac:dyDescent="0.25">
      <c r="H547" s="73"/>
    </row>
    <row r="548" spans="8:8" x14ac:dyDescent="0.25">
      <c r="H548" s="73"/>
    </row>
    <row r="549" spans="8:8" x14ac:dyDescent="0.25">
      <c r="H549" s="73"/>
    </row>
    <row r="550" spans="8:8" x14ac:dyDescent="0.25">
      <c r="H550" s="73"/>
    </row>
    <row r="551" spans="8:8" x14ac:dyDescent="0.25">
      <c r="H551" s="73"/>
    </row>
    <row r="552" spans="8:8" x14ac:dyDescent="0.25">
      <c r="H552" s="73"/>
    </row>
    <row r="553" spans="8:8" x14ac:dyDescent="0.25">
      <c r="H553" s="73"/>
    </row>
    <row r="554" spans="8:8" x14ac:dyDescent="0.25">
      <c r="H554" s="73"/>
    </row>
    <row r="555" spans="8:8" x14ac:dyDescent="0.25">
      <c r="H555" s="73"/>
    </row>
    <row r="556" spans="8:8" x14ac:dyDescent="0.25">
      <c r="H556" s="73"/>
    </row>
    <row r="557" spans="8:8" x14ac:dyDescent="0.25">
      <c r="H557" s="73"/>
    </row>
    <row r="558" spans="8:8" x14ac:dyDescent="0.25">
      <c r="H558" s="73"/>
    </row>
    <row r="559" spans="8:8" x14ac:dyDescent="0.25">
      <c r="H559" s="73"/>
    </row>
    <row r="560" spans="8:8" x14ac:dyDescent="0.25">
      <c r="H560" s="73"/>
    </row>
    <row r="561" spans="8:8" x14ac:dyDescent="0.25">
      <c r="H561" s="73"/>
    </row>
    <row r="562" spans="8:8" x14ac:dyDescent="0.25">
      <c r="H562" s="73"/>
    </row>
    <row r="563" spans="8:8" x14ac:dyDescent="0.25">
      <c r="H563" s="73"/>
    </row>
    <row r="564" spans="8:8" x14ac:dyDescent="0.25">
      <c r="H564" s="73"/>
    </row>
    <row r="565" spans="8:8" x14ac:dyDescent="0.25">
      <c r="H565" s="73"/>
    </row>
    <row r="566" spans="8:8" x14ac:dyDescent="0.25">
      <c r="H566" s="73"/>
    </row>
    <row r="567" spans="8:8" x14ac:dyDescent="0.25">
      <c r="H567" s="73"/>
    </row>
    <row r="568" spans="8:8" x14ac:dyDescent="0.25">
      <c r="H568" s="73"/>
    </row>
    <row r="569" spans="8:8" x14ac:dyDescent="0.25">
      <c r="H569" s="73"/>
    </row>
    <row r="570" spans="8:8" x14ac:dyDescent="0.25">
      <c r="H570" s="73"/>
    </row>
    <row r="571" spans="8:8" x14ac:dyDescent="0.25">
      <c r="H571" s="73"/>
    </row>
    <row r="572" spans="8:8" x14ac:dyDescent="0.25">
      <c r="H572" s="73"/>
    </row>
    <row r="573" spans="8:8" x14ac:dyDescent="0.25">
      <c r="H573" s="73"/>
    </row>
    <row r="574" spans="8:8" x14ac:dyDescent="0.25">
      <c r="H574" s="73"/>
    </row>
    <row r="575" spans="8:8" x14ac:dyDescent="0.25">
      <c r="H575" s="73"/>
    </row>
    <row r="576" spans="8:8" x14ac:dyDescent="0.25">
      <c r="H576" s="73"/>
    </row>
    <row r="577" spans="8:8" x14ac:dyDescent="0.25">
      <c r="H577" s="73"/>
    </row>
    <row r="578" spans="8:8" x14ac:dyDescent="0.25">
      <c r="H578" s="73"/>
    </row>
    <row r="579" spans="8:8" x14ac:dyDescent="0.25">
      <c r="H579" s="73"/>
    </row>
    <row r="580" spans="8:8" x14ac:dyDescent="0.25">
      <c r="H580" s="73"/>
    </row>
    <row r="581" spans="8:8" x14ac:dyDescent="0.25">
      <c r="H581" s="73"/>
    </row>
    <row r="582" spans="8:8" x14ac:dyDescent="0.25">
      <c r="H582" s="73"/>
    </row>
    <row r="583" spans="8:8" x14ac:dyDescent="0.25">
      <c r="H583" s="73"/>
    </row>
    <row r="584" spans="8:8" x14ac:dyDescent="0.25">
      <c r="H584" s="73"/>
    </row>
    <row r="585" spans="8:8" x14ac:dyDescent="0.25">
      <c r="H585" s="73"/>
    </row>
    <row r="586" spans="8:8" x14ac:dyDescent="0.25">
      <c r="H586" s="73"/>
    </row>
    <row r="587" spans="8:8" x14ac:dyDescent="0.25">
      <c r="H587" s="73"/>
    </row>
    <row r="588" spans="8:8" x14ac:dyDescent="0.25">
      <c r="H588" s="73"/>
    </row>
    <row r="589" spans="8:8" x14ac:dyDescent="0.25">
      <c r="H589" s="73"/>
    </row>
    <row r="590" spans="8:8" x14ac:dyDescent="0.25">
      <c r="H590" s="73"/>
    </row>
    <row r="591" spans="8:8" x14ac:dyDescent="0.25">
      <c r="H591" s="73"/>
    </row>
    <row r="592" spans="8:8" x14ac:dyDescent="0.25">
      <c r="H592" s="73"/>
    </row>
    <row r="593" spans="8:8" x14ac:dyDescent="0.25">
      <c r="H593" s="73"/>
    </row>
    <row r="594" spans="8:8" x14ac:dyDescent="0.25">
      <c r="H594" s="73"/>
    </row>
    <row r="595" spans="8:8" x14ac:dyDescent="0.25">
      <c r="H595" s="73"/>
    </row>
    <row r="596" spans="8:8" x14ac:dyDescent="0.25">
      <c r="H596" s="73"/>
    </row>
    <row r="597" spans="8:8" x14ac:dyDescent="0.25">
      <c r="H597" s="73"/>
    </row>
    <row r="598" spans="8:8" x14ac:dyDescent="0.25">
      <c r="H598" s="73"/>
    </row>
    <row r="599" spans="8:8" x14ac:dyDescent="0.25">
      <c r="H599" s="73"/>
    </row>
    <row r="600" spans="8:8" x14ac:dyDescent="0.25">
      <c r="H600" s="73"/>
    </row>
    <row r="601" spans="8:8" x14ac:dyDescent="0.25">
      <c r="H601" s="73"/>
    </row>
    <row r="602" spans="8:8" x14ac:dyDescent="0.25">
      <c r="H602" s="73"/>
    </row>
    <row r="603" spans="8:8" x14ac:dyDescent="0.25">
      <c r="H603" s="73"/>
    </row>
    <row r="604" spans="8:8" x14ac:dyDescent="0.25">
      <c r="H604" s="73"/>
    </row>
    <row r="605" spans="8:8" x14ac:dyDescent="0.25">
      <c r="H605" s="73"/>
    </row>
    <row r="606" spans="8:8" x14ac:dyDescent="0.25">
      <c r="H606" s="73"/>
    </row>
    <row r="607" spans="8:8" x14ac:dyDescent="0.25">
      <c r="H607" s="73"/>
    </row>
    <row r="608" spans="8:8" x14ac:dyDescent="0.25">
      <c r="H608" s="73"/>
    </row>
    <row r="609" spans="8:8" x14ac:dyDescent="0.25">
      <c r="H609" s="73"/>
    </row>
    <row r="610" spans="8:8" x14ac:dyDescent="0.25">
      <c r="H610" s="73"/>
    </row>
    <row r="611" spans="8:8" x14ac:dyDescent="0.25">
      <c r="H611" s="73"/>
    </row>
    <row r="612" spans="8:8" x14ac:dyDescent="0.25">
      <c r="H612" s="73"/>
    </row>
    <row r="613" spans="8:8" x14ac:dyDescent="0.25">
      <c r="H613" s="73"/>
    </row>
    <row r="614" spans="8:8" x14ac:dyDescent="0.25">
      <c r="H614" s="73"/>
    </row>
    <row r="615" spans="8:8" x14ac:dyDescent="0.25">
      <c r="H615" s="73"/>
    </row>
    <row r="616" spans="8:8" x14ac:dyDescent="0.25">
      <c r="H616" s="73"/>
    </row>
    <row r="617" spans="8:8" x14ac:dyDescent="0.25">
      <c r="H617" s="73"/>
    </row>
    <row r="618" spans="8:8" x14ac:dyDescent="0.25">
      <c r="H618" s="73"/>
    </row>
    <row r="619" spans="8:8" x14ac:dyDescent="0.25">
      <c r="H619" s="73"/>
    </row>
    <row r="620" spans="8:8" x14ac:dyDescent="0.25">
      <c r="H620" s="73"/>
    </row>
    <row r="621" spans="8:8" x14ac:dyDescent="0.25">
      <c r="H621" s="73"/>
    </row>
    <row r="622" spans="8:8" x14ac:dyDescent="0.25">
      <c r="H622" s="73"/>
    </row>
    <row r="623" spans="8:8" x14ac:dyDescent="0.25">
      <c r="H623" s="73"/>
    </row>
    <row r="624" spans="8:8" x14ac:dyDescent="0.25">
      <c r="H624" s="73"/>
    </row>
    <row r="625" spans="8:8" x14ac:dyDescent="0.25">
      <c r="H625" s="73"/>
    </row>
    <row r="626" spans="8:8" x14ac:dyDescent="0.25">
      <c r="H626" s="73"/>
    </row>
    <row r="627" spans="8:8" x14ac:dyDescent="0.25">
      <c r="H627" s="73"/>
    </row>
    <row r="628" spans="8:8" x14ac:dyDescent="0.25">
      <c r="H628" s="73"/>
    </row>
    <row r="629" spans="8:8" x14ac:dyDescent="0.25">
      <c r="H629" s="73"/>
    </row>
    <row r="630" spans="8:8" x14ac:dyDescent="0.25">
      <c r="H630" s="73"/>
    </row>
    <row r="631" spans="8:8" x14ac:dyDescent="0.25">
      <c r="H631" s="73"/>
    </row>
    <row r="632" spans="8:8" x14ac:dyDescent="0.25">
      <c r="H632" s="73"/>
    </row>
    <row r="633" spans="8:8" x14ac:dyDescent="0.25">
      <c r="H633" s="73"/>
    </row>
    <row r="634" spans="8:8" x14ac:dyDescent="0.25">
      <c r="H634" s="73"/>
    </row>
    <row r="635" spans="8:8" x14ac:dyDescent="0.25">
      <c r="H635" s="73"/>
    </row>
    <row r="636" spans="8:8" x14ac:dyDescent="0.25">
      <c r="H636" s="73"/>
    </row>
    <row r="637" spans="8:8" x14ac:dyDescent="0.25">
      <c r="H637" s="73"/>
    </row>
    <row r="638" spans="8:8" x14ac:dyDescent="0.25">
      <c r="H638" s="73"/>
    </row>
    <row r="639" spans="8:8" x14ac:dyDescent="0.25">
      <c r="H639" s="73"/>
    </row>
    <row r="640" spans="8:8" x14ac:dyDescent="0.25">
      <c r="H640" s="73"/>
    </row>
    <row r="641" spans="8:8" x14ac:dyDescent="0.25">
      <c r="H641" s="73"/>
    </row>
    <row r="642" spans="8:8" x14ac:dyDescent="0.25">
      <c r="H642" s="73"/>
    </row>
    <row r="643" spans="8:8" x14ac:dyDescent="0.25">
      <c r="H643" s="73"/>
    </row>
  </sheetData>
  <autoFilter ref="A2:BT421" xr:uid="{CD788A0E-179B-45C5-AE3C-228FB52621E4}">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xmlns:xlrd2="http://schemas.microsoft.com/office/spreadsheetml/2017/richdata2" ref="A56:BT421">
      <sortCondition ref="F2:F421"/>
    </sortState>
  </autoFilter>
  <phoneticPr fontId="12" type="noConversion"/>
  <conditionalFormatting sqref="A3:A5">
    <cfRule type="duplicateValues" dxfId="86" priority="140"/>
  </conditionalFormatting>
  <conditionalFormatting sqref="AJ3:AJ5">
    <cfRule type="duplicateValues" dxfId="85" priority="139"/>
  </conditionalFormatting>
  <conditionalFormatting sqref="A3:A5">
    <cfRule type="duplicateValues" dxfId="84" priority="141"/>
  </conditionalFormatting>
  <conditionalFormatting sqref="AJ3:AJ5">
    <cfRule type="duplicateValues" dxfId="83" priority="144"/>
  </conditionalFormatting>
  <conditionalFormatting sqref="A6:A25">
    <cfRule type="duplicateValues" dxfId="82" priority="133"/>
  </conditionalFormatting>
  <conditionalFormatting sqref="AJ6:AJ25">
    <cfRule type="duplicateValues" dxfId="81" priority="132"/>
  </conditionalFormatting>
  <conditionalFormatting sqref="A6:A25">
    <cfRule type="duplicateValues" dxfId="80" priority="134"/>
  </conditionalFormatting>
  <conditionalFormatting sqref="AJ6:AJ25">
    <cfRule type="duplicateValues" dxfId="79" priority="137"/>
  </conditionalFormatting>
  <conditionalFormatting sqref="A26:A31 A34:A40">
    <cfRule type="duplicateValues" dxfId="78" priority="126"/>
  </conditionalFormatting>
  <conditionalFormatting sqref="AJ34:AJ40 AJ26:AJ31">
    <cfRule type="duplicateValues" dxfId="77" priority="125"/>
  </conditionalFormatting>
  <conditionalFormatting sqref="A26:A40">
    <cfRule type="duplicateValues" dxfId="76" priority="127"/>
  </conditionalFormatting>
  <conditionalFormatting sqref="A26:A40">
    <cfRule type="duplicateValues" dxfId="75" priority="128"/>
  </conditionalFormatting>
  <conditionalFormatting sqref="A31">
    <cfRule type="duplicateValues" dxfId="74" priority="129"/>
  </conditionalFormatting>
  <conditionalFormatting sqref="AJ26:AJ40">
    <cfRule type="duplicateValues" dxfId="73" priority="130"/>
  </conditionalFormatting>
  <conditionalFormatting sqref="AJ26:AJ40">
    <cfRule type="duplicateValues" dxfId="72" priority="131"/>
  </conditionalFormatting>
  <conditionalFormatting sqref="A32:A33">
    <cfRule type="duplicateValues" dxfId="71" priority="124"/>
  </conditionalFormatting>
  <conditionalFormatting sqref="AJ32:AJ33">
    <cfRule type="duplicateValues" dxfId="70" priority="123"/>
  </conditionalFormatting>
  <conditionalFormatting sqref="A41:A54">
    <cfRule type="duplicateValues" dxfId="69" priority="117"/>
  </conditionalFormatting>
  <conditionalFormatting sqref="AJ41:AJ54">
    <cfRule type="duplicateValues" dxfId="68" priority="116"/>
  </conditionalFormatting>
  <conditionalFormatting sqref="A41:A54">
    <cfRule type="duplicateValues" dxfId="67" priority="118"/>
  </conditionalFormatting>
  <conditionalFormatting sqref="A44">
    <cfRule type="duplicateValues" dxfId="66" priority="119"/>
  </conditionalFormatting>
  <conditionalFormatting sqref="AJ41:AJ54">
    <cfRule type="duplicateValues" dxfId="65" priority="121"/>
  </conditionalFormatting>
  <conditionalFormatting sqref="A55">
    <cfRule type="duplicateValues" dxfId="64" priority="110"/>
  </conditionalFormatting>
  <conditionalFormatting sqref="AJ55">
    <cfRule type="duplicateValues" dxfId="63" priority="109"/>
  </conditionalFormatting>
  <conditionalFormatting sqref="A55">
    <cfRule type="duplicateValues" dxfId="62" priority="111"/>
  </conditionalFormatting>
  <conditionalFormatting sqref="AJ55">
    <cfRule type="duplicateValues" dxfId="61" priority="114"/>
  </conditionalFormatting>
  <conditionalFormatting sqref="AJ97:AJ223 AJ226:AJ236">
    <cfRule type="duplicateValues" dxfId="60" priority="90"/>
  </conditionalFormatting>
  <conditionalFormatting sqref="AJ97:AJ223 AJ226:AJ236">
    <cfRule type="duplicateValues" dxfId="59" priority="95"/>
  </conditionalFormatting>
  <conditionalFormatting sqref="A233:A236">
    <cfRule type="duplicateValues" dxfId="58" priority="147"/>
  </conditionalFormatting>
  <conditionalFormatting sqref="A233:A236">
    <cfRule type="duplicateValues" dxfId="57" priority="151"/>
  </conditionalFormatting>
  <conditionalFormatting sqref="A56:A85 A88:A183">
    <cfRule type="duplicateValues" dxfId="56" priority="41"/>
  </conditionalFormatting>
  <conditionalFormatting sqref="A56:A85 A88:A183">
    <cfRule type="duplicateValues" dxfId="55" priority="42"/>
  </conditionalFormatting>
  <conditionalFormatting sqref="A184:A220 A226:A232">
    <cfRule type="duplicateValues" dxfId="54" priority="39"/>
  </conditionalFormatting>
  <conditionalFormatting sqref="A184:A220 A226:A232">
    <cfRule type="duplicateValues" dxfId="53" priority="40"/>
  </conditionalFormatting>
  <conditionalFormatting sqref="A237:A274 A277:A288 A291:A402">
    <cfRule type="duplicateValues" dxfId="52" priority="37"/>
  </conditionalFormatting>
  <conditionalFormatting sqref="A237:A274 A277:A288 A291:A402">
    <cfRule type="duplicateValues" dxfId="51" priority="38"/>
  </conditionalFormatting>
  <conditionalFormatting sqref="AJ56:AJ63 AJ84 AJ65:AJ82 AJ88:AJ91">
    <cfRule type="duplicateValues" dxfId="50" priority="35"/>
  </conditionalFormatting>
  <conditionalFormatting sqref="AJ56:AJ63 AJ84 AJ65:AJ82 AJ88:AJ91">
    <cfRule type="duplicateValues" dxfId="49" priority="36"/>
  </conditionalFormatting>
  <conditionalFormatting sqref="AJ237:AJ274 AJ277:AJ402">
    <cfRule type="duplicateValues" dxfId="48" priority="33"/>
  </conditionalFormatting>
  <conditionalFormatting sqref="AJ237:AJ274 AJ277:AJ402">
    <cfRule type="duplicateValues" dxfId="47" priority="34"/>
  </conditionalFormatting>
  <conditionalFormatting sqref="A221:A223">
    <cfRule type="duplicateValues" dxfId="46" priority="31"/>
  </conditionalFormatting>
  <conditionalFormatting sqref="A221:A223">
    <cfRule type="duplicateValues" dxfId="45" priority="32"/>
  </conditionalFormatting>
  <conditionalFormatting sqref="AJ92:AJ96">
    <cfRule type="duplicateValues" dxfId="44" priority="29"/>
  </conditionalFormatting>
  <conditionalFormatting sqref="AJ92:AJ96">
    <cfRule type="duplicateValues" dxfId="43" priority="30"/>
  </conditionalFormatting>
  <conditionalFormatting sqref="A289:A290">
    <cfRule type="duplicateValues" dxfId="42" priority="21"/>
  </conditionalFormatting>
  <conditionalFormatting sqref="A289:A290">
    <cfRule type="duplicateValues" dxfId="41" priority="22"/>
  </conditionalFormatting>
  <conditionalFormatting sqref="AJ83">
    <cfRule type="duplicateValues" dxfId="40" priority="18"/>
  </conditionalFormatting>
  <conditionalFormatting sqref="AJ83">
    <cfRule type="duplicateValues" dxfId="39" priority="19"/>
  </conditionalFormatting>
  <conditionalFormatting sqref="AJ64">
    <cfRule type="duplicateValues" dxfId="38" priority="15"/>
  </conditionalFormatting>
  <conditionalFormatting sqref="AJ64">
    <cfRule type="duplicateValues" dxfId="37" priority="16"/>
  </conditionalFormatting>
  <conditionalFormatting sqref="AJ85">
    <cfRule type="duplicateValues" dxfId="36" priority="12"/>
  </conditionalFormatting>
  <conditionalFormatting sqref="AJ85">
    <cfRule type="duplicateValues" dxfId="35" priority="13"/>
  </conditionalFormatting>
  <conditionalFormatting sqref="A86:A87">
    <cfRule type="duplicateValues" dxfId="34" priority="4"/>
  </conditionalFormatting>
  <conditionalFormatting sqref="A86:A87">
    <cfRule type="duplicateValues" dxfId="33" priority="5"/>
  </conditionalFormatting>
  <conditionalFormatting sqref="AJ86:AJ87">
    <cfRule type="duplicateValues" dxfId="32" priority="1"/>
  </conditionalFormatting>
  <conditionalFormatting sqref="AJ86:AJ87">
    <cfRule type="duplicateValues" dxfId="31" priority="2"/>
  </conditionalFormatting>
  <hyperlinks>
    <hyperlink ref="AQ94" r:id="rId1" xr:uid="{44C65C8F-E4CF-429E-B0A8-239419CF042A}"/>
    <hyperlink ref="AQ216" r:id="rId2" display="http://www/edrs/pr/DisplayPR.asp?idEDR=1047624" xr:uid="{6CAA74F3-9988-4CF4-AABD-88C374E00455}"/>
    <hyperlink ref="AQ210" r:id="rId3" display="http://www/edrs/pr/DisplayPR.asp?idEDR=1047622" xr:uid="{25223E44-F1FF-4F1E-8741-32CCEFDB5C0B}"/>
    <hyperlink ref="AQ204" r:id="rId4" display="http://www/edrs/pr/DisplayPR.asp?idEDR=1047618" xr:uid="{62AE9E96-2887-41A3-8461-C7BE42F4429D}"/>
    <hyperlink ref="AQ95" r:id="rId5" xr:uid="{FC3F25B4-8468-4F86-856A-16828D4CFEFB}"/>
    <hyperlink ref="AQ96" r:id="rId6" xr:uid="{BE1A9F03-9328-4AEB-8EB7-FE4A08A29EDD}"/>
    <hyperlink ref="AQ122" r:id="rId7" display="http://www/edrs/pr/DisplayPR.asp?idEDR=1192419" xr:uid="{002DCE0F-82E6-4A01-9429-C247812CB7D6}"/>
    <hyperlink ref="AP122" r:id="rId8" display="http://www/edrs/pr/DisplayPR.asp?idEDR=1192237" xr:uid="{DB567708-86E5-459A-89BF-6623EBB39004}"/>
    <hyperlink ref="AQ128" r:id="rId9" display="http://www/edrs/pr/DisplayPR.asp?idEDR=1194274" xr:uid="{D81F0171-1BE5-49B4-93F2-0E98681A654B}"/>
    <hyperlink ref="AQ142" r:id="rId10" display="http://www/edrs/pr/DisplayPR.asp?idEDR=1194328" xr:uid="{1B402FDC-8873-4707-8CBD-A736D2B80786}"/>
    <hyperlink ref="AP142" r:id="rId11" display="http://www/edrs/pr/DisplayPR.asp?idEDR=1194327" xr:uid="{2C77D1F7-040C-4A9F-91AD-B2BDD5897889}"/>
    <hyperlink ref="AQ221" r:id="rId12" display="http://www/edrs/pr/DisplayPR.asp?idEDR=1031304" xr:uid="{651D2487-9D47-4474-A0AC-AD5052C06756}"/>
    <hyperlink ref="AQ226" r:id="rId13" display="http://www/edrs/pr/DisplayPR.asp?idEDR=996628" xr:uid="{EB43D2BA-9D39-49C6-85C5-F194A70E44F8}"/>
    <hyperlink ref="AQ227" r:id="rId14" display="http://www/edrs/pr/DisplayPR.asp?idEDR=1078797" xr:uid="{EFCA8933-B3CB-4F4C-B0CA-8075687ED2F1}"/>
    <hyperlink ref="AQ74" r:id="rId15" display="http://www/edrs/pr/DisplayPRRef.asp?idEDR=1033800&amp;refDoc=2019-35897" xr:uid="{997A715B-BF85-42F7-A6A3-0150E469C7CB}"/>
    <hyperlink ref="AU74" r:id="rId16" display="http://www/edrs/pr/DisplayPR.asp?idEDR=1094069" xr:uid="{884A809D-B51C-4E6A-A2D1-07452CC132FD}"/>
    <hyperlink ref="BE74" r:id="rId17" display="http://www/edrs/pr/DisplayPR.asp?idEDR=1110824" xr:uid="{1559A4BD-557F-46E3-A0EE-C90707A9F29F}"/>
    <hyperlink ref="BF74" r:id="rId18" display="http://www/edrs/pr/DisplayPR.asp?idEDR=1187441" xr:uid="{A5259268-6CB2-46FE-8C9A-F98213CF61CF}"/>
    <hyperlink ref="AQ82" r:id="rId19" display="http://www/edrs/pr/DisplayPR.asp?idEDR=1021522" xr:uid="{058A2B5C-55A5-496F-AAAE-C04BCB1B9226}"/>
    <hyperlink ref="AU82" r:id="rId20" display="http://www/edrs/pr/DisplayPR.asp?idEDR=1094074" xr:uid="{EEC2B07E-13EA-4AE4-A2DD-332DA4A0756F}"/>
    <hyperlink ref="BE82" r:id="rId21" display="http://www/edrs/pr/DisplayPR.asp?idEDR=1112318" xr:uid="{13B0A284-A676-4E93-9F3E-7523EDD7A128}"/>
    <hyperlink ref="BF82" r:id="rId22" display="http://www/edrs/pr/DisplayPR.asp?idEDR=1184485" xr:uid="{E7CD6F11-A031-494F-A65C-4A9845DF8EDF}"/>
    <hyperlink ref="AQ75" r:id="rId23" display="http://www/edrs/pr/DisplayPRRef.asp?idEDR=1041711&amp;refDoc=2019-35903" xr:uid="{204C828D-EAFD-4E62-8358-FEC7FFA71FFB}"/>
    <hyperlink ref="AU75" r:id="rId24" display="http://www/edrs/pr/DisplayPR.asp?idEDR=1094075" xr:uid="{2A7595E2-9271-4664-B633-25FDEDE4235C}"/>
    <hyperlink ref="BF75" r:id="rId25" display="http://www/edrs/pr/DisplayPR.asp?idEDR=1188367" xr:uid="{BBA4D936-ECA1-45A9-A40F-3228DAC5D8D3}"/>
    <hyperlink ref="BE75" r:id="rId26" display="http://www/edrs/pr/DisplayPR.asp?idEDR=1123751" xr:uid="{339B6F10-98FF-4F05-8C54-08D8CF063F7B}"/>
    <hyperlink ref="AQ60" r:id="rId27" display="http://www.utility.pge.com/edrs/pr/DisplayPRRef.asp?idEDR=1043411&amp;refDoc=2019-32239" xr:uid="{58AF205C-84B8-4240-8885-CB90F3769B27}"/>
    <hyperlink ref="BE60" r:id="rId28" display="http://www/edrs/pr/DisplayPR.asp?idEDR=1144534" xr:uid="{1AD4F967-4EF1-4972-87CA-CC09DCAC99B0}"/>
    <hyperlink ref="BF60" r:id="rId29" display="http://www/edrs/pr/DisplayPR.asp?idEDR=1171334" xr:uid="{8CA1EF92-3242-4997-9A8E-79467F2AEFDE}"/>
    <hyperlink ref="AU60" r:id="rId30" display="http://www/edrs/pr/DisplayPR.asp?idEDR=1134517" xr:uid="{9D9040C6-B24C-4E65-B7DF-CF4BFF17C7B6}"/>
    <hyperlink ref="BE62" r:id="rId31" display="http://www/edrs/pr/DisplayPR.asp?idEDR=1147261" xr:uid="{E02ECAFD-A501-430A-BE43-3A87DD47F0B7}"/>
    <hyperlink ref="BF62" r:id="rId32" display="http://www/edrs/pr/DisplayPR.asp?idEDR=1187485" xr:uid="{12C7E0E8-4709-4A03-A264-2CDD60C8C81E}"/>
    <hyperlink ref="BP62" r:id="rId33" display="http://www/edrs/pr/DisplayPR.asp?idEDR=1145145" xr:uid="{87DB62FA-C565-445B-BCB0-9EDEA64CADAB}"/>
    <hyperlink ref="AQ62" r:id="rId34" display="http://www/edrs/pr/DisplayPR.asp?idEDR=1043422" xr:uid="{2B9716A0-6808-473C-9AA4-3F9C6A23068B}"/>
    <hyperlink ref="AU62" r:id="rId35" display="http://www/edrs/pr/DisplayPR.asp?idEDR=1134520" xr:uid="{C1D9DC73-C2A8-4064-A59A-8FA055B56F71}"/>
    <hyperlink ref="AQ59" r:id="rId36" display="http://www/edrs/pr/DisplayPR.asp?idEDR=1008603" xr:uid="{049F2A46-7558-44BD-8BA4-2132C2EF8F21}"/>
    <hyperlink ref="BE59" r:id="rId37" display="http://www/edrs/pr/DisplayPR.asp?idEDR=1121120" xr:uid="{2A89F5EB-0592-4E96-81C6-354C9236B418}"/>
    <hyperlink ref="BF59" r:id="rId38" display="http://www/edrs/pr/DisplayPR.asp?idEDR=1176943" xr:uid="{DFC42E4D-7033-475F-B424-B60AB5386B78}"/>
    <hyperlink ref="AQ67" r:id="rId39" display="http://www/edrs/pr/DisplayPRRef.asp?idEDR=1008116&amp;refDoc=2019-35977" xr:uid="{C48BC71F-74EF-4513-84D3-153797112926}"/>
    <hyperlink ref="BF67" r:id="rId40" display="http://www/edrs/pr/DisplayPR.asp?idEDR=1180011" xr:uid="{9782ED99-8675-4E07-AD35-ABB0834FE08A}"/>
    <hyperlink ref="BE67" r:id="rId41" display="http://www/edrs/pr/DisplayPR.asp?idEDR=1161218" xr:uid="{5AABF42F-CC57-4B1C-8072-D0A6EE304C1A}"/>
    <hyperlink ref="AQ68" r:id="rId42" display="http://www/edrs/pr/DisplayPRRef.asp?idEDR=1013028&amp;refDoc=2019-35972" xr:uid="{1871F197-4AFE-405A-BEC8-AA833F2F0AF3}"/>
    <hyperlink ref="AU68" r:id="rId43" display="http://www/edrs/pr/DisplayPR.asp?idEDR=1094144" xr:uid="{C4BC81E6-AC94-4E6C-A554-4E368565A5F4}"/>
    <hyperlink ref="BE68" r:id="rId44" display="http://www/edrs/pr/DisplayPR.asp?idEDR=1131379" xr:uid="{7F9928A0-AA92-45A1-B796-4D486CEB5087}"/>
    <hyperlink ref="BF68" r:id="rId45" display="http://www/edrs/pr/DisplayPR.asp?idEDR=1184309" xr:uid="{E99B1C39-0594-44F4-9E0A-E96F85FA1AA5}"/>
    <hyperlink ref="AQ79" r:id="rId46" display="http://www/edrs/pr/DisplayPRRef.asp?idEDR=1022911&amp;refDoc=2020-02712" xr:uid="{9E0087BB-CB30-44AB-B33F-39066FB79359}"/>
    <hyperlink ref="BE79" r:id="rId47" display="http://www/edrs/pr/DisplayPR.asp?idEDR=1140525" xr:uid="{A80A3D6E-45B7-412E-BD69-A597245DA9BA}"/>
    <hyperlink ref="BF79" r:id="rId48" display="http://www/edrs/pr/DisplayPR.asp?idEDR=1174932" xr:uid="{FC5826B7-9578-412C-81ED-4221B02F9C8C}"/>
    <hyperlink ref="AQ71" r:id="rId49" display="http://www/edrs/pr/DisplayPRRef.asp?idEDR=1033800&amp;refDoc=2019-35897" xr:uid="{85D8C98C-A7FE-4C64-BCAA-1B2DDBE6205E}"/>
    <hyperlink ref="AU71" r:id="rId50" display="http://www/edrs/pr/DisplayPR.asp?idEDR=1094069" xr:uid="{A1D1411E-5E7B-49ED-BD77-A1C66E3825B0}"/>
    <hyperlink ref="BF71" r:id="rId51" display="http://www/edrs/pr/DisplayPR.asp?idEDR=1181065" xr:uid="{E076F8F7-D233-4B6B-810E-CA51EAD76B69}"/>
    <hyperlink ref="BE71" r:id="rId52" display="http://www/edrs/pr/DisplayPR.asp?idEDR=1137663" xr:uid="{A6E16D72-71A5-43E6-A758-2A123A92963D}"/>
    <hyperlink ref="AQ73" r:id="rId53" display="http://www/edrs/pr/DisplayPRRef.asp?idEDR=1033800&amp;refDoc=2019-35897" xr:uid="{ED2A9B6D-BAB2-4700-9FDF-E09011A4E119}"/>
    <hyperlink ref="AU73" r:id="rId54" display="http://www/edrs/pr/DisplayPR.asp?idEDR=1094069" xr:uid="{73C39EDE-A458-4855-9B97-1E4E24364336}"/>
    <hyperlink ref="BF73" r:id="rId55" display="http://www/edrs/pr/DisplayPR.asp?idEDR=1167933" xr:uid="{B4F0B0E9-1D19-46BB-87E0-FB76FAD2EFA3}"/>
    <hyperlink ref="BE73" r:id="rId56" display="http://www/edrs/pr/DisplayPR.asp?idEDR=1196870" xr:uid="{B23F08E4-20B9-4CF1-997B-F33B5E880FCE}"/>
    <hyperlink ref="AQ70" r:id="rId57" display="http://www/edrs/pr/DisplayPRRef.asp?idEDR=1041711&amp;refDoc=2019-35903" xr:uid="{DB50DECF-039E-4112-89C1-EF9035FB0C1B}"/>
    <hyperlink ref="AU70" r:id="rId58" display="http://www/edrs/pr/DisplayPR.asp?idEDR=1094075" xr:uid="{6A368B89-7BE8-4F67-82A2-BB3779767BA3}"/>
    <hyperlink ref="BE70" r:id="rId59" display="http://www/edrs/pr/DisplayPR.asp?idEDR=1111470" xr:uid="{DB94F678-F953-48F8-9011-CD23D5D2A2A6}"/>
    <hyperlink ref="BF70" r:id="rId60" xr:uid="{8BD1A8CB-E2AD-49C3-B33F-1A80D00B52EC}"/>
    <hyperlink ref="AQ72" r:id="rId61" display="http://www/edrs/pr/DisplayPRRef.asp?idEDR=1041711&amp;refDoc=2019-35903" xr:uid="{3142EBF5-0699-4A35-9CD1-3CF73AF5E82A}"/>
    <hyperlink ref="AU72" r:id="rId62" display="http://www/edrs/pr/DisplayPR.asp?idEDR=1094075" xr:uid="{E4E7B029-3C81-4083-B788-A701E209CF18}"/>
    <hyperlink ref="BE72" r:id="rId63" display="http://www/edrs/pr/DisplayPR.asp?idEDR=1126922" xr:uid="{6B043A79-F4A0-4B67-B2B8-E16F56A199C8}"/>
    <hyperlink ref="BF72" r:id="rId64" display="http://www/edrs/pr/DisplayPR.asp?idEDR=1175217" xr:uid="{5AF1CA80-70DA-4D6D-B9BF-2888FEE88911}"/>
    <hyperlink ref="AQ63" r:id="rId65" display="http://www.utility.pge.com/edrs/pr/DisplayPRRef.asp?idEDR=1043422&amp;refDoc=2019-32244" xr:uid="{BEAD89C9-36EC-44B7-B323-29525F13C7DE}"/>
    <hyperlink ref="BF63" r:id="rId66" display="http://www/edrs/pr/DisplayPR.asp?idEDR=1187038" xr:uid="{52B361BC-4AD9-4526-9A39-A7F15B932339}"/>
    <hyperlink ref="BE63" r:id="rId67" display="http://www/edrs/pr/DisplayPR.asp?idEDR=1164021" xr:uid="{EC5D12AD-F0D3-4A77-88B8-A361DC4016F7}"/>
    <hyperlink ref="BP63" r:id="rId68" display="http://www/edrs/pr/DisplayPR.asp?idEDR=1179223" xr:uid="{A47D8C4F-6EC4-44F3-8510-15F1CA4C6B72}"/>
    <hyperlink ref="AU63" r:id="rId69" display="http://www/edrs/pr/DisplayPR.asp?idEDR=1134520" xr:uid="{58BE73D7-10CC-4D61-AF62-7B7BD45C2E94}"/>
    <hyperlink ref="AQ65" r:id="rId70" display="http://www/edrs/pr/DisplayPRRef.asp?idEDR=1017777&amp;refDoc=2019-35887" xr:uid="{E113536D-54AE-4ACF-8F40-113ADCD7C477}"/>
    <hyperlink ref="AU65" r:id="rId71" display="http://www/edrs/pr/DisplayPR.asp?idEDR=1094059" xr:uid="{A462002A-866B-4979-938F-849F07F7E3D3}"/>
    <hyperlink ref="BE65" r:id="rId72" display="http://www/edrs/pr/DisplayPR.asp?idEDR=1118390" xr:uid="{337DFDE6-2F06-41F2-8391-3130C9E1F2D7}"/>
    <hyperlink ref="BF65" r:id="rId73" display="http://www/edrs/pr/DisplayPR.asp?idEDR=1166218" xr:uid="{E3AA592E-BF69-483A-8856-96334109CB49}"/>
    <hyperlink ref="AQ66" r:id="rId74" display="http://www/edrs/pr/DisplayPRRef.asp?idEDR=1017777&amp;refDoc=2019-35887" xr:uid="{DA942AEB-C14E-4637-AE6E-DA1CB80537DC}"/>
    <hyperlink ref="AU66" r:id="rId75" display="http://www/edrs/pr/DisplayPR.asp?idEDR=1094059" xr:uid="{9B231DB9-B5B8-42B6-A85B-8B4824502537}"/>
    <hyperlink ref="BE66" r:id="rId76" display="http://www/edrs/pr/DisplayPR.asp?idEDR=1141486" xr:uid="{801A7BBD-BDEB-4734-A2E2-9771C72F46E4}"/>
    <hyperlink ref="BF66" r:id="rId77" display="http://www/edrs/pr/DisplayPR.asp?idEDR=1189105" xr:uid="{EEF3E9CF-9BD0-4DD5-BED6-362282B957AD}"/>
    <hyperlink ref="AQ76" r:id="rId78" display="http://www/edrs/pr/DisplayPR.asp?idEDR=1030037" xr:uid="{9435FBB5-2D5E-4EA5-A61F-524CB7D6DC2A}"/>
    <hyperlink ref="AU76" r:id="rId79" display="http://www/edrs/pr/DisplayPR.asp?idEDR=1094065" xr:uid="{2549723F-BA43-4F6F-B22B-E5E9DF52EF3F}"/>
    <hyperlink ref="BE76" r:id="rId80" display="http://www/edrs/pr/DisplayPR.asp?idEDR=1122485" xr:uid="{FE70B0DC-8FEF-41CD-917F-8A969437AF1A}"/>
    <hyperlink ref="BF76" r:id="rId81" display="http://www/edrs/pr/DisplayPR.asp?idEDR=1158910" xr:uid="{5CA2DF08-371B-4AC1-9820-E99850F7F6DA}"/>
    <hyperlink ref="AQ77" r:id="rId82" display="http://www/edrs/pr/DisplayPR.asp?idEDR=1030037" xr:uid="{79DD51B3-96D8-43A3-8671-EB553DF80EFE}"/>
    <hyperlink ref="AU77" r:id="rId83" display="http://www/edrs/pr/DisplayPR.asp?idEDR=1094065" xr:uid="{F758817E-E6BB-42DF-BCDF-C8DBCB289C39}"/>
    <hyperlink ref="BE77" r:id="rId84" display="http://www/edrs/pr/DisplayPR.asp?idEDR=1115949" xr:uid="{3B858519-2C01-4343-801D-4D4F967859F4}"/>
    <hyperlink ref="BF77" r:id="rId85" display="http://www/edrs/pr/DisplayPR.asp?idEDR=1184874" xr:uid="{5A939237-2252-4D78-B425-E96AC7B75E07}"/>
    <hyperlink ref="AQ80" r:id="rId86" display="http://www/edrs/pr/DisplayPRRef.asp?idEDR=1019313&amp;refDoc=2019-35889" xr:uid="{3C939937-5B94-4754-AC89-8645CB820653}"/>
    <hyperlink ref="AU80" r:id="rId87" display="http://www/edrs/pr/DisplayPR.asp?idEDR=1094061" xr:uid="{AEC3AD33-4FCD-421A-AEC5-3DD825574702}"/>
    <hyperlink ref="BE80" r:id="rId88" display="http://www/edrs/pr/DisplayPR.asp?idEDR=1152484" xr:uid="{B26A0A71-47F8-485C-BB3B-5ADB44192209}"/>
    <hyperlink ref="BF80" r:id="rId89" display="http://www/edrs/pr/DisplayPR.asp?idEDR=1175358" xr:uid="{DDFEF6DE-F7C0-4CC1-9A1E-FA75D29BFB00}"/>
    <hyperlink ref="AQ81" r:id="rId90" display="http://www/edrs/pr/DisplayPRRef.asp?idEDR=1019313&amp;refDoc=2019-35889" xr:uid="{0BF6B50F-F3BB-43FA-96DE-230A7AADEE1C}"/>
    <hyperlink ref="AU81" r:id="rId91" display="http://www/edrs/pr/DisplayPR.asp?idEDR=1094061" xr:uid="{8DC3D11C-36BE-4A24-B437-E216CADFC0A9}"/>
    <hyperlink ref="BE81" r:id="rId92" display="http://www/edrs/pr/DisplayPR.asp?idEDR=1115908" xr:uid="{A9AE451E-56D5-4B44-A97F-D0D54B225289}"/>
    <hyperlink ref="BF81" r:id="rId93" display="http://www/edrs/pr/DisplayPR.asp?idEDR=1168271" xr:uid="{2CB9D5F9-E0F3-42D1-9937-B0ED0293FEAB}"/>
    <hyperlink ref="AQ78" r:id="rId94" display="http://www/edrs/pr/DisplayPR.asp?idEDR=1014080" xr:uid="{F926F2C4-6CBA-46FA-82F6-7EFBF0D43D3C}"/>
    <hyperlink ref="AU78" r:id="rId95" display="http://www/edrs/pr/DisplayPR.asp?idEDR=1094072" xr:uid="{5E531AF3-4FC7-4755-9EF2-15736DD73A8D}"/>
    <hyperlink ref="BF78" r:id="rId96" display="http://www.utility.pge.com/edrs/pr/DisplayPR.asp?idEDR=1159014" xr:uid="{770559F4-9798-4B29-8011-A4AFBC129DB8}"/>
    <hyperlink ref="BE78" r:id="rId97" display="http://www/edrs/pr/DisplayPR.asp?idEDR=1186446" xr:uid="{D43BDC0F-B586-4A8F-9556-4464427C8E9A}"/>
    <hyperlink ref="AQ61" r:id="rId98" display="http://www.utility.pge.com/edrs/pr/DisplayPR.asp?idEDR=1043446" xr:uid="{132B9528-D4AA-4AB6-89C9-2F042273B69F}"/>
    <hyperlink ref="BF61" r:id="rId99" display="http://www/edrs/pr/DisplayPR.asp?idEDR=1183544" xr:uid="{725E31DC-AFFC-42C4-A319-1A6AB8EB3B7E}"/>
    <hyperlink ref="BE61" r:id="rId100" display="http://www/edrs/pr/DisplayPR.asp?idEDR=1173147" xr:uid="{FE3B7F42-6CE8-471B-8A56-A2BF280BDF7C}"/>
    <hyperlink ref="AU61" r:id="rId101" display="http://www/edrs/pr/DisplayPR.asp?idEDR=1134525" xr:uid="{BA9B3489-8474-441F-94B4-B2DD8F500B75}"/>
    <hyperlink ref="AQ159" r:id="rId102" display="http://www/edrs/pr/DisplayPR.asp?idEDR=1201761" xr:uid="{1629EE9C-0E0E-467D-B8E3-FE6ED1DEB440}"/>
    <hyperlink ref="AP159" r:id="rId103" display="http://www/edrs/pr/DisplayPR.asp?idEDR=1201754" xr:uid="{526C020D-3829-45B1-B936-8CFF464899C3}"/>
    <hyperlink ref="AQ58" r:id="rId104" display="http://www/edrs/pr/DisplayPR.asp?idEDR=990049" xr:uid="{86A8D433-2DEF-47E3-B3D2-1F8CF6F76B9D}"/>
    <hyperlink ref="AU58" r:id="rId105" display="http://www.utility.pge.com/edrs/pr/DisplayPR.asp?idEDR=1011934" xr:uid="{8DC147A6-F609-4C8C-8114-21176AE2FF60}"/>
    <hyperlink ref="BE58" r:id="rId106" display="http://www/edrs/pr/DisplayPR.asp?idEDR=1136951" xr:uid="{B9628431-CAF9-4769-A419-C18EF48AF8F2}"/>
    <hyperlink ref="BF58" r:id="rId107" display="http://www/edrs/pr/DisplayPR.asp?idEDR=1164583" xr:uid="{4429F789-1BD6-4AAE-AE73-E7AAE7DEE1E1}"/>
    <hyperlink ref="BE57" r:id="rId108" xr:uid="{2682D049-0920-4986-B7FD-A154B8315F5F}"/>
    <hyperlink ref="BF57" r:id="rId109" xr:uid="{3300FFDB-D7CD-4D02-9DDA-BA1D4B3276E1}"/>
    <hyperlink ref="AQ89" r:id="rId110" display="http://www/edrs/pr/DisplayPR.asp?idEDR=1138775" xr:uid="{5BB74A5C-09E1-4EAE-8B32-59EFF163ED12}"/>
    <hyperlink ref="BE89" r:id="rId111" display="http://www/edrs/pr/DisplayPR.asp?idEDR=1183276" xr:uid="{98B2F5AE-28BB-4AD3-8D05-9093F94EE7AA}"/>
    <hyperlink ref="AQ93" r:id="rId112" display="http://www/edrs/pr/DisplayPR.asp?idEDR=1140553" xr:uid="{0A9360AA-DD67-4E6C-B331-E6121A76CB4B}"/>
    <hyperlink ref="BE93" r:id="rId113" display="http://www/edrs/pr/DisplayPR.asp?idEDR=1188875" xr:uid="{AD9B3F9E-B576-4AA0-A57A-5DAC85683915}"/>
    <hyperlink ref="AQ92" r:id="rId114" display="http://www/edrs/pr/DisplayPR.asp?idEDR=1140554" xr:uid="{64434086-461B-4BD1-B9A4-75C5974D5AFC}"/>
    <hyperlink ref="BE92" r:id="rId115" display="http://www/edrs/pr/DisplayPR.asp?idEDR=1191285" xr:uid="{476BA8CB-CB50-4B4F-9124-350119833ED1}"/>
    <hyperlink ref="BP92" r:id="rId116" display="http://www/edrs/pr/DisplayPR.asp?idEDR=1169286" xr:uid="{24996CC9-A029-4C69-838C-7EA1B4F3B968}"/>
    <hyperlink ref="AQ56" r:id="rId117" display="http://www/edrs/pr/DisplayPR.asp?idEDR=1013801" xr:uid="{1FB7973A-8276-4EF8-9683-4096687DBD77}"/>
    <hyperlink ref="BE56" r:id="rId118" display="http://www/edrs/pr/DisplayPR.asp?idEDR=1092916" xr:uid="{279B2EEC-3DCB-403C-A523-AC2E5EB41D4A}"/>
    <hyperlink ref="BF56" r:id="rId119" display="http://www/edrs/pr/DisplayPR.asp?idEDR=1060520" xr:uid="{44924FC1-ACF3-4E9F-952D-85A365C1156B}"/>
    <hyperlink ref="AU15" r:id="rId120" display="http://www/edrs/pr/DisplayPR.asp?idEDR=1097532" xr:uid="{3C10034C-7F30-44E7-9239-39C9CDE5193F}"/>
    <hyperlink ref="AQ97" r:id="rId121" display="http://www/edrs/pr/DisplayPR.asp?idEDR=1217520" xr:uid="{D5F31F45-8503-4CFE-A260-C49D3C4539C6}"/>
    <hyperlink ref="AP128" r:id="rId122" display="http://www/edrs/pr/DisplayPR.asp?idEDR=1193821" xr:uid="{95837B47-5740-4367-AF0B-86218FE89047}"/>
    <hyperlink ref="AP221" r:id="rId123" display="http://www/edrs/pr/DisplayPR.asp?idEDR=1028045" xr:uid="{493062E2-D5F6-48A3-B0D4-41ECBC807073}"/>
    <hyperlink ref="AQ117" r:id="rId124" display="http://www/edrs/pr/DisplayPR.asp?idEDR=1219400" xr:uid="{E504C203-B97D-49EC-891C-AC2786433179}"/>
    <hyperlink ref="AQ155" r:id="rId125" display="http://www/edrs/pr/DisplayPR.asp?idEDR=1218787" xr:uid="{05DBEE4A-4DD0-4C66-8FBC-9A6986A1A258}"/>
    <hyperlink ref="AQ154" r:id="rId126" display="http://www/edrs/pr/DisplayPR.asp?idEDR=1217420" xr:uid="{8F63465A-5EEB-4FB5-A215-D0F5DE786414}"/>
    <hyperlink ref="AP154" r:id="rId127" display="http://www/edrs/pr/DisplayPR.asp?idEDR=1217416" xr:uid="{40A8D9CC-D30D-465E-8499-5B2382955D05}"/>
    <hyperlink ref="AQ156" r:id="rId128" display="http://www/edrs/pr/DisplayPR.asp?idEDR=1206874" xr:uid="{B5BAF3C5-B863-4C88-9FD7-C66B7C5A36C5}"/>
    <hyperlink ref="AQ157" r:id="rId129" display="http://www/edrs/pr/DisplayPR.asp?idEDR=1210217" xr:uid="{FAA40680-9D89-4DD2-BFFA-78E87E2375FC}"/>
    <hyperlink ref="AQ183" r:id="rId130" display="http://www/edrs/pr/DisplayPR.asp?idEDR=1222407" xr:uid="{FEBC74E9-8998-4187-9BC2-E506CC513C64}"/>
    <hyperlink ref="AP183" r:id="rId131" display="http://www/edrs/pr/DisplayPR.asp?idEDR=1222400" xr:uid="{6CB613AE-F5B4-4681-82C4-228CB3B4D3C7}"/>
    <hyperlink ref="AQ172" r:id="rId132" display="http://www/edrs/pr/DisplayPR.asp?idEDR=1221762" xr:uid="{6B08CFB0-A9C9-4D59-84E9-1A510CEE215A}"/>
    <hyperlink ref="AP172" r:id="rId133" display="http://www/edrs/pr/DisplayPR.asp?idEDR=1221830" xr:uid="{9D5C4906-B384-4507-BF6C-3A59A3A09EED}"/>
    <hyperlink ref="AQ179" r:id="rId134" display="http://www/edrs/pr/DisplayPR.asp?idEDR=1222268" xr:uid="{27F08398-5EF1-4431-B4BD-72449CBA0D92}"/>
    <hyperlink ref="AP179" r:id="rId135" display="http://www/edrs/pr/DisplayPR.asp?idEDR=1222249" xr:uid="{D29C341F-BF87-42D1-8488-3E78DD0E0931}"/>
    <hyperlink ref="AQ166" r:id="rId136" display="http://www/edrs/pr/DisplayPR.asp?idEDR=1223382" xr:uid="{8493A6DD-9933-492B-8F81-276CBB150359}"/>
    <hyperlink ref="AP166" r:id="rId137" display="http://www/edrs/pr/DisplayPR.asp?idEDR=1222184" xr:uid="{D6BD2D4E-6D49-4F14-8FC0-E65FFBA6757B}"/>
    <hyperlink ref="AQ165" r:id="rId138" display="http://www/edrs/pr/DisplayPR.asp?idEDR=1222632" xr:uid="{E596A708-E43B-4E3E-A5A8-5388A507D02A}"/>
    <hyperlink ref="AP165" r:id="rId139" display="http://www/edrs/pr/DisplayPR.asp?idEDR=1222616" xr:uid="{3401E673-780B-49B1-8497-CABF1FF94253}"/>
    <hyperlink ref="AQ84" r:id="rId140" display="http://www/edrs/pr/DisplayPR.asp?idEDR=1027825" xr:uid="{1D0117E2-A060-4EA4-97A5-CC71BC3C45D1}"/>
    <hyperlink ref="BE84" r:id="rId141" display="http://www/edrs/pr/DisplayPR.asp?idEDR=1093543" xr:uid="{3774F369-4E26-4734-BEB7-C7A365EF4D7C}"/>
    <hyperlink ref="BF84" r:id="rId142" display="http://www/edrs/pr/DisplayPR.asp?idEDR=1092537" xr:uid="{4B6D08E1-89A5-4953-95F9-86DA0E31B9B5}"/>
    <hyperlink ref="AQ182" r:id="rId143" display="http://www/edrs/pr/DisplayPR.asp?idEDR=1224442" xr:uid="{73988311-384C-40C7-BC40-A83DBE943C70}"/>
    <hyperlink ref="AQ230" r:id="rId144" display="http://www/edrs/pr/DisplayPR.asp?idEDR=1225191" xr:uid="{7A373D56-5ACC-4AB7-9877-2D91DF53E1BF}"/>
    <hyperlink ref="AQ88" r:id="rId145" display="http://www/edrs/pr/DisplayPR.asp?idEDR=1000610" xr:uid="{A3A26031-2047-4AE4-B3A8-1F34A2EB287E}"/>
    <hyperlink ref="BE88" r:id="rId146" display="http://www/edrs/pr/DisplayPR.asp?idEDR=1187466" xr:uid="{4AB9C8FE-E078-47D1-866B-8041E550BCD1}"/>
    <hyperlink ref="BF88" r:id="rId147" display="http://www/edrs/pr/DisplayPR.asp?idEDR=1195550" xr:uid="{72715C83-B18F-41F1-817B-B9FCF7B0F31B}"/>
    <hyperlink ref="AQ90" r:id="rId148" display="http://www/edrs/pr/DisplayPRRef.asp?idEDR=1017777&amp;refDoc=2019-35887" xr:uid="{5D14D913-BA4C-4242-8EA5-C5B6BBF51061}"/>
    <hyperlink ref="AU90" r:id="rId149" display="http://www/edrs/pr/DisplayPR.asp?idEDR=1094059" xr:uid="{2A886D3D-A79E-4DEA-AC6F-8CA14AFC669D}"/>
    <hyperlink ref="BE90" r:id="rId150" display="http://www/edrs/pr/DisplayPR.asp?idEDR=1121855" xr:uid="{A4CE39C8-F505-4AB4-A5BE-A97432D88E47}"/>
    <hyperlink ref="BF90" r:id="rId151" display="http://www/edrs/pr/DisplayPR.asp?idEDR=1167934" xr:uid="{6F8CE184-F4DE-4068-9961-DC8717933CC2}"/>
    <hyperlink ref="AQ91" r:id="rId152" display="http://www/edrs/pr/DisplayPRRef.asp?idEDR=1010763&amp;refDoc=2019-35971" xr:uid="{23BBBF80-91AC-4825-9A4E-8E3DA1D6F692}"/>
    <hyperlink ref="AU91" r:id="rId153" display="http://www/edrs/pr/DisplayPR.asp?idEDR=1094143" xr:uid="{A4E73118-0735-4E7C-8215-F4AFF5C728DF}"/>
    <hyperlink ref="BE91" r:id="rId154" display="http://www/edrs/pr/DisplayPR.asp?idEDR=1183592" xr:uid="{FD4A0F99-9B3C-414B-9FA6-FD8BD41219FE}"/>
    <hyperlink ref="AQ162" r:id="rId155" display="http://www/edrs/pr/DisplayPR.asp?idEDR=1228414" xr:uid="{BCCCAC05-1F2D-404E-9F7F-BE16721D9456}"/>
    <hyperlink ref="AQ186" r:id="rId156" display="http://www/edrs/pr/DisplayPR.asp?idEDR=1228419" xr:uid="{128DC0D7-11F6-469F-8836-C0A4FBF961FB}"/>
    <hyperlink ref="AQ195" r:id="rId157" display="http://www/edrs/pr/DisplayPR.asp?idEDR=1228423" xr:uid="{37FEA7D2-B8C5-4F68-A22E-957A52F47387}"/>
    <hyperlink ref="AQ199" r:id="rId158" display="http://www/edrs/pr/DisplayPR.asp?idEDR=1228425" xr:uid="{76F88009-4ACC-4905-82B5-1F0912220C91}"/>
    <hyperlink ref="AQ203" r:id="rId159" display="http://www/edrs/pr/DisplayPR.asp?idEDR=1228427" xr:uid="{F31A40D4-A2D9-40C7-BBCF-19605F35BB6C}"/>
    <hyperlink ref="AQ323" r:id="rId160" display="http://www/edrs/pr/DisplayPR.asp?idEDR=1228877" xr:uid="{10DB479B-2E94-4616-BE86-F5E30C78B9EB}"/>
    <hyperlink ref="AQ335" r:id="rId161" display="http://www/edrs/pr/DisplayPR.asp?idEDR=1228956" xr:uid="{F04B0CFF-21D3-441F-BB80-847CF8048D95}"/>
    <hyperlink ref="AQ298" r:id="rId162" display="http://www/edrs/pr/DisplayPR.asp?idEDR=1228954" xr:uid="{1012B782-0C09-49BC-B9B8-47182A61CF8B}"/>
    <hyperlink ref="AQ321" r:id="rId163" display="http://www/edrs/pr/DisplayPR.asp?idEDR=1228955" xr:uid="{645C214F-886B-4F45-BAC6-1B86FEA630A5}"/>
    <hyperlink ref="AQ266" r:id="rId164" display="http://www/edrs/pr/DisplayPR.asp?idEDR=1228858" xr:uid="{A0512C13-7BA2-407A-9D65-57FF1B57442D}"/>
    <hyperlink ref="AQ246" r:id="rId165" display="http://www.utility.pge.com/edrs/default.asp?id=1228578" xr:uid="{E61D4EC2-3427-4A48-932A-B3BE1A0ADF03}"/>
    <hyperlink ref="AQ268" r:id="rId166" display="http://www.utility.pge.com/edrs/pr/DisplayPR.asp?idEDR=1228952" xr:uid="{2669BC49-5255-46AE-9E6E-0F251D04F556}"/>
    <hyperlink ref="AQ300" r:id="rId167" display="http://www/edrs/pr/DisplayPR.asp?idEDR=1229743" xr:uid="{B2355D6A-7048-43FE-B9C5-3F3CD0C64A94}"/>
    <hyperlink ref="AQ337" r:id="rId168" display="http://www/edrs/pr/DisplayPR.asp?idEDR=1229833" xr:uid="{B186C8C3-5307-4CD8-947D-6690B8A9841D}"/>
    <hyperlink ref="AQ322" r:id="rId169" display="http://www.utility.pge.com/edrs/pr/DisplayPR.asp?idEDR=1229861" xr:uid="{AC988D97-1D20-4253-88D2-D00AEEE6C8CB}"/>
    <hyperlink ref="AQ292" r:id="rId170" display="http://www.utility.pge.com/edrs/default.asp?id=1230184" xr:uid="{A87A93C6-4354-44B3-90FA-E83F0D32254B}"/>
    <hyperlink ref="AQ317" r:id="rId171" display="http://www/edrs/pr/DisplayPR.asp?idEDR=1229985" xr:uid="{BCABA7E2-E0DE-4719-95F3-45FD5C931372}"/>
    <hyperlink ref="AQ391" r:id="rId172" display="http://www.utility.pge.com/edrs/default.asp?id=1230146" xr:uid="{37E19FA9-9DC8-443D-840C-4232EDD32326}"/>
    <hyperlink ref="AQ392" r:id="rId173" display="http://www.utility.pge.com/edrs/default.asp?id=1230151" xr:uid="{E6C3D4A3-2676-4279-91CF-CAC92383823F}"/>
    <hyperlink ref="AQ313" r:id="rId174" display="http://www/edrs/pr/DisplayPR.asp?idEDR=1230193" xr:uid="{F8D3B783-65D3-460B-9163-839845FCEC33}"/>
    <hyperlink ref="AQ281" r:id="rId175" display="http://www.utility.pge.com/edrs/pr/DisplayPR.asp?idEDR=1230524" xr:uid="{344505F4-31A6-4062-91DF-8ED40B7C2442}"/>
    <hyperlink ref="AQ277" r:id="rId176" display="http://www.utility.pge.com/edrs/pr/DisplayPR.asp?idEDR=1230526" xr:uid="{04CEC551-409F-49C1-B20E-2A5AB3B22F7F}"/>
    <hyperlink ref="AQ272" r:id="rId177" display="http://www.utility.pge.com/edrs/pr/DisplayPR.asp?idEDR=1230532" xr:uid="{8CA51834-BF67-4069-9042-414D8D6313DE}"/>
    <hyperlink ref="AQ286" r:id="rId178" display="http://www.utility.pge.com/edrs/pr/DisplayPR.asp?idEDR=1230534" xr:uid="{3E756751-1D2E-4F4F-BA2D-4A4AF803E130}"/>
    <hyperlink ref="AQ329" r:id="rId179" display="http://www.utility.pge.com/edrs/pr/DisplayPR.asp?idEDR=1230547" xr:uid="{477B51A3-813E-4A97-8254-8DFD656E70F7}"/>
    <hyperlink ref="AQ324" r:id="rId180" display="http://www.utility.pge.com/edrs/pr/DisplayPR.asp?idEDR=1229995" xr:uid="{049A0A54-F5F3-4F11-B4C5-FFE43D835083}"/>
    <hyperlink ref="AQ291" r:id="rId181" display="http://www.utility.pge.com/edrs/pr/DisplayPR.asp?idEDR=1230458" xr:uid="{B5B78EC1-C30D-48BD-AA34-06B907942C1B}"/>
    <hyperlink ref="AQ294" r:id="rId182" display="http://www/edrs/pr/DisplayPR.asp?idEDR=1230539" xr:uid="{7D7C7ED5-0495-40AE-B3DD-015B28EEBF82}"/>
    <hyperlink ref="AQ315" r:id="rId183" display="http://www.utility.pge.com/edrs/pr/DisplayPR.asp?idEDR=1230194" xr:uid="{6773F166-AD2C-405D-89AA-8F38E20F43D4}"/>
    <hyperlink ref="AQ273" r:id="rId184" display="http://www.utility.pge.com/edrs/pr/DisplayPR.asp?idEDR=1230536" xr:uid="{9A9C5A1B-E752-4D5B-AE84-FBF15E56CE84}"/>
    <hyperlink ref="AQ274" r:id="rId185" display="http://www.utility.pge.com/edrs/pr/DisplayPR.asp?idEDR=1230671" xr:uid="{F107635F-682B-466D-9152-0BFB9ACFD18A}"/>
    <hyperlink ref="AQ285" r:id="rId186" display="http://www.utility.pge.com/edrs/pr/DisplayPR.asp?idEDR=1230674" xr:uid="{15635809-64DE-4E46-BDCA-10FA5F6AF657}"/>
    <hyperlink ref="AQ287" r:id="rId187" display="http://www.utility.pge.com/edrs/pr/DisplayPR.asp?idEDR=1230683" xr:uid="{E1DAE72A-3EB1-45C9-8E5D-84C080344F9A}"/>
    <hyperlink ref="AQ290" r:id="rId188" display="http://www.utility.pge.com/edrs/pr/DisplayPR.asp?idEDR=1230676" xr:uid="{61DE2EC5-2043-49A0-BE85-E99D08E22E51}"/>
    <hyperlink ref="AQ270" r:id="rId189" display="http://www.utility.pge.com/edrs/pr/DisplayPR.asp?idEDR=1230680" xr:uid="{9E25F9A2-F0EE-49C4-AA41-5D889474DF1D}"/>
    <hyperlink ref="AQ98" r:id="rId190" display="http://www/edrs/pr/DisplayPR.asp?idEDR=1217520" xr:uid="{68ACBCA8-147E-4F34-8B0B-7E70F8A788EE}"/>
    <hyperlink ref="AQ284" r:id="rId191" display="http://www/edrs/pr/DisplayPR.asp?idEDR=1230461" xr:uid="{9D511D0C-8340-4FC1-BBAA-CA51A7EAFE35}"/>
    <hyperlink ref="AQ271" r:id="rId192" display="http://www/edrs/pr/DisplayPR.asp?idEDR=1230428" xr:uid="{1E859E41-4107-4C18-B9F5-F6E48361F702}"/>
    <hyperlink ref="AQ396" r:id="rId193" display="http://www/edrs/pr/DisplayPR.asp?idEDR=1230523" xr:uid="{1BE25E78-31E8-4060-A91F-D6698E96F49F}"/>
    <hyperlink ref="AQ240" r:id="rId194" display="http://www.utility.pge.com/edrs/pr/DisplayPR.asp?idEDR=1231711" xr:uid="{882B98E7-E474-47A0-9413-43FB880B754B}"/>
    <hyperlink ref="AQ241" r:id="rId195" display="http://www.utility.pge.com/edrs/pr/DisplayPR.asp?idEDR=1231712" xr:uid="{0F51C731-3AFB-4EB9-8482-37BAD692E7C9}"/>
    <hyperlink ref="AQ238" r:id="rId196" display="http://www.utility.pge.com/edrs/pr/DisplayPR.asp?idEDR=1231709" xr:uid="{22D7C475-B4F3-4EE8-B62B-899ED75F825E}"/>
    <hyperlink ref="AQ243" r:id="rId197" display="http://www.utility.pge.com/edrs/pr/DisplayPR.asp?idEDR=1231714" xr:uid="{25A96DB9-D628-4B3C-9273-B58AE8E89E59}"/>
    <hyperlink ref="AQ244" r:id="rId198" display="http://www.utility.pge.com/edrs/pr/DisplayPR.asp?idEDR=1231715" xr:uid="{2598071E-0C28-416C-A37B-733BD9C09BF5}"/>
    <hyperlink ref="AQ245" r:id="rId199" display="http://www.utility.pge.com/edrs/pr/DisplayPR.asp?idEDR=1231716" xr:uid="{CE855263-D960-43C0-A99B-FEFDF5915F94}"/>
    <hyperlink ref="AQ242" r:id="rId200" display="http://www.utility.pge.com/edrs/pr/DisplayPR.asp?idEDR=1231713" xr:uid="{35CE02BD-D6BA-4E0B-8145-50D6E2CB3951}"/>
    <hyperlink ref="AQ340" r:id="rId201" display="http://www.utility.pge.com/edrs/pr/DisplayPR.asp?idEDR=1232359" xr:uid="{56B14DBA-11EE-4CED-A1DB-DEECBFDC5C77}"/>
    <hyperlink ref="AQ342" r:id="rId202" display="http://www.utility.pge.com/edrs/pr/DisplayPR.asp?idEDR=1232360" xr:uid="{10D767F0-E318-405E-9EAA-2E6D769B8131}"/>
    <hyperlink ref="AQ116" r:id="rId203" display="http://www/edrs/pr/DisplayPR.asp?idEDR=1218925" xr:uid="{A2D261A3-5F72-41A4-9827-4F84E4344823}"/>
    <hyperlink ref="AQ118" r:id="rId204" display="http://www/edrs/pr/DisplayPR.asp?idEDR=1219400" xr:uid="{E999A1B5-9D65-44FD-A4C8-C2F3A5CBF93B}"/>
    <hyperlink ref="AQ119" r:id="rId205" display="http://www/edrs/pr/DisplayPR.asp?idEDR=1219400" xr:uid="{95454242-6D79-464F-87CE-F6169BFBA2FF}"/>
    <hyperlink ref="AQ120" r:id="rId206" display="http://www/edrs/pr/DisplayPR.asp?idEDR=1219400" xr:uid="{9BEE3914-C9D8-4CFC-A417-78887F89E31B}"/>
    <hyperlink ref="AQ121" r:id="rId207" display="http://www/edrs/pr/DisplayPR.asp?idEDR=1219400" xr:uid="{DFE0D152-6A00-41E0-8C53-CF3CE0DB1AE7}"/>
    <hyperlink ref="AQ123" r:id="rId208" display="http://www/edrs/pr/DisplayPR.asp?idEDR=1192419" xr:uid="{F2E8AED3-1DE0-4F0C-9BA3-2A363A94F7D8}"/>
    <hyperlink ref="AQ124" r:id="rId209" display="http://www/edrs/pr/DisplayPR.asp?idEDR=1192419" xr:uid="{8577B162-26F3-49D8-9153-7DD0576B4683}"/>
    <hyperlink ref="AQ125" r:id="rId210" display="http://www/edrs/pr/DisplayPR.asp?idEDR=1192419" xr:uid="{0F421F17-ED24-45E2-A6B3-6274DE43BBCB}"/>
    <hyperlink ref="AQ126" r:id="rId211" display="http://www/edrs/pr/DisplayPR.asp?idEDR=1192419" xr:uid="{88A2A020-6246-4A06-BAC0-BF6A093F7529}"/>
    <hyperlink ref="AQ127" r:id="rId212" display="http://www/edrs/pr/DisplayPR.asp?idEDR=1192419" xr:uid="{35207E8D-CF58-464E-980E-A0FCCF9A12B6}"/>
    <hyperlink ref="AQ129" r:id="rId213" display="http://www/edrs/pr/DisplayPR.asp?idEDR=1194274" xr:uid="{ECB4DBEB-2AD4-4C07-A277-2965825BA3FB}"/>
    <hyperlink ref="AQ130" r:id="rId214" display="http://www/edrs/pr/DisplayPR.asp?idEDR=1194274" xr:uid="{16F1D42D-0337-45A4-9AA0-381E76E82605}"/>
    <hyperlink ref="AQ131" r:id="rId215" display="http://www/edrs/pr/DisplayPR.asp?idEDR=1194274" xr:uid="{0E99D511-08A0-4A0C-BDBE-E354D514A7A9}"/>
    <hyperlink ref="AQ132" r:id="rId216" display="http://www/edrs/pr/DisplayPR.asp?idEDR=1194274" xr:uid="{413DBCA1-631B-4492-87D4-FF6637B7DE40}"/>
    <hyperlink ref="AQ133" r:id="rId217" display="http://www/edrs/pr/DisplayPR.asp?idEDR=1194274" xr:uid="{3212F9AE-DB26-428F-BCD8-16F85A3766FA}"/>
    <hyperlink ref="AQ134" r:id="rId218" display="http://www/edrs/pr/DisplayPR.asp?idEDR=1194274" xr:uid="{DE6A7284-E937-4953-A1AA-FF81EBAC92B0}"/>
    <hyperlink ref="AQ135" r:id="rId219" display="http://www/edrs/pr/DisplayPR.asp?idEDR=1194274" xr:uid="{D5A44075-B9EC-458F-92F8-82BC94745A05}"/>
    <hyperlink ref="AQ136" r:id="rId220" display="http://www/edrs/pr/DisplayPR.asp?idEDR=1194274" xr:uid="{48EE462A-5F60-402E-9FAD-0EEE8C3B41F6}"/>
    <hyperlink ref="AQ137" r:id="rId221" display="http://www/edrs/pr/DisplayPR.asp?idEDR=1194274" xr:uid="{7FB8C072-2C3B-4AE1-89E4-8E4E932A2344}"/>
    <hyperlink ref="AQ138" r:id="rId222" display="http://www/edrs/pr/DisplayPR.asp?idEDR=1194274" xr:uid="{F6E85D16-BE3F-4F4C-A6F3-19DAC0AF0469}"/>
    <hyperlink ref="AQ139" r:id="rId223" display="http://www/edrs/pr/DisplayPR.asp?idEDR=1194274" xr:uid="{69560D1C-1701-4F54-9604-B4F468F13743}"/>
    <hyperlink ref="AQ140" r:id="rId224" display="http://www/edrs/pr/DisplayPR.asp?idEDR=1194274" xr:uid="{40E44714-33BE-446B-8191-CDF7E561E8D9}"/>
    <hyperlink ref="AQ141" r:id="rId225" display="http://www/edrs/pr/DisplayPR.asp?idEDR=1194274" xr:uid="{AB206042-66B5-4C20-B5E8-8567C81454A1}"/>
    <hyperlink ref="AQ143" r:id="rId226" display="http://www/edrs/pr/DisplayPR.asp?idEDR=1194328" xr:uid="{AEC09586-D0A4-4D06-BE38-5FFBCABEF548}"/>
    <hyperlink ref="AQ144" r:id="rId227" display="http://www/edrs/pr/DisplayPR.asp?idEDR=1194328" xr:uid="{04CB90E9-62F6-49EC-A683-0DF26D176E89}"/>
    <hyperlink ref="AQ145" r:id="rId228" display="http://www/edrs/pr/DisplayPR.asp?idEDR=1194328" xr:uid="{EEEF9074-9CCC-404E-93E3-97B0D3FA1E6F}"/>
    <hyperlink ref="AQ146" r:id="rId229" display="http://www/edrs/pr/DisplayPR.asp?idEDR=1194328" xr:uid="{99E9F7BA-1394-4760-8CE3-F53105E439B8}"/>
    <hyperlink ref="AQ147" r:id="rId230" display="http://www/edrs/pr/DisplayPR.asp?idEDR=1194328" xr:uid="{D809F89E-0BCB-4E2D-B87C-A22525CAFA36}"/>
    <hyperlink ref="AQ148" r:id="rId231" display="http://www/edrs/pr/DisplayPR.asp?idEDR=1194328" xr:uid="{B919242E-49CB-4822-AF6D-C4BBC790195B}"/>
    <hyperlink ref="AQ149" r:id="rId232" display="http://www/edrs/pr/DisplayPR.asp?idEDR=1194328" xr:uid="{02C981E5-2DEC-41E5-B662-617960B6070F}"/>
    <hyperlink ref="AQ158" r:id="rId233" display="http://www/edrs/pr/DisplayPR.asp?idEDR=1210217" xr:uid="{EBE34A67-A922-4183-BCEC-19C3CFF8D317}"/>
    <hyperlink ref="AQ160" r:id="rId234" display="http://www/edrs/pr/DisplayPR.asp?idEDR=1201761" xr:uid="{4FB70692-848B-4E9E-B96C-5DAEC65EE213}"/>
    <hyperlink ref="AQ161" r:id="rId235" display="http://www/edrs/pr/DisplayPR.asp?idEDR=1201761" xr:uid="{143DA15E-99D8-44E2-B59C-33A10E6FE54F}"/>
    <hyperlink ref="AQ167" r:id="rId236" display="http://www/edrs/pr/DisplayPR.asp?idEDR=1223382" xr:uid="{5220035A-318C-42DA-BD69-9A256E95854E}"/>
    <hyperlink ref="AQ168" r:id="rId237" display="http://www/edrs/pr/DisplayPR.asp?idEDR=1223382" xr:uid="{DA54664D-1C37-4BEE-8A35-8601D66260F0}"/>
    <hyperlink ref="AQ169" r:id="rId238" display="http://www/edrs/pr/DisplayPR.asp?idEDR=1223382" xr:uid="{FAA848B3-214A-4D95-A626-41BAEE740804}"/>
    <hyperlink ref="AQ170" r:id="rId239" display="http://www/edrs/pr/DisplayPR.asp?idEDR=1223382" xr:uid="{E4C0A926-B177-437F-B65F-E75F7921E63A}"/>
    <hyperlink ref="AQ171" r:id="rId240" display="http://www/edrs/pr/DisplayPR.asp?idEDR=1223382" xr:uid="{C4AA831D-9415-4786-9A12-A17150032208}"/>
    <hyperlink ref="AQ173" r:id="rId241" display="http://www/edrs/pr/DisplayPR.asp?idEDR=1221762" xr:uid="{4633208F-CA84-45AF-BE27-EAF04ED78E3C}"/>
    <hyperlink ref="AQ174" r:id="rId242" display="http://www/edrs/pr/DisplayPR.asp?idEDR=1221762" xr:uid="{3DE66AEA-910D-441C-B084-FCDDB14D2736}"/>
    <hyperlink ref="AQ175" r:id="rId243" display="http://www/edrs/pr/DisplayPR.asp?idEDR=1221762" xr:uid="{4BD9CE97-B5AD-4775-8A04-EE5CF5F4905A}"/>
    <hyperlink ref="AQ176" r:id="rId244" display="http://www/edrs/pr/DisplayPR.asp?idEDR=1221762" xr:uid="{52C78160-51B2-434B-B574-48328BB37C03}"/>
    <hyperlink ref="AQ177" r:id="rId245" display="http://www/edrs/pr/DisplayPR.asp?idEDR=1221762" xr:uid="{D451F494-95DC-44A8-B7D5-1716F89C7FBE}"/>
    <hyperlink ref="AQ178" r:id="rId246" display="http://www/edrs/pr/DisplayPR.asp?idEDR=1221762" xr:uid="{47A112AF-F651-4DF4-A5CD-658A5A49D4A1}"/>
    <hyperlink ref="AQ180" r:id="rId247" display="http://www/edrs/pr/DisplayPR.asp?idEDR=1222268" xr:uid="{12EBAAF2-0871-41EB-8B6B-400123D18D4D}"/>
    <hyperlink ref="AQ181" r:id="rId248" display="http://www/edrs/pr/DisplayPR.asp?idEDR=1222268" xr:uid="{8BC4A924-1B71-4F43-9B11-B5FBD61CB255}"/>
    <hyperlink ref="AQ184" r:id="rId249" display="http://www/edrs/pr/DisplayPR.asp?idEDR=1222407" xr:uid="{A10A78E6-EF92-49A4-81B1-BF2E09FFA58D}"/>
    <hyperlink ref="AQ185" r:id="rId250" display="http://www/edrs/pr/DisplayPR.asp?idEDR=1222407" xr:uid="{F175F00D-3024-4ADA-A27E-74C469D7D3A2}"/>
    <hyperlink ref="AQ200" r:id="rId251" display="http://www/edrs/pr/DisplayPR.asp?idEDR=1228425" xr:uid="{F003B994-5628-427C-98AB-74CFECE088EA}"/>
    <hyperlink ref="AQ201" r:id="rId252" display="http://www/edrs/pr/DisplayPR.asp?idEDR=1228425" xr:uid="{51554452-0AB3-4497-A07E-408687F6210E}"/>
    <hyperlink ref="AQ202" r:id="rId253" display="http://www/edrs/pr/DisplayPR.asp?idEDR=1228425" xr:uid="{225188AD-295F-40F5-A2B9-76A67B446694}"/>
    <hyperlink ref="AQ205" r:id="rId254" display="http://www/edrs/pr/DisplayPR.asp?idEDR=1047618" xr:uid="{77B4AFF1-FFD3-4173-B429-4F50C1197DFF}"/>
    <hyperlink ref="AQ206" r:id="rId255" display="http://www/edrs/pr/DisplayPR.asp?idEDR=1047618" xr:uid="{4D764D25-3767-4308-B052-0431A6BDBCFC}"/>
    <hyperlink ref="AQ211" r:id="rId256" display="http://www/edrs/pr/DisplayPR.asp?idEDR=1047622" xr:uid="{F5CFF150-C9A9-4661-A0E5-9DE72470122B}"/>
    <hyperlink ref="AQ212" r:id="rId257" display="http://www/edrs/pr/DisplayPR.asp?idEDR=1047622" xr:uid="{6C83945C-ED58-40AE-A405-AF9D79C3611D}"/>
    <hyperlink ref="AQ213" r:id="rId258" display="http://www/edrs/pr/DisplayPR.asp?idEDR=1047622" xr:uid="{A4968CAA-90E5-4A96-9EE6-4364B1D73B1E}"/>
    <hyperlink ref="AQ214" r:id="rId259" display="http://www/edrs/pr/DisplayPR.asp?idEDR=1047622" xr:uid="{0EC5C979-598F-44BC-BC0C-83786E9D9E01}"/>
    <hyperlink ref="AQ217" r:id="rId260" display="http://www/edrs/pr/DisplayPR.asp?idEDR=1047624" xr:uid="{DB15A00C-7AE4-4264-99B2-1A2AD2FA9383}"/>
    <hyperlink ref="AQ218" r:id="rId261" display="http://www/edrs/pr/DisplayPR.asp?idEDR=1047624" xr:uid="{F6F3A2CF-7ADE-4842-AA4E-B4E272B843AB}"/>
    <hyperlink ref="AQ219" r:id="rId262" display="http://www/edrs/pr/DisplayPR.asp?idEDR=1047624" xr:uid="{3CA696FA-353A-4366-A1AF-DFED15410CA6}"/>
    <hyperlink ref="AQ220" r:id="rId263" display="http://www/edrs/pr/DisplayPR.asp?idEDR=1047624" xr:uid="{33EDB4FD-2724-4844-A418-806EF4446805}"/>
    <hyperlink ref="AQ393" r:id="rId264" display="http://www.utility.pge.com/edrs/default.asp?id=1230151" xr:uid="{593C8086-7F27-4DE6-8502-2B0EBCABE67C}"/>
    <hyperlink ref="AQ394" r:id="rId265" display="http://www.utility.pge.com/edrs/default.asp?id=1230151" xr:uid="{8239C320-5B88-4BA3-9AB9-7993F018DE9C}"/>
    <hyperlink ref="AQ395" r:id="rId266" display="http://www.utility.pge.com/edrs/default.asp?id=1230151" xr:uid="{1CD4360F-BFE3-4561-B1CC-D68263301C44}"/>
    <hyperlink ref="AQ388" r:id="rId267" display="http://www/edrs/pr/DisplayPR.asp?idEDR=1230655" xr:uid="{FC22A10B-6E5A-4146-900B-18E14219D08C}"/>
    <hyperlink ref="AQ231" r:id="rId268" display="http://www/edrs/pr/DisplayPR.asp?idEDR=1228578" xr:uid="{FCA6759E-E7C5-49EA-9FF7-60FD4B27B995}"/>
    <hyperlink ref="AQ325" r:id="rId269" display="http://www.utility.pge.com/edrs/pr/DisplayPR.asp?idEDR=1229995" xr:uid="{10D02149-09EF-4213-82D4-9B8EEE2F7AB2}"/>
    <hyperlink ref="AQ326" r:id="rId270" display="http://www.utility.pge.com/edrs/pr/DisplayPR.asp?idEDR=1229995" xr:uid="{DED1B53B-D2E1-4777-A46E-5A97A72400A5}"/>
    <hyperlink ref="AQ327" r:id="rId271" display="http://www.utility.pge.com/edrs/pr/DisplayPR.asp?idEDR=1229995" xr:uid="{7C7DD0AE-94D6-4BE6-BAD9-282FE4BC4891}"/>
    <hyperlink ref="AQ328" r:id="rId272" display="http://www.utility.pge.com/edrs/pr/DisplayPR.asp?idEDR=1229995" xr:uid="{E0016FDC-4A8E-4686-8A24-025A9A47AAC1}"/>
    <hyperlink ref="AQ187" r:id="rId273" display="http://www/edrs/pr/DisplayPR.asp?idEDR=1228419" xr:uid="{C2D56441-C12E-4732-AD71-9DD886D7B6F4}"/>
    <hyperlink ref="AQ188" r:id="rId274" display="http://www/edrs/pr/DisplayPR.asp?idEDR=1228419" xr:uid="{58FA0CE9-A3BB-4986-833D-653B916FCF64}"/>
    <hyperlink ref="AQ189" r:id="rId275" display="http://www/edrs/pr/DisplayPR.asp?idEDR=1228419" xr:uid="{840E178D-03B5-4975-8D9F-4222A282C0EB}"/>
    <hyperlink ref="AQ190" r:id="rId276" display="http://www/edrs/pr/DisplayPR.asp?idEDR=1228419" xr:uid="{9283AF57-DFC7-45F8-89AD-01D6EEC32B1B}"/>
    <hyperlink ref="AQ191" r:id="rId277" display="http://www/edrs/pr/DisplayPR.asp?idEDR=1228419" xr:uid="{45DC20DF-62CB-4568-B399-C466AB3FF53F}"/>
    <hyperlink ref="AQ192" r:id="rId278" display="http://www/edrs/pr/DisplayPR.asp?idEDR=1228419" xr:uid="{803C93DE-6F93-4C59-89C0-698920C19321}"/>
    <hyperlink ref="AQ193" r:id="rId279" display="http://www/edrs/pr/DisplayPR.asp?idEDR=1228419" xr:uid="{9DD13CA3-03FF-457A-B060-2749578DF854}"/>
    <hyperlink ref="AQ194" r:id="rId280" display="http://www/edrs/pr/DisplayPR.asp?idEDR=1228419" xr:uid="{2E907E4A-C7DD-4B79-9850-D15D12EFC4C2}"/>
    <hyperlink ref="AQ330" r:id="rId281" display="http://www.utility.pge.com/edrs/pr/DisplayPR.asp?idEDR=1230547" xr:uid="{96E41243-F626-486B-B626-386C8C4C3ADB}"/>
    <hyperlink ref="AQ331" r:id="rId282" display="http://www.utility.pge.com/edrs/pr/DisplayPR.asp?idEDR=1230547" xr:uid="{5C79B8CD-1EAF-4194-A06B-11D94843D086}"/>
    <hyperlink ref="AQ332" r:id="rId283" display="http://www.utility.pge.com/edrs/pr/DisplayPR.asp?idEDR=1230547" xr:uid="{9D448B4C-78AB-43ED-AAC5-1652A79A606C}"/>
    <hyperlink ref="AQ333" r:id="rId284" display="http://www.utility.pge.com/edrs/pr/DisplayPR.asp?idEDR=1230547" xr:uid="{99248282-9D4A-4DB5-84C5-6010FEF795E7}"/>
    <hyperlink ref="AQ334" r:id="rId285" display="http://www.utility.pge.com/edrs/pr/DisplayPR.asp?idEDR=1230547" xr:uid="{1F96A660-8F82-4483-9BE9-EBDF2B6F5764}"/>
    <hyperlink ref="AQ389" r:id="rId286" display="http://www/edrs/pr/DisplayPR.asp?idEDR=1230655" xr:uid="{7AA1B350-E766-437F-A9BC-C6EC7BE2F6DD}"/>
    <hyperlink ref="AQ390" r:id="rId287" display="http://www/edrs/pr/DisplayPR.asp?idEDR=1230655" xr:uid="{372A8C08-B1F0-4E0D-9F3E-E7024FF758A0}"/>
    <hyperlink ref="AQ283:AQ284" r:id="rId288" display="http://www.utility.pge.com/edrs/pr/DisplayPR.asp?idEDR=1230524" xr:uid="{D15E4B6F-48D1-46F1-8DC9-08BBC7300DB7}"/>
    <hyperlink ref="AQ195:AQ197" r:id="rId289" display="http://www/edrs/pr/DisplayPR.asp?idEDR=1228423" xr:uid="{9D9E6891-03BD-4212-B1E8-672EE808112E}"/>
    <hyperlink ref="AQ299" r:id="rId290" display="http://www/edrs/pr/DisplayPR.asp?idEDR=1228954" xr:uid="{D05AEA32-7EE8-4DB5-85E4-ABBBC665DB63}"/>
    <hyperlink ref="AQ320" r:id="rId291" display="http://www/edrs/pr/DisplayPR.asp?idEDR=1237128" xr:uid="{505C7383-7ECB-4E56-B33E-B8231CA7A248}"/>
    <hyperlink ref="AU221" r:id="rId292" display="http://www.utility.pge.com/edrs/pr/DisplayPR.asp?idEDR=1232554" xr:uid="{74E33353-1CF8-419A-866F-60E612A05412}"/>
    <hyperlink ref="AQ222" r:id="rId293" display="http://www/edrs/pr/DisplayPR.asp?idEDR=1031304" xr:uid="{74F879EA-268C-484C-B023-DBC4D6C0D328}"/>
    <hyperlink ref="AP222" r:id="rId294" display="http://www/edrs/pr/DisplayPR.asp?idEDR=1028045" xr:uid="{4A97D12A-262C-466F-A27E-E98EAEB917B3}"/>
    <hyperlink ref="AQ223" r:id="rId295" display="http://www/edrs/pr/DisplayPR.asp?idEDR=1031304" xr:uid="{DF8F19B3-F0A0-4300-B136-C333465630D8}"/>
    <hyperlink ref="AP223" r:id="rId296" display="http://www/edrs/pr/DisplayPR.asp?idEDR=1028045" xr:uid="{F0F99EEA-97EE-4B47-A0ED-5F72FC4A8DD0}"/>
    <hyperlink ref="AQ224" r:id="rId297" display="http://www/edrs/pr/DisplayPR.asp?idEDR=1031304" xr:uid="{EFCF6E12-DD28-4795-BCBF-3B95D488E764}"/>
    <hyperlink ref="AP224" r:id="rId298" display="http://www/edrs/pr/DisplayPR.asp?idEDR=1028045" xr:uid="{D6936C93-02BE-48D0-B766-9967B09BAE10}"/>
    <hyperlink ref="AQ225" r:id="rId299" display="http://www/edrs/pr/DisplayPR.asp?idEDR=1031304" xr:uid="{333C2BA6-1447-43B9-ADB2-2CDDCEAB61F4}"/>
    <hyperlink ref="AP225" r:id="rId300" display="http://www/edrs/pr/DisplayPR.asp?idEDR=1028045" xr:uid="{F55FC7EF-4C59-4093-A979-AFF6C6C4B18D}"/>
    <hyperlink ref="AU222" r:id="rId301" display="http://www.utility.pge.com/edrs/pr/DisplayPR.asp?idEDR=1232554" xr:uid="{D4A2A0DA-7527-4D09-BDD6-B531160D59DC}"/>
    <hyperlink ref="AU223" r:id="rId302" display="http://www.utility.pge.com/edrs/pr/DisplayPR.asp?idEDR=1232554" xr:uid="{E36A36AF-0E92-4374-9107-F4411BD2C62E}"/>
    <hyperlink ref="AU224" r:id="rId303" display="http://www.utility.pge.com/edrs/pr/DisplayPR.asp?idEDR=1232554" xr:uid="{42E996F7-F044-42ED-9ADB-35E04B24F834}"/>
    <hyperlink ref="AU225" r:id="rId304" display="http://www.utility.pge.com/edrs/pr/DisplayPR.asp?idEDR=1232554" xr:uid="{E6FF9D57-8EB9-47B3-BF57-FBCC16297464}"/>
    <hyperlink ref="AU226" r:id="rId305" display="http://www.utility.pge.com/edrs/pr/DisplayPR.asp?idEDR=1232557" xr:uid="{FFA7E033-5283-451C-AB18-59531161DBE7}"/>
    <hyperlink ref="AU203" r:id="rId306" display="http://www.utility.pge.com/edrs/pr/DisplayPR.asp?idEDR=1232657" xr:uid="{A8863A6A-BCE1-4BA1-967C-15A8010BA2DA}"/>
    <hyperlink ref="AU183" r:id="rId307" display="http://www.utility.pge.com/edrs/pr/DisplayPR.asp?idEDR=1232712" xr:uid="{D25FF200-6081-449C-9B10-BD271642E498}"/>
    <hyperlink ref="AU184" r:id="rId308" display="http://www.utility.pge.com/edrs/pr/DisplayPR.asp?idEDR=1232712" xr:uid="{4001634D-C66D-4A5D-89DB-690E5B95618D}"/>
    <hyperlink ref="AU185" r:id="rId309" display="http://www.utility.pge.com/edrs/pr/DisplayPR.asp?idEDR=1232712" xr:uid="{7CDD7058-AB51-4010-9D30-AC51B434167C}"/>
    <hyperlink ref="AU210" r:id="rId310" display="http://www.utility.pge.com/edrs/pr/DisplayPR.asp?idEDR=1233137" xr:uid="{102A4F5D-461D-45E9-8B48-2CB676B756E6}"/>
    <hyperlink ref="AU211" r:id="rId311" display="http://www.utility.pge.com/edrs/pr/DisplayPR.asp?idEDR=1233137" xr:uid="{58B4366D-EF58-4D84-BB92-D9912AC7A8B3}"/>
    <hyperlink ref="AU212" r:id="rId312" display="http://www.utility.pge.com/edrs/pr/DisplayPR.asp?idEDR=1233137" xr:uid="{79623110-6CB4-4930-B040-B2BD05C432EA}"/>
    <hyperlink ref="AU213" r:id="rId313" display="http://www.utility.pge.com/edrs/pr/DisplayPR.asp?idEDR=1233137" xr:uid="{694FBF46-1329-4A3F-9E1F-6F397E2CAA7B}"/>
    <hyperlink ref="AU214" r:id="rId314" display="http://www.utility.pge.com/edrs/pr/DisplayPR.asp?idEDR=1233137" xr:uid="{97BE1AF1-4127-47EC-816F-9AFCF314569C}"/>
    <hyperlink ref="AU204" r:id="rId315" display="http://www.utility.pge.com/edrs/pr/DisplayPR.asp?idEDR=1233139" xr:uid="{126FAC8E-CECD-470B-805A-E54F9C1CF453}"/>
    <hyperlink ref="AU205" r:id="rId316" display="http://www.utility.pge.com/edrs/pr/DisplayPR.asp?idEDR=1233139" xr:uid="{A565931D-57F0-40CF-9DF2-C6796597DAD6}"/>
    <hyperlink ref="AU206" r:id="rId317" display="http://www.utility.pge.com/edrs/pr/DisplayPR.asp?idEDR=1233139" xr:uid="{DA7B9788-1F9E-4ACF-A895-B696485E97CC}"/>
    <hyperlink ref="AU322" r:id="rId318" display="http://www.utility.pge.com/edrs/pr/DisplayPR.asp?idEDR=1232747" xr:uid="{4C35E9DC-91EE-4973-A1F9-F762CCE8A36F}"/>
    <hyperlink ref="AQ336" r:id="rId319" display="http://www/edrs/pr/DisplayPR.asp?idEDR=1228956" xr:uid="{5A3EF7A4-C587-4B75-966E-ABEB988EC568}"/>
    <hyperlink ref="AU335" r:id="rId320" display="http://www.utility.pge.com/edrs/pr/DisplayPR.asp?idEDR=1232790" xr:uid="{FFAFAC4E-2948-4F2A-9318-99B0DC61E96E}"/>
    <hyperlink ref="AU336" r:id="rId321" display="http://www.utility.pge.com/edrs/pr/DisplayPR.asp?idEDR=1232790" xr:uid="{E943007D-04B2-4A76-A427-BA054A8CD5E1}"/>
    <hyperlink ref="AP167" r:id="rId322" display="http://www/edrs/pr/DisplayPR.asp?idEDR=1222184" xr:uid="{4E0DC3FB-B9E8-4C90-B40F-301C4EE5DACC}"/>
    <hyperlink ref="AP168" r:id="rId323" display="http://www/edrs/pr/DisplayPR.asp?idEDR=1222184" xr:uid="{8307B4B6-C775-4C87-802C-4FD9FE20164B}"/>
    <hyperlink ref="AP169" r:id="rId324" display="http://www/edrs/pr/DisplayPR.asp?idEDR=1222184" xr:uid="{16725218-D7D5-4241-9685-528A0F729411}"/>
    <hyperlink ref="AP170" r:id="rId325" display="http://www/edrs/pr/DisplayPR.asp?idEDR=1222184" xr:uid="{549F61E6-0810-482C-BD32-62F295F0BD68}"/>
    <hyperlink ref="AP171" r:id="rId326" display="http://www/edrs/pr/DisplayPR.asp?idEDR=1222184" xr:uid="{8ACF0B89-C743-4AC7-9474-9F6558CE0E9A}"/>
    <hyperlink ref="AU166" r:id="rId327" display="http://www.utility.pge.com/edrs/pr/DisplayPR.asp?idEDR=1232793" xr:uid="{D75D34FC-82A3-4A64-BDCA-55CD641F6261}"/>
    <hyperlink ref="AU167" r:id="rId328" display="http://www.utility.pge.com/edrs/pr/DisplayPR.asp?idEDR=1232793" xr:uid="{30DF7D09-E247-417A-A652-6368261F374F}"/>
    <hyperlink ref="AU168" r:id="rId329" display="http://www.utility.pge.com/edrs/pr/DisplayPR.asp?idEDR=1232793" xr:uid="{E73154BA-31F5-48CC-ACB5-6D6EB1D0F892}"/>
    <hyperlink ref="AU169" r:id="rId330" display="http://www.utility.pge.com/edrs/pr/DisplayPR.asp?idEDR=1232793" xr:uid="{D2EFD19F-323D-4552-94A0-DC6985D6BF5A}"/>
    <hyperlink ref="AU170" r:id="rId331" display="http://www.utility.pge.com/edrs/pr/DisplayPR.asp?idEDR=1232793" xr:uid="{8241C22C-B94C-4211-9680-EA79B837F281}"/>
    <hyperlink ref="AU171" r:id="rId332" display="http://www.utility.pge.com/edrs/pr/DisplayPR.asp?idEDR=1232793" xr:uid="{789FC49C-E7D3-45E3-96F3-A3F0977C37ED}"/>
    <hyperlink ref="AP116" r:id="rId333" display="http://www/edrs/pr/DisplayPR.asp?idEDR=1218748" xr:uid="{82E5D859-01A2-4D7C-A143-4EBB289F5DF8}"/>
    <hyperlink ref="AU112" r:id="rId334" display="http://www.utility.pge.com/edrs/pr/DisplayPR.asp?idEDR=1232798" xr:uid="{57AC5E16-FAE2-4F50-9D9D-CAE1B96F9E4D}"/>
    <hyperlink ref="AU113" r:id="rId335" display="http://www.utility.pge.com/edrs/pr/DisplayPR.asp?idEDR=1232798" xr:uid="{50CC5376-0B63-4794-8C9F-2DED78007996}"/>
    <hyperlink ref="AU114" r:id="rId336" display="http://www.utility.pge.com/edrs/pr/DisplayPR.asp?idEDR=1232798" xr:uid="{AFD23C09-0A1C-4135-B586-182B5E951A1A}"/>
    <hyperlink ref="AU115" r:id="rId337" display="http://www.utility.pge.com/edrs/pr/DisplayPR.asp?idEDR=1232798" xr:uid="{57F6D222-69CA-4DD1-89EB-DE4DFFF9AC2F}"/>
    <hyperlink ref="AU116" r:id="rId338" display="http://www.utility.pge.com/edrs/pr/DisplayPR.asp?idEDR=1232798" xr:uid="{0D0452E0-4A01-4108-BE3F-B2105F8E234F}"/>
    <hyperlink ref="AU156" r:id="rId339" display="http://www.utility.pge.com/edrs/pr/DisplayPR.asp?idEDR=1233130" xr:uid="{B2F58594-29A3-4E46-9D29-0AAFE169AD32}"/>
    <hyperlink ref="AU392" r:id="rId340" display="http://www.utility.pge.com/edrs/pr/DisplayPR.asp?idEDR=1233225" xr:uid="{02DB9544-411E-44D9-AB06-8E544B0213E9}"/>
    <hyperlink ref="AU393" r:id="rId341" display="http://www.utility.pge.com/edrs/pr/DisplayPR.asp?idEDR=1233225" xr:uid="{ECA95AD8-4119-4446-92A8-4CC27D0D0248}"/>
    <hyperlink ref="AU394" r:id="rId342" display="http://www.utility.pge.com/edrs/pr/DisplayPR.asp?idEDR=1233225" xr:uid="{53AC2C49-9B35-4E42-A892-BD7EE0537E85}"/>
    <hyperlink ref="AU395" r:id="rId343" display="http://www.utility.pge.com/edrs/pr/DisplayPR.asp?idEDR=1233225" xr:uid="{75D84566-F3D8-4CAA-8B64-90CE33B3C8AB}"/>
    <hyperlink ref="AU227" r:id="rId344" display="http://www.utility.pge.com/edrs/pr/DisplayPR.asp?idEDR=1233229" xr:uid="{50DFE35A-6932-46FF-80BB-7DE479995244}"/>
    <hyperlink ref="AU321" r:id="rId345" display="http://www.utility.pge.com/edrs/pr/DisplayPR.asp?idEDR=1233265" xr:uid="{C10987A1-14B0-4FA5-A02A-0F41D4577138}"/>
    <hyperlink ref="AU391" r:id="rId346" display="http://www.utility.pge.com/edrs/pr/DisplayPR.asp?idEDR=1233276" xr:uid="{53BF264D-5183-490D-8073-AFE532A4DCE3}"/>
    <hyperlink ref="AU291" r:id="rId347" display="http://www.utility.pge.com/edrs/pr/DisplayPR.asp?idEDR=1233280" xr:uid="{824CC24D-1660-4DCF-9735-6FA71375FF4E}"/>
    <hyperlink ref="AQ314" r:id="rId348" display="http://www/edrs/pr/DisplayPR.asp?idEDR=1230193" xr:uid="{214099CE-114C-4C91-94FE-A1A8C91159E9}"/>
    <hyperlink ref="AU313" r:id="rId349" display="http://www.utility.pge.com/edrs/pr/DisplayPR.asp?idEDR=1233317" xr:uid="{E81FA067-9E51-4E06-9BEF-56C5ECCBEB15}"/>
    <hyperlink ref="AU314" r:id="rId350" display="http://www.utility.pge.com/edrs/pr/DisplayPR.asp?idEDR=1233317" xr:uid="{34762A38-ADE6-4767-AB6A-4DFBEB9B203B}"/>
    <hyperlink ref="AU298" r:id="rId351" display="http://www.utility.pge.com/edrs/pr/DisplayPR.asp?idEDR=1233380" xr:uid="{D4AEA1E3-4DEC-4D47-A061-5E4E739FFFEE}"/>
    <hyperlink ref="AU299" r:id="rId352" display="http://www.utility.pge.com/edrs/pr/DisplayPR.asp?idEDR=1233380" xr:uid="{D92FB457-FE50-4122-A8D1-8B1F54616F71}"/>
    <hyperlink ref="AP160" r:id="rId353" display="http://www/edrs/pr/DisplayPR.asp?idEDR=1201754" xr:uid="{45897CF4-40FD-44EC-9C4C-41F221E424CF}"/>
    <hyperlink ref="AP161" r:id="rId354" display="http://www/edrs/pr/DisplayPR.asp?idEDR=1201754" xr:uid="{9156AF80-6B23-4DDD-8D19-5A5425C2F684}"/>
    <hyperlink ref="AU159" r:id="rId355" display="http://www.utility.pge.com/edrs/pr/DisplayPR.asp?idEDR=1233428" xr:uid="{3C73C820-5A99-4EBF-9E23-3608F8DDAD78}"/>
    <hyperlink ref="AU160" r:id="rId356" display="http://www.utility.pge.com/edrs/pr/DisplayPR.asp?idEDR=1233428" xr:uid="{0933F9B8-A0E5-4D31-90E3-BB0555FE2C79}"/>
    <hyperlink ref="AU161" r:id="rId357" display="http://www.utility.pge.com/edrs/pr/DisplayPR.asp?idEDR=1233428" xr:uid="{10F1580C-32B2-42EC-86A5-92F79E62C9B7}"/>
    <hyperlink ref="AU157" r:id="rId358" display="http://www.utility.pge.com/edrs/pr/DisplayPR.asp?idEDR=1233430" xr:uid="{7CAACD75-F239-4CB9-A8F4-7794BA31B80F}"/>
    <hyperlink ref="AU158" r:id="rId359" display="http://www.utility.pge.com/edrs/pr/DisplayPR.asp?idEDR=1233430" xr:uid="{8196DF1F-2A0A-4F2B-9E36-6AA02823B5D2}"/>
    <hyperlink ref="AP143" r:id="rId360" display="http://www/edrs/pr/DisplayPR.asp?idEDR=1194327" xr:uid="{D7F35FEE-699A-4906-BEF3-B1E326EF012F}"/>
    <hyperlink ref="AP144" r:id="rId361" display="http://www/edrs/pr/DisplayPR.asp?idEDR=1194327" xr:uid="{22A49C12-2BD5-49C2-B32C-16C268B23D9C}"/>
    <hyperlink ref="AP145" r:id="rId362" display="http://www/edrs/pr/DisplayPR.asp?idEDR=1194327" xr:uid="{5C731949-DE45-4E13-A65E-6D1DB266F427}"/>
    <hyperlink ref="AP146" r:id="rId363" display="http://www/edrs/pr/DisplayPR.asp?idEDR=1194327" xr:uid="{31A241B8-99C2-4077-8C17-AF5C7F166743}"/>
    <hyperlink ref="AP147" r:id="rId364" display="http://www/edrs/pr/DisplayPR.asp?idEDR=1194327" xr:uid="{9BE48F13-2BD3-4AEC-860D-5E660983693E}"/>
    <hyperlink ref="AP148" r:id="rId365" display="http://www/edrs/pr/DisplayPR.asp?idEDR=1194327" xr:uid="{0F5B6490-223B-4FD0-9B7F-5398F9630B79}"/>
    <hyperlink ref="AP149" r:id="rId366" display="http://www/edrs/pr/DisplayPR.asp?idEDR=1194327" xr:uid="{6332CB74-A7BF-4A22-A45F-0E1DB6A290B0}"/>
    <hyperlink ref="AU142" r:id="rId367" display="http://www.utility.pge.com/edrs/pr/DisplayPR.asp?idEDR=1233431" xr:uid="{1DE4FA5F-B746-4397-B854-C2728EBD3FF0}"/>
    <hyperlink ref="AU143" r:id="rId368" display="http://www.utility.pge.com/edrs/pr/DisplayPR.asp?idEDR=1233431" xr:uid="{B8061870-5A81-4C38-B4A4-4E223A6D6210}"/>
    <hyperlink ref="AU144" r:id="rId369" display="http://www.utility.pge.com/edrs/pr/DisplayPR.asp?idEDR=1233431" xr:uid="{A7DE41E9-985F-413F-9D5E-60EAE756DFA5}"/>
    <hyperlink ref="AU145" r:id="rId370" display="http://www.utility.pge.com/edrs/pr/DisplayPR.asp?idEDR=1233431" xr:uid="{3676C92E-B83B-4A57-BB46-91BAAA905C3B}"/>
    <hyperlink ref="AU146" r:id="rId371" display="http://www.utility.pge.com/edrs/pr/DisplayPR.asp?idEDR=1233431" xr:uid="{848C3DFB-A5E2-4E9D-B5F7-EB7EAAF4C77C}"/>
    <hyperlink ref="AU147" r:id="rId372" display="http://www.utility.pge.com/edrs/pr/DisplayPR.asp?idEDR=1233431" xr:uid="{CBC83A19-D2A3-43A8-90E5-AD2AE6373FB5}"/>
    <hyperlink ref="AU148" r:id="rId373" display="http://www.utility.pge.com/edrs/pr/DisplayPR.asp?idEDR=1233431" xr:uid="{DBE04AC5-FC73-4598-B568-A561034C957C}"/>
    <hyperlink ref="AU149" r:id="rId374" display="http://www.utility.pge.com/edrs/pr/DisplayPR.asp?idEDR=1233431" xr:uid="{6DDC9063-3647-413B-87D4-6D6E1B10C290}"/>
    <hyperlink ref="AU128" r:id="rId375" display="http://www.utility.pge.com/edrs/pr/DisplayPR.asp?idEDR=1233432" xr:uid="{8451DF69-44E3-4CF9-84C4-27F3A39A572B}"/>
    <hyperlink ref="AU129" r:id="rId376" display="http://www.utility.pge.com/edrs/pr/DisplayPR.asp?idEDR=1233432" xr:uid="{9A16EAFF-0639-4ADE-96C8-0994DF68E45D}"/>
    <hyperlink ref="AU130" r:id="rId377" display="http://www.utility.pge.com/edrs/pr/DisplayPR.asp?idEDR=1233432" xr:uid="{B3F6A69D-E15E-4EAC-A5C4-A771AFF7E5C4}"/>
    <hyperlink ref="AU131" r:id="rId378" display="http://www.utility.pge.com/edrs/pr/DisplayPR.asp?idEDR=1233432" xr:uid="{E614C63F-640C-46CD-BD41-4B8C9C8F8EE4}"/>
    <hyperlink ref="AU132" r:id="rId379" display="http://www.utility.pge.com/edrs/pr/DisplayPR.asp?idEDR=1233432" xr:uid="{D75D887E-D6F3-404C-B747-AC0443423682}"/>
    <hyperlink ref="AU133" r:id="rId380" display="http://www.utility.pge.com/edrs/pr/DisplayPR.asp?idEDR=1233432" xr:uid="{DF5A56A1-B624-4BFE-9996-DA7F1D717FFD}"/>
    <hyperlink ref="AU134" r:id="rId381" display="http://www.utility.pge.com/edrs/pr/DisplayPR.asp?idEDR=1233432" xr:uid="{EDC6517D-B8BF-4C2C-9C0A-ED0021C9B3F6}"/>
    <hyperlink ref="AU135" r:id="rId382" display="http://www.utility.pge.com/edrs/pr/DisplayPR.asp?idEDR=1233432" xr:uid="{782AE212-05EC-455C-96A3-7962E2295EA9}"/>
    <hyperlink ref="AU136" r:id="rId383" display="http://www.utility.pge.com/edrs/pr/DisplayPR.asp?idEDR=1233432" xr:uid="{01756B89-B68B-4CAF-A280-09E8FE13D42E}"/>
    <hyperlink ref="AU137" r:id="rId384" display="http://www.utility.pge.com/edrs/pr/DisplayPR.asp?idEDR=1233432" xr:uid="{C8E684BE-98B8-4E55-8D90-D610D0C7EEEA}"/>
    <hyperlink ref="AU138" r:id="rId385" display="http://www.utility.pge.com/edrs/pr/DisplayPR.asp?idEDR=1233432" xr:uid="{C7EA070D-5AB5-4763-A0EF-C360A642FF43}"/>
    <hyperlink ref="AU139" r:id="rId386" display="http://www.utility.pge.com/edrs/pr/DisplayPR.asp?idEDR=1233432" xr:uid="{9BF0606B-0A1E-44F9-ACF2-F7FCD9D1ABCF}"/>
    <hyperlink ref="AU140" r:id="rId387" display="http://www.utility.pge.com/edrs/pr/DisplayPR.asp?idEDR=1233432" xr:uid="{1EAE9D79-57D9-4EFD-AA44-591631EA4939}"/>
    <hyperlink ref="AU141" r:id="rId388" display="http://www.utility.pge.com/edrs/pr/DisplayPR.asp?idEDR=1233432" xr:uid="{4D06D18E-353E-416D-8BE0-6C4847B6EAB8}"/>
    <hyperlink ref="AU122" r:id="rId389" display="http://www.utility.pge.com/edrs/pr/DisplayPR.asp?idEDR=1233433" xr:uid="{8910DB14-15A2-4934-80E6-0BDD02C8F936}"/>
    <hyperlink ref="AU123" r:id="rId390" display="http://www.utility.pge.com/edrs/pr/DisplayPR.asp?idEDR=1233433" xr:uid="{D4FE23E3-0C51-4D52-8664-59531F52B799}"/>
    <hyperlink ref="AU124" r:id="rId391" display="http://www.utility.pge.com/edrs/pr/DisplayPR.asp?idEDR=1233433" xr:uid="{78F0E62B-8DBB-4FE7-84A6-C1D9EDB42765}"/>
    <hyperlink ref="AU125" r:id="rId392" display="http://www.utility.pge.com/edrs/pr/DisplayPR.asp?idEDR=1233433" xr:uid="{87D4868A-72A3-480A-90E8-8B2CFA947662}"/>
    <hyperlink ref="AU126" r:id="rId393" display="http://www.utility.pge.com/edrs/pr/DisplayPR.asp?idEDR=1233433" xr:uid="{9CC43D9E-1E05-4EA6-A71C-D7A8E1F8D2A5}"/>
    <hyperlink ref="AU127" r:id="rId394" display="http://www.utility.pge.com/edrs/pr/DisplayPR.asp?idEDR=1233433" xr:uid="{44AF5874-F349-43E0-92E6-FA06567FAE07}"/>
    <hyperlink ref="AU199" r:id="rId395" display="http://www.utility.pge.com/edrs/pr/DisplayPR.asp?idEDR=1233640" xr:uid="{41FF7B7E-DE85-4793-B29C-E0577AFB57B0}"/>
    <hyperlink ref="AU200" r:id="rId396" display="http://www.utility.pge.com/edrs/pr/DisplayPR.asp?idEDR=1233640" xr:uid="{D4F3CCB9-A448-4C3D-A121-4DE4B32EBCEB}"/>
    <hyperlink ref="AU201" r:id="rId397" display="http://www.utility.pge.com/edrs/pr/DisplayPR.asp?idEDR=1233640" xr:uid="{8B7FB6EB-F3C0-46BB-9456-71B281CE5FF9}"/>
    <hyperlink ref="AU202" r:id="rId398" display="http://www.utility.pge.com/edrs/pr/DisplayPR.asp?idEDR=1233640" xr:uid="{E2D13BA8-E463-4E27-8A5E-C6DEACB3BD7D}"/>
    <hyperlink ref="AU106" r:id="rId399" display="http://www.utility.pge.com/edrs/pr/DisplayPR.asp?idEDR=1233725" xr:uid="{82F6CEDA-0C60-4B1B-B107-F56EFF8237DC}"/>
    <hyperlink ref="AU107" r:id="rId400" display="http://www.utility.pge.com/edrs/pr/DisplayPR.asp?idEDR=1233725" xr:uid="{9BC80EFE-86E6-4FEE-8607-2DC92C624EA8}"/>
    <hyperlink ref="AU108" r:id="rId401" display="http://www.utility.pge.com/edrs/pr/DisplayPR.asp?idEDR=1233725" xr:uid="{9B5EBB29-A84F-49BC-A32B-8FE2EF578730}"/>
    <hyperlink ref="AU109" r:id="rId402" display="http://www.utility.pge.com/edrs/pr/DisplayPR.asp?idEDR=1233725" xr:uid="{FEAEAABC-2E19-4B75-81D3-2E07AFABC057}"/>
    <hyperlink ref="AU110" r:id="rId403" display="http://www.utility.pge.com/edrs/pr/DisplayPR.asp?idEDR=1233725" xr:uid="{2FFD7176-F790-4CE8-A686-08D7993EA740}"/>
    <hyperlink ref="AU111" r:id="rId404" display="http://www.utility.pge.com/edrs/pr/DisplayPR.asp?idEDR=1233725" xr:uid="{2B32EE31-C516-4876-9122-718AB8CD4500}"/>
    <hyperlink ref="AQ398" r:id="rId405" display="http://www.utility.pge.com/edrs/pr/DisplayPR.asp?idEDR=1233734" xr:uid="{08831FA1-7D66-4DB3-A91D-3A2BEBFAF8FB}"/>
    <hyperlink ref="AP129" r:id="rId406" display="http://www/edrs/pr/DisplayPR.asp?idEDR=1193821" xr:uid="{ECD8F0F0-6CC3-43BC-880E-546771EA3393}"/>
    <hyperlink ref="AP130" r:id="rId407" display="http://www/edrs/pr/DisplayPR.asp?idEDR=1193821" xr:uid="{596D84C8-E06F-438C-84EA-D67240DDF2D3}"/>
    <hyperlink ref="AP131" r:id="rId408" display="http://www/edrs/pr/DisplayPR.asp?idEDR=1193821" xr:uid="{2868574B-AB7D-4EA4-ADBB-74C05C904C0A}"/>
    <hyperlink ref="AP132" r:id="rId409" display="http://www/edrs/pr/DisplayPR.asp?idEDR=1193821" xr:uid="{15887FBF-4061-4C05-B7F0-660FB2303B35}"/>
    <hyperlink ref="AP133" r:id="rId410" display="http://www/edrs/pr/DisplayPR.asp?idEDR=1193821" xr:uid="{EC217201-9C77-4A3D-A361-1E7F2E18AF4E}"/>
    <hyperlink ref="AP134" r:id="rId411" display="http://www/edrs/pr/DisplayPR.asp?idEDR=1193821" xr:uid="{DC3C4FC9-815E-4FBA-BEEE-B751FC3F406C}"/>
    <hyperlink ref="AP135" r:id="rId412" display="http://www/edrs/pr/DisplayPR.asp?idEDR=1193821" xr:uid="{B9CAB3E1-E449-4CC2-8202-C8E043D06B92}"/>
    <hyperlink ref="AP136" r:id="rId413" display="http://www/edrs/pr/DisplayPR.asp?idEDR=1193821" xr:uid="{BCFEEBC4-B905-439B-B8AE-7EB80FCB90C2}"/>
    <hyperlink ref="AP137" r:id="rId414" display="http://www/edrs/pr/DisplayPR.asp?idEDR=1193821" xr:uid="{6F2EB4C5-70F7-4171-992F-33E8A731E8EC}"/>
    <hyperlink ref="AP138" r:id="rId415" display="http://www/edrs/pr/DisplayPR.asp?idEDR=1193821" xr:uid="{E2B11C38-BAA7-4167-9426-DB4722045882}"/>
    <hyperlink ref="AP139" r:id="rId416" display="http://www/edrs/pr/DisplayPR.asp?idEDR=1193821" xr:uid="{1F69FA0E-111E-4251-BF70-6F49B1BF72A4}"/>
    <hyperlink ref="AP140" r:id="rId417" display="http://www/edrs/pr/DisplayPR.asp?idEDR=1193821" xr:uid="{07079EBE-20D9-4013-BD64-0EE25AEB1D56}"/>
    <hyperlink ref="AP141" r:id="rId418" display="http://www/edrs/pr/DisplayPR.asp?idEDR=1193821" xr:uid="{E8B97D91-1534-493B-AACD-0321E3AC0D5E}"/>
    <hyperlink ref="AQ295" r:id="rId419" display="http://www/edrs/pr/DisplayPR.asp?idEDR=1230539" xr:uid="{89845E18-8369-4633-82F8-EB5411E9899A}"/>
    <hyperlink ref="AQ296" r:id="rId420" display="http://www/edrs/pr/DisplayPR.asp?idEDR=1230539" xr:uid="{E4ECA54E-B325-4B7E-B688-2ABAE0057A5A}"/>
    <hyperlink ref="AQ297" r:id="rId421" display="http://www/edrs/pr/DisplayPR.asp?idEDR=1230539" xr:uid="{8B723392-305C-4DDB-BD6C-9B203CFE993F}"/>
    <hyperlink ref="AQ347" r:id="rId422" display="http://www.utility.pge.com/edrs/pr/DisplayPR.asp?idEDR=1234543" xr:uid="{F1792271-D3C9-4E08-9943-D2DF59A95105}"/>
    <hyperlink ref="AQ353" r:id="rId423" display="http://www/edrs/pr/DisplayPR.asp?idEDR=1234537" xr:uid="{78722EB1-41BE-4B0C-91A0-DC9EC2FEF4A5}"/>
    <hyperlink ref="AQ361" r:id="rId424" display="http://www/edrs/pr/DisplayPR.asp?idEDR=1234842" xr:uid="{60C162A6-4AF0-423E-9DDC-C6EA52723845}"/>
    <hyperlink ref="AQ370" r:id="rId425" display="http://www/edrs/pr/DisplayPR.asp?idEDR=1234874" xr:uid="{553239DB-4AD9-426B-AA1E-CC7B6180AFC1}"/>
    <hyperlink ref="AQ377" r:id="rId426" display="http://www/edrs/pr/DisplayPR.asp?idEDR=1234919" xr:uid="{04E984EC-D7C6-476E-8F8C-B2457593074C}"/>
    <hyperlink ref="AQ383" r:id="rId427" display="http://www/edrs/pr/DisplayPR.asp?idEDR=1235021" xr:uid="{180D2D56-5751-4B08-896B-5116CA6D1B36}"/>
    <hyperlink ref="AU104" r:id="rId428" display="http://www/edrs/pr/DisplayPR.asp?idEDR=1231734" xr:uid="{0DD87D02-C160-4769-A8A8-42A26B17117D}"/>
    <hyperlink ref="AU105" r:id="rId429" display="http://www/edrs/pr/DisplayPR.asp?idEDR=1231734" xr:uid="{E67532B5-DC2F-4A2B-B571-033DC76721A4}"/>
    <hyperlink ref="AU99" r:id="rId430" display="http://www/edrs/pr/DisplayPR.asp?idEDR=1229284" xr:uid="{77D3F17D-026F-4E78-82CF-4D3FE072FF1F}"/>
    <hyperlink ref="AU99:AU102" r:id="rId431" display="http://www/edrs/pr/DisplayPR.asp?idEDR=1229284" xr:uid="{9941413C-54B9-4B1D-9A49-80CA0E34F588}"/>
    <hyperlink ref="AU117" r:id="rId432" display="http://www/edrs/pr/DisplayPR.asp?idEDR=1231732" xr:uid="{D09F0301-9546-4456-BC0E-E447E1601781}"/>
    <hyperlink ref="AU118" r:id="rId433" display="http://www/edrs/pr/DisplayPR.asp?idEDR=1231732" xr:uid="{B0BD80A4-B6CE-4615-B202-5FA02E9859F2}"/>
    <hyperlink ref="AU119" r:id="rId434" display="http://www/edrs/pr/DisplayPR.asp?idEDR=1231732" xr:uid="{5BFD2D56-2C0D-47EA-BE84-8D08548297D7}"/>
    <hyperlink ref="AU120" r:id="rId435" display="http://www/edrs/pr/DisplayPR.asp?idEDR=1231732" xr:uid="{40D40B66-876F-4484-A843-C23FFC2644D2}"/>
    <hyperlink ref="AU121" r:id="rId436" display="http://www/edrs/pr/DisplayPR.asp?idEDR=1231732" xr:uid="{C8857DEB-28BE-4793-8A46-612E8D9E0D34}"/>
    <hyperlink ref="AU97" r:id="rId437" display="http://www/edrs/pr/DisplayPR.asp?idEDR=1231738" xr:uid="{9112A4A3-1BD7-4A44-9144-ECFC4F0456F9}"/>
    <hyperlink ref="AU98" r:id="rId438" display="http://www/edrs/pr/DisplayPR.asp?idEDR=1231738" xr:uid="{DDB05996-B620-41DB-AF66-F68E6FC75E3A}"/>
    <hyperlink ref="AQ397" r:id="rId439" display="http://www/edrs/pr/DisplayPR.asp?idEDR=1237923" xr:uid="{490C8447-9A3C-415A-B656-73E7A39F6F03}"/>
    <hyperlink ref="BE241" r:id="rId440" display="http://www/edrs/pr/DisplayPR.asp?idEDR=1238315" xr:uid="{E83B6F79-882F-4712-B532-185E72C81650}"/>
    <hyperlink ref="AU162" r:id="rId441" display="http://www/edrs/pr/DisplayPR.asp?idEDR=1237723" xr:uid="{AF31224B-5FCC-4E73-A332-C5B6D9ADCC79}"/>
    <hyperlink ref="AU272" r:id="rId442" display="http://www/edrs/pr/DisplayPR.asp?idEDR=1237437" xr:uid="{6B677AAA-32DF-4C88-8D70-E7A3CB80856B}"/>
    <hyperlink ref="AU286" r:id="rId443" display="http://www/edrs/pr/DisplayPR.asp?idEDR=1237431" xr:uid="{0CC2E97F-C9F8-4D87-91DA-93CB079FDD0F}"/>
    <hyperlink ref="BF91" r:id="rId444" display="http://www/edrs/pr/DisplayPR.asp?idEDR=1237423" xr:uid="{2898F660-63CC-4551-9D05-E38805E31EE8}"/>
    <hyperlink ref="AU300" r:id="rId445" display="http://www/edrs/pr/DisplayPR.asp?idEDR=1237337" xr:uid="{5E3537C5-62BE-4160-A870-1F80A49CEDC1}"/>
    <hyperlink ref="AU271" r:id="rId446" display="http://www/edrs/pr/DisplayPR.asp?idEDR=1237148" xr:uid="{50B8E66A-801B-4648-945F-A5C661281324}"/>
    <hyperlink ref="BF240" r:id="rId447" display="http://www/edrs/pr/DisplayPR.asp?idEDR=1236943" xr:uid="{35F2EEF3-03E0-4CFD-A0BE-D93713F24BC6}"/>
    <hyperlink ref="AU273" r:id="rId448" display="http://www/edrs/pr/DisplayPR.asp?idEDR=1236685" xr:uid="{7B5DD69F-6513-45FD-9B7A-C8204A519E94}"/>
    <hyperlink ref="AU195" r:id="rId449" display="http://www/edrs/pr/DisplayPR.asp?idEDR=1235285" xr:uid="{035AD782-14E4-44AB-B8E9-3A083FE56750}"/>
    <hyperlink ref="AU196" r:id="rId450" display="http://www/edrs/pr/DisplayPR.asp?idEDR=1235285" xr:uid="{82594032-D473-4978-9A5E-048E61D85B2F}"/>
    <hyperlink ref="AU197" r:id="rId451" display="http://www/edrs/pr/DisplayPR.asp?idEDR=1235285" xr:uid="{C99E068F-7AA5-43D1-B3CD-ED2CD03ECA9B}"/>
    <hyperlink ref="AU198" r:id="rId452" display="http://www/edrs/pr/DisplayPR.asp?idEDR=1235285" xr:uid="{6876F585-AABB-465E-AD25-1B0146FDB64F}"/>
    <hyperlink ref="AU285" r:id="rId453" display="http://www/edrs/pr/DisplayPR.asp?idEDR=1235078" xr:uid="{78F8F4C6-3F17-4458-BB17-FBF874C95F83}"/>
    <hyperlink ref="AU329" r:id="rId454" display="http://www/edrs/pr/DisplayPR.asp?idEDR=1235051" xr:uid="{4C2EA21C-44E4-4319-8CF0-E610A1C1605A}"/>
    <hyperlink ref="AU330" r:id="rId455" display="http://www/edrs/pr/DisplayPR.asp?idEDR=1235051" xr:uid="{F3FD0066-7291-4BC5-908E-D12CB83A8FEC}"/>
    <hyperlink ref="AU331" r:id="rId456" display="http://www/edrs/pr/DisplayPR.asp?idEDR=1235051" xr:uid="{F11FE669-B3ED-4D7F-B75D-37806BCFC9E7}"/>
    <hyperlink ref="AU332" r:id="rId457" display="http://www/edrs/pr/DisplayPR.asp?idEDR=1235051" xr:uid="{B31475EB-D24E-4F73-80D0-A83A1457D9B5}"/>
    <hyperlink ref="AU333" r:id="rId458" display="http://www/edrs/pr/DisplayPR.asp?idEDR=1235051" xr:uid="{383EBB29-D5F0-4901-AA43-1B401BD036A3}"/>
    <hyperlink ref="AU334" r:id="rId459" display="http://www/edrs/pr/DisplayPR.asp?idEDR=1235051" xr:uid="{B99A9C9F-60D2-4DB7-B798-99AE7A482342}"/>
    <hyperlink ref="AU162:AU163" r:id="rId460" display="http://www/edrs/pr/DisplayPR.asp?idEDR=1237723" xr:uid="{52D0E448-73AD-4FD4-920C-6851EE31FB55}"/>
    <hyperlink ref="AU206:AU208" r:id="rId461" display="http://www.utility.pge.com/edrs/pr/DisplayPR.asp?idEDR=1233139" xr:uid="{E31E90A3-3A8B-4695-968B-788A7B46D09C}"/>
    <hyperlink ref="AQ303:AQ314" r:id="rId462" display="http://www/edrs/pr/DisplayPR.asp?idEDR=1229743" xr:uid="{B8100AA1-4679-4467-9771-4F455E445488}"/>
    <hyperlink ref="AU303:AU314" r:id="rId463" display="http://www/edrs/pr/DisplayPR.asp?idEDR=1237337" xr:uid="{74EA7B13-D391-4F99-9A46-4A9E713C217E}"/>
    <hyperlink ref="AQ349:AQ352" r:id="rId464" display="http://www.utility.pge.com/edrs/pr/DisplayPR.asp?idEDR=1232360" xr:uid="{590DCC7A-35EC-4970-80DE-4D2FBF393E5A}"/>
    <hyperlink ref="AU154" r:id="rId465" display="http://www/edrs/pr/DisplayPR.asp?idEDR=1229213" xr:uid="{990961F8-B433-4D9C-B85E-1F683A096389}"/>
    <hyperlink ref="AU155" r:id="rId466" display="http://www/edrs/pr/DisplayPR.asp?idEDR=1229283" xr:uid="{9E6E24BA-533D-4F12-B69E-A29CA47C0BF6}"/>
    <hyperlink ref="AU294" r:id="rId467" display="http://www/edrs/pr/DisplayPR.asp?idEDR=1233740" xr:uid="{E215F25C-0550-418A-AEF5-D0867EFA660A}"/>
    <hyperlink ref="AU295" r:id="rId468" display="http://www/edrs/pr/DisplayPR.asp?idEDR=1233740" xr:uid="{833FFDB7-E7A9-428C-8FBF-B6A5A64A85D0}"/>
    <hyperlink ref="AU296" r:id="rId469" display="http://www/edrs/pr/DisplayPR.asp?idEDR=1233740" xr:uid="{C48EB043-94B3-41B7-BC65-9C4AE14C6EEB}"/>
    <hyperlink ref="AU297" r:id="rId470" display="http://www/edrs/pr/DisplayPR.asp?idEDR=1233740" xr:uid="{74D70376-275A-4E70-B4BA-29D809E432A0}"/>
    <hyperlink ref="AU186" r:id="rId471" display="http://www/edrs/pr/DisplayPR.asp?idEDR=1234655" xr:uid="{513C5924-748E-4AE5-942A-87E691366325}"/>
    <hyperlink ref="AU187" r:id="rId472" display="http://www/edrs/pr/DisplayPR.asp?idEDR=1234655" xr:uid="{F8F61CCD-CD73-4D9A-89E6-B9E6A9E06F1E}"/>
    <hyperlink ref="AU188" r:id="rId473" display="http://www/edrs/pr/DisplayPR.asp?idEDR=1234655" xr:uid="{B029AA87-2747-4AC1-B4F8-E943D9A633DC}"/>
    <hyperlink ref="AU189" r:id="rId474" display="http://www/edrs/pr/DisplayPR.asp?idEDR=1234655" xr:uid="{F2813FC7-1C7F-48AF-95EB-067F4C0AA001}"/>
    <hyperlink ref="AU190" r:id="rId475" display="http://www/edrs/pr/DisplayPR.asp?idEDR=1234655" xr:uid="{8C4D6FDD-6E59-4DD3-B42C-391088CAB667}"/>
    <hyperlink ref="AU191" r:id="rId476" display="http://www/edrs/pr/DisplayPR.asp?idEDR=1234655" xr:uid="{94B32AF0-EFBE-446A-9ADA-281BFA3757E6}"/>
    <hyperlink ref="AU192" r:id="rId477" display="http://www/edrs/pr/DisplayPR.asp?idEDR=1234655" xr:uid="{A5A27E78-EC34-4448-BA16-0DBCABB01F42}"/>
    <hyperlink ref="AU193" r:id="rId478" display="http://www/edrs/pr/DisplayPR.asp?idEDR=1234655" xr:uid="{0140D9E1-04A5-4D5A-817C-B3FEB9EABEEA}"/>
    <hyperlink ref="AU194" r:id="rId479" display="http://www/edrs/pr/DisplayPR.asp?idEDR=1234655" xr:uid="{63268809-E2FA-4B02-9567-C26C82DE34B3}"/>
    <hyperlink ref="AU172" r:id="rId480" display="http://www.utility.pge.com/edrs/pr/DisplayPR.asp?idEDR=1233639" xr:uid="{455260C9-A6E6-4C91-B90C-29B0A63D68EB}"/>
    <hyperlink ref="AU173" r:id="rId481" display="http://www.utility.pge.com/edrs/pr/DisplayPR.asp?idEDR=1233639" xr:uid="{1401331A-8646-4F76-AB69-C4FDA5592EAA}"/>
    <hyperlink ref="AU174" r:id="rId482" display="http://www.utility.pge.com/edrs/pr/DisplayPR.asp?idEDR=1233639" xr:uid="{9D52CAA9-E103-4B3A-8A9E-21B5296BA263}"/>
    <hyperlink ref="AU175" r:id="rId483" display="http://www.utility.pge.com/edrs/pr/DisplayPR.asp?idEDR=1233639" xr:uid="{5D53C017-8514-454C-9D95-BA5E3DB21BB8}"/>
    <hyperlink ref="AU176" r:id="rId484" display="http://www.utility.pge.com/edrs/pr/DisplayPR.asp?idEDR=1233639" xr:uid="{F57111CE-E6F8-4DE6-8FE5-A80A4100BBF3}"/>
    <hyperlink ref="AU177" r:id="rId485" display="http://www.utility.pge.com/edrs/pr/DisplayPR.asp?idEDR=1233639" xr:uid="{65866B62-557F-4E9F-BBDE-78A8AD7AE42B}"/>
    <hyperlink ref="AU178" r:id="rId486" display="http://www.utility.pge.com/edrs/pr/DisplayPR.asp?idEDR=1233639" xr:uid="{B708F185-A0BE-48EE-B337-0959CD0A325F}"/>
    <hyperlink ref="AQ341" r:id="rId487" display="http://www.utility.pge.com/edrs/pr/DisplayPR.asp?idEDR=1232359" xr:uid="{C923F1EC-9081-424A-B479-71A47F87A572}"/>
    <hyperlink ref="BE398" r:id="rId488" display="http://www/edrs/pr/DisplayPR.asp?idEDR=1233782" xr:uid="{4862F115-C370-4674-8CF0-B29A33DBB7B8}"/>
    <hyperlink ref="BE399" r:id="rId489" display="http://www/edrs/pr/DisplayPR.asp?idEDR=1233812" xr:uid="{4D6CF054-DFEF-4EB7-869B-587B0C384E5F}"/>
    <hyperlink ref="BE400" r:id="rId490" display="http://www/edrs/pr/DisplayPR.asp?idEDR=1233806" xr:uid="{B8A27469-738F-49AF-B2EA-6DA5F897EEE5}"/>
    <hyperlink ref="AQ267" r:id="rId491" tooltip="http://www/edrs/pr/displaypr.asp?idedr=1042474" display="http://www/edrs/pr/DisplayPR.asp?idEDR=1042474" xr:uid="{E492FF77-C798-4460-A455-7323D12F2D95}"/>
    <hyperlink ref="AQ163" r:id="rId492" display="http://www/edrs/pr/DisplayPR.asp?idEDR=1228414" xr:uid="{CBD0C255-17C4-4EAA-BA8F-CF3F2C8DA16B}"/>
    <hyperlink ref="AQ164" r:id="rId493" display="http://www/edrs/pr/DisplayPR.asp?idEDR=1228414" xr:uid="{45F85AC0-ADAF-46D0-89CB-E91DCAC5F946}"/>
    <hyperlink ref="AP105" r:id="rId494" display="http://www/edrs/pr/DisplayPR.asp?idEDR=1218212" xr:uid="{5DA8D583-AAB4-4C8A-A4C6-3A622B3305C1}"/>
    <hyperlink ref="AQ105" r:id="rId495" display="http://www/edrs/pr/DisplayPR.asp?idEDR=1218213" xr:uid="{8F7AAF73-BA57-4AC3-8A89-1BCB89F59E21}"/>
    <hyperlink ref="AP115" r:id="rId496" display="http://www/edrs/pr/DisplayPR.asp?idEDR=1218748" xr:uid="{54C6EF83-5C6E-498B-9054-E1A6CC315F1F}"/>
    <hyperlink ref="AP114" r:id="rId497" display="http://www/edrs/pr/DisplayPR.asp?idEDR=1218748" xr:uid="{16BD0307-2910-4304-81CF-62B34482093A}"/>
    <hyperlink ref="AP113" r:id="rId498" display="http://www/edrs/pr/DisplayPR.asp?idEDR=1218748" xr:uid="{361BF395-67F3-4227-A2CB-F27F8C54643F}"/>
    <hyperlink ref="AQ115" r:id="rId499" display="http://www/edrs/pr/DisplayPR.asp?idEDR=1218925" xr:uid="{B9051FF5-2A4C-4F93-949C-6647DE217144}"/>
    <hyperlink ref="AQ114" r:id="rId500" display="http://www/edrs/pr/DisplayPR.asp?idEDR=1218925" xr:uid="{955D0C9D-4F9B-4957-BC43-D1C8B9FE0BF0}"/>
    <hyperlink ref="AQ113" r:id="rId501" display="http://www/edrs/pr/DisplayPR.asp?idEDR=1218925" xr:uid="{37C347AC-66FD-4563-8FE0-8EC9842A89E8}"/>
    <hyperlink ref="AQ111" r:id="rId502" display="http://www/edrs/pr/DisplayPR.asp?idEDR=1218700" xr:uid="{24F4B08B-3AF0-4F08-A867-410EE17DA1DF}"/>
    <hyperlink ref="AQ110" r:id="rId503" display="http://www/edrs/pr/DisplayPR.asp?idEDR=1218700" xr:uid="{A78431AB-36B3-4230-B7CB-4EC772208089}"/>
    <hyperlink ref="AQ109" r:id="rId504" display="http://www/edrs/pr/DisplayPR.asp?idEDR=1218700" xr:uid="{6BD48131-2433-4248-9879-287E256096A7}"/>
    <hyperlink ref="AQ108" r:id="rId505" display="http://www/edrs/pr/DisplayPR.asp?idEDR=1218700" xr:uid="{14E4B65D-C6C5-4F5B-B774-862C5D2081D0}"/>
    <hyperlink ref="AQ107" r:id="rId506" display="http://www/edrs/pr/DisplayPR.asp?idEDR=1218700" xr:uid="{223FFDBF-A1A2-4AFC-A1E0-44A335EE2158}"/>
    <hyperlink ref="AQ103" r:id="rId507" display="http://www/edrs/pr/DisplayPR.asp?idEDR=1217956" xr:uid="{2736F476-3CC9-40C9-A357-79295FA5F456}"/>
    <hyperlink ref="AQ102" r:id="rId508" display="http://www/edrs/pr/DisplayPR.asp?idEDR=1217956" xr:uid="{716F5279-39B8-4306-BAF8-B46A8FFFA9B3}"/>
    <hyperlink ref="AQ101" r:id="rId509" display="http://www/edrs/pr/DisplayPR.asp?idEDR=1217956" xr:uid="{1884C767-4BE0-482C-B97C-E3E6B82BD74F}"/>
    <hyperlink ref="AQ100" r:id="rId510" display="http://www/edrs/pr/DisplayPR.asp?idEDR=1217956" xr:uid="{94595CB8-AE34-43B0-95EA-81860D8DA836}"/>
    <hyperlink ref="AP112" r:id="rId511" display="http://www/edrs/pr/DisplayPR.asp?idEDR=1218748" xr:uid="{97B209A4-2FBF-4FE2-82B5-B561A6961492}"/>
    <hyperlink ref="AQ112" r:id="rId512" display="http://www/edrs/pr/DisplayPR.asp?idEDR=1218925" xr:uid="{6E143FFC-2F0B-4E71-A354-22D0FB11C89E}"/>
    <hyperlink ref="AP106" r:id="rId513" display="http://www/edrs/pr/DisplayPR.asp?idEDR=1218679" xr:uid="{38561564-AA27-4CEA-A8B3-F2DABC762A83}"/>
    <hyperlink ref="AQ106" r:id="rId514" display="http://www/edrs/pr/DisplayPR.asp?idEDR=1218700" xr:uid="{D15C81FC-C5A0-4F8A-AF66-1047B4F723F0}"/>
    <hyperlink ref="AP104" r:id="rId515" display="http://www/edrs/pr/DisplayPR.asp?idEDR=1218212" xr:uid="{17D2E458-0593-4280-8F05-3E25F188A942}"/>
    <hyperlink ref="AQ104" r:id="rId516" display="http://www/edrs/pr/DisplayPR.asp?idEDR=1218213" xr:uid="{29022AD2-AC67-4706-9503-17758E69768F}"/>
    <hyperlink ref="AQ99" r:id="rId517" display="http://www/edrs/pr/DisplayPR.asp?idEDR=1217956" xr:uid="{9D7977FB-C91F-45F8-AC1C-52A6E5D6FF64}"/>
    <hyperlink ref="BF401" r:id="rId518" display="http://www/edrs/pr/DisplayPR.asp?idEDR=1240317" xr:uid="{317A92CC-EAB4-4341-B485-5E3163A743E4}"/>
    <hyperlink ref="BE401" r:id="rId519" display="http://www/edrs/pr/DisplayPR.asp?idEDR=1235843" xr:uid="{3341F965-2FA4-4BD6-8685-B724BF501144}"/>
    <hyperlink ref="AQ355:AQ359" r:id="rId520" display="http://www.utility.pge.com/edrs/pr/DisplayPR.asp?idEDR=1234543" xr:uid="{787083AF-B856-487A-836F-B2C7BA443825}"/>
    <hyperlink ref="AQ361:AQ367" r:id="rId521" display="http://www/edrs/pr/DisplayPR.asp?idEDR=1234537" xr:uid="{AFA9EE25-8F0E-42CD-A5E9-6E5B037DAA8E}"/>
    <hyperlink ref="AQ369:AQ376" r:id="rId522" display="http://www/edrs/pr/DisplayPR.asp?idEDR=1234842" xr:uid="{A530551B-8325-4BAF-B0A7-533CDB353FF8}"/>
    <hyperlink ref="AQ378:AQ383" r:id="rId523" display="http://www/edrs/pr/DisplayPR.asp?idEDR=1234874" xr:uid="{FC6E8D58-38F4-4857-BD05-1F98613C4E63}"/>
    <hyperlink ref="AQ269" r:id="rId524" xr:uid="{938EB55C-626B-402E-803D-326E1754C8D3}"/>
    <hyperlink ref="BF241" r:id="rId525" xr:uid="{F8B78042-B949-40C2-A1D3-545F00C339FD}"/>
    <hyperlink ref="AU341" r:id="rId526" xr:uid="{3F47A317-FD99-4B3C-8309-FA034C8CE711}"/>
    <hyperlink ref="AU340" r:id="rId527" xr:uid="{D2452EE8-EF69-4048-BCB2-BD51597BC4F1}"/>
    <hyperlink ref="AU342" r:id="rId528" xr:uid="{0F2DD22D-4D8D-407A-B942-7B46D7B30F4E}"/>
    <hyperlink ref="AU343" r:id="rId529" xr:uid="{A97E0022-8AD1-4546-8666-449A89AC5B07}"/>
    <hyperlink ref="AU344" r:id="rId530" xr:uid="{91678414-6439-4C0D-82E4-D4D6BEADF7A0}"/>
    <hyperlink ref="AU345" r:id="rId531" xr:uid="{F1B07EE2-8801-42B9-84EB-F86ABC512E7A}"/>
    <hyperlink ref="AU346" r:id="rId532" xr:uid="{D8F3B555-E7C8-4E01-82CB-D26F4524DFD4}"/>
    <hyperlink ref="AQ338" r:id="rId533" display="http://www/edrs/pr/DisplayPR.asp?idEDR=1229833" xr:uid="{B3A9984A-7BAD-4CB1-AB1A-3C455C177D21}"/>
    <hyperlink ref="AQ339" r:id="rId534" display="http://www/edrs/pr/DisplayPR.asp?idEDR=1229833" xr:uid="{26DA3591-5007-4BC0-8358-1FBA9D2AFA4C}"/>
    <hyperlink ref="AU337" r:id="rId535" xr:uid="{93C411CA-AB7B-461E-BC2E-6BC644A5D5B7}"/>
    <hyperlink ref="AU338" r:id="rId536" xr:uid="{205A6C9E-0B70-4F30-8B6E-15D8DE507D45}"/>
    <hyperlink ref="AU339" r:id="rId537" xr:uid="{AE7AB939-6B2A-4CAB-9119-39E90B469DDA}"/>
    <hyperlink ref="AU216" r:id="rId538" xr:uid="{54AED9FB-3F78-4B57-ACD1-0760A7D3731C}"/>
    <hyperlink ref="AU217" r:id="rId539" xr:uid="{BB099B1E-5350-48A0-A199-25E7877FC19A}"/>
    <hyperlink ref="AU218" r:id="rId540" xr:uid="{FB049542-CDF9-494C-B19B-D4CFF2849DEC}"/>
    <hyperlink ref="AU219" r:id="rId541" xr:uid="{72EA5202-B743-43CC-8A34-E3AC61119CA7}"/>
    <hyperlink ref="AU220" r:id="rId542" xr:uid="{281B90CB-EF91-4E98-9815-F3C56589F47A}"/>
    <hyperlink ref="AU215" r:id="rId543" display="http://www.utility.pge.com/edrs/pr/DisplayPR.asp?idEDR=1233137" xr:uid="{E2E922DE-2C98-4072-A6EF-28FAA9E8DA9D}"/>
    <hyperlink ref="AQ288" r:id="rId544" display="http://www.utility.pge.com/edrs/pr/DisplayPR.asp?idEDR=1230683" xr:uid="{BDCB0BEE-98E1-43AD-97B3-5E8CF6A944DD}"/>
    <hyperlink ref="AQ289" r:id="rId545" display="http://www.utility.pge.com/edrs/pr/DisplayPR.asp?idEDR=1230683" xr:uid="{68E9C718-7DA9-487E-8527-D2C178B303D7}"/>
    <hyperlink ref="AU290" r:id="rId546" xr:uid="{692F470A-702E-4A50-9F74-4617487DC0F7}"/>
    <hyperlink ref="AU284" r:id="rId547" xr:uid="{C87B8240-2530-4F54-8D9A-6BC6FC667E40}"/>
    <hyperlink ref="AQ378" r:id="rId548" display="http://www/edrs/pr/DisplayPR.asp?idEDR=1234919" xr:uid="{E1E92405-47B1-4C7E-A3B0-5DA728562F39}"/>
    <hyperlink ref="AQ379" r:id="rId549" display="http://www/edrs/pr/DisplayPR.asp?idEDR=1234919" xr:uid="{4FD9E681-530D-4B27-97FE-793D69E08C23}"/>
    <hyperlink ref="AQ380" r:id="rId550" display="http://www/edrs/pr/DisplayPR.asp?idEDR=1234919" xr:uid="{1F86B5EC-81AC-414D-BE3D-AB8DBD35977F}"/>
    <hyperlink ref="AQ381" r:id="rId551" display="http://www/edrs/pr/DisplayPR.asp?idEDR=1234919" xr:uid="{356EF255-06E9-4A27-A84C-8C3045A44C65}"/>
    <hyperlink ref="AQ382" r:id="rId552" display="http://www/edrs/pr/DisplayPR.asp?idEDR=1234919" xr:uid="{9963FD9B-CEEF-4429-B273-FF411F909B5F}"/>
    <hyperlink ref="AQ384" r:id="rId553" display="http://www/edrs/pr/DisplayPR.asp?idEDR=1235021" xr:uid="{B9D2D14A-1E8A-4BEB-A583-881019E9C60C}"/>
    <hyperlink ref="AQ385" r:id="rId554" display="http://www/edrs/pr/DisplayPR.asp?idEDR=1235021" xr:uid="{BB43DC60-2C51-4DE1-8235-752EB32FF9B6}"/>
    <hyperlink ref="AQ386" r:id="rId555" display="http://www/edrs/pr/DisplayPR.asp?idEDR=1235021" xr:uid="{680885FC-4862-4353-9B2F-D00BD8934384}"/>
    <hyperlink ref="AQ387" r:id="rId556" display="http://www/edrs/pr/DisplayPR.asp?idEDR=1235021" xr:uid="{21C6C60B-0628-4B78-BB0E-58A64D1C9696}"/>
    <hyperlink ref="AQ247" r:id="rId557" display="http://www/edrs/pr/DisplayPR.asp?idEDR=1238899" xr:uid="{2B61166C-7029-41D4-9EA7-0789A09DA13F}"/>
    <hyperlink ref="AQ247:AQ264" r:id="rId558" display="http://www/edrs/pr/DisplayPR.asp?idEDR=1238899" xr:uid="{55AA678E-BDB7-43C6-B5CF-BF63864E51E5}"/>
    <hyperlink ref="AQ69" r:id="rId559" display="http://www/edrs/pr/DisplayPRRef.asp?idEDR=1013028&amp;refDoc=2019-35972" xr:uid="{ED6FACF9-1674-4F5D-9224-7635D6F54BD1}"/>
    <hyperlink ref="BE69" r:id="rId560" display="http://www/edrs/pr/DisplayPR.asp?idEDR=1130485" xr:uid="{438A0E2A-2CE1-4832-9B3C-0587D700A261}"/>
    <hyperlink ref="BF69" r:id="rId561" display="http://www/edrs/pr/DisplayPR.asp?idEDR=1187910" xr:uid="{AAB1FA99-B0A8-4DA9-82E7-59507471B460}"/>
    <hyperlink ref="AQ83" r:id="rId562" display="http://www/edrs/pr/DisplayPRRef.asp?idEDR=1036715&amp;refDoc=2019-35975" xr:uid="{CC970570-8304-4B99-AA92-4AE189810288}"/>
    <hyperlink ref="AU83" r:id="rId563" display="http://www/edrs/pr/DisplayPR.asp?idEDR=1094147" xr:uid="{C09E09E1-B121-41E3-A40B-063F48991471}"/>
    <hyperlink ref="BF83" r:id="rId564" display="http://www/edrs/pr/DisplayPR.asp?idEDR=1189093" xr:uid="{0330ECF3-12A5-4642-9D72-C45FA658DCDC}"/>
    <hyperlink ref="BE83" r:id="rId565" display="http://www/edrs/pr/DisplayPR.asp?idEDR=1127531" xr:uid="{9B3583F3-BEDE-41C8-9EB8-BA89585E8855}"/>
    <hyperlink ref="AQ64" r:id="rId566" display="http://www.utility.pge.com/edrs/pr/DisplayPRRef.asp?idEDR=1043422&amp;refDoc=2019-32244" xr:uid="{F9682DD8-93C4-4C2F-95D9-E25D683CFD90}"/>
    <hyperlink ref="AU64" r:id="rId567" display="http://www/edrs/pr/DisplayPR.asp?idEDR=1134520" xr:uid="{1A5FC947-4C18-4833-9EF1-9BE13AA8FDB0}"/>
    <hyperlink ref="BE64" r:id="rId568" display="http://www/edrs/pr/DisplayPR.asp?idEDR=1196385" xr:uid="{4F177821-7132-4F8E-9172-B08D08F9CECC}"/>
    <hyperlink ref="BF64" r:id="rId569" display="http://www/edrs/pr/DisplayPR.asp?idEDR=1199302" xr:uid="{7D4F6CCE-C039-4916-97C1-02280977137F}"/>
    <hyperlink ref="AQ85" r:id="rId570" display="http://www/edrs/pr/DisplayPR.asp?idEDR=968786" xr:uid="{FF4DA835-8FD7-4430-8700-CE7C87F6AF50}"/>
    <hyperlink ref="BF85" r:id="rId571" display="http://www/edrs/pr/DisplayPR.asp?idEDR=1089823" xr:uid="{08AE5C1D-C618-4C3B-84D1-8AB193AA8989}"/>
    <hyperlink ref="BP85" r:id="rId572" display="http://www/edrs/pr/DisplayPR.asp?idEDR=1077447" xr:uid="{185A218F-B358-4E2A-A657-1D1A43DF5DBF}"/>
    <hyperlink ref="AQ87" r:id="rId573" display="http://www/edrs/pr/DisplayPR.asp?idEDR=937217" xr:uid="{707ABF0D-3656-4EB1-A8D7-80563B452077}"/>
    <hyperlink ref="BF86" r:id="rId574" display="http://www/edrs/pr/DisplayPR.asp?idEDR=1207129" xr:uid="{5CE0A821-763D-43CF-831D-CEF4D35F5B95}"/>
    <hyperlink ref="AQ150" r:id="rId575" display="http://www/edrs/pr/DisplayPR.asp?idEDR=1194328" xr:uid="{09D44552-B105-4D9A-910C-C60B4021499F}"/>
    <hyperlink ref="AQ151" r:id="rId576" display="http://www/edrs/pr/DisplayPR.asp?idEDR=1194328" xr:uid="{FB31D632-9C84-4ABB-89E6-F21DF041FF85}"/>
    <hyperlink ref="AQ152" r:id="rId577" display="http://www/edrs/pr/DisplayPR.asp?idEDR=1194328" xr:uid="{48159DED-BA70-426B-B975-103FFB8F1DB5}"/>
    <hyperlink ref="AQ153" r:id="rId578" display="http://www/edrs/pr/DisplayPR.asp?idEDR=1194328" xr:uid="{B0BE2B4F-5C6F-4A0B-83EC-F95593F93F84}"/>
    <hyperlink ref="AP150" r:id="rId579" display="http://www/edrs/pr/DisplayPR.asp?idEDR=1194327" xr:uid="{EED194AF-D0F8-481A-B392-E3A82738BF0E}"/>
    <hyperlink ref="AP151" r:id="rId580" display="http://www/edrs/pr/DisplayPR.asp?idEDR=1194327" xr:uid="{BFA5FB09-96F4-41BB-9894-CAEFE05170A1}"/>
    <hyperlink ref="AP152" r:id="rId581" display="http://www/edrs/pr/DisplayPR.asp?idEDR=1194327" xr:uid="{7CD99F94-61A1-46B4-B141-FF167B174A9A}"/>
    <hyperlink ref="AP153" r:id="rId582" display="http://www/edrs/pr/DisplayPR.asp?idEDR=1194327" xr:uid="{9746BA31-9BDE-4C26-9C33-5AE90FCF26B5}"/>
    <hyperlink ref="AU150:AU153" r:id="rId583" display="http://www.utility.pge.com/edrs/pr/DisplayPR.asp?idEDR=1233431" xr:uid="{DC29A96F-214E-4759-B84E-8E09619DAB8F}"/>
  </hyperlinks>
  <pageMargins left="0.7" right="0.7" top="0.75" bottom="0.75" header="0.3" footer="0.3"/>
  <pageSetup orientation="portrait" r:id="rId584"/>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sheetPr filterMode="1"/>
  <dimension ref="A1:S3637"/>
  <sheetViews>
    <sheetView workbookViewId="0">
      <pane xSplit="2" ySplit="6" topLeftCell="P7" activePane="bottomRight" state="frozen"/>
      <selection pane="topRight" activeCell="C1" sqref="C1"/>
      <selection pane="bottomLeft" activeCell="A7" sqref="A7"/>
      <selection pane="bottomRight" activeCell="S1208" sqref="S1208"/>
    </sheetView>
  </sheetViews>
  <sheetFormatPr defaultColWidth="12.5703125" defaultRowHeight="12.75" x14ac:dyDescent="0.2"/>
  <cols>
    <col min="1" max="1" width="7.5703125" style="17" bestFit="1" customWidth="1"/>
    <col min="2" max="2" width="34.28515625" style="17" bestFit="1" customWidth="1"/>
    <col min="3" max="3" width="12.5703125" style="17"/>
    <col min="4" max="4" width="29" style="17" bestFit="1" customWidth="1"/>
    <col min="5" max="5" width="23.28515625" style="17" customWidth="1"/>
    <col min="6" max="6" width="38" style="17" bestFit="1" customWidth="1"/>
    <col min="7" max="7" width="19" style="17" bestFit="1" customWidth="1"/>
    <col min="8" max="8" width="27.5703125" style="17" bestFit="1" customWidth="1"/>
    <col min="9" max="9" width="27.5703125" style="17" customWidth="1"/>
    <col min="10" max="10" width="12.5703125" style="17" bestFit="1" customWidth="1"/>
    <col min="11" max="11" width="35.7109375" style="17" customWidth="1"/>
    <col min="12" max="12" width="13.7109375" style="17" bestFit="1" customWidth="1"/>
    <col min="13" max="13" width="20.42578125" style="17" bestFit="1" customWidth="1"/>
    <col min="14" max="14" width="28" style="17" bestFit="1" customWidth="1"/>
    <col min="15" max="15" width="25" style="17" bestFit="1" customWidth="1"/>
    <col min="16" max="16" width="25" style="17" customWidth="1"/>
    <col min="17" max="17" width="30.85546875" style="17" bestFit="1" customWidth="1"/>
    <col min="18" max="18" width="30.7109375" style="17" bestFit="1" customWidth="1"/>
    <col min="19" max="16384" width="12.5703125" style="17"/>
  </cols>
  <sheetData>
    <row r="1" spans="1:19" s="8" customFormat="1" ht="15.75" x14ac:dyDescent="0.2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hidden="1" x14ac:dyDescent="0.25">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75" hidden="1" x14ac:dyDescent="0.25">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75" hidden="1" x14ac:dyDescent="0.25">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75" hidden="1" x14ac:dyDescent="0.25">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75" hidden="1" x14ac:dyDescent="0.25">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75" hidden="1" x14ac:dyDescent="0.25">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75" hidden="1" x14ac:dyDescent="0.25">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75" hidden="1" x14ac:dyDescent="0.25">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75" hidden="1" x14ac:dyDescent="0.25">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75" hidden="1" x14ac:dyDescent="0.25">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75" hidden="1" x14ac:dyDescent="0.25">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75" hidden="1" x14ac:dyDescent="0.25">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75" hidden="1" x14ac:dyDescent="0.25">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75" hidden="1" x14ac:dyDescent="0.25">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75" hidden="1" x14ac:dyDescent="0.25">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75" hidden="1" x14ac:dyDescent="0.25">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75" hidden="1" x14ac:dyDescent="0.25">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75" hidden="1" x14ac:dyDescent="0.25">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75" hidden="1" x14ac:dyDescent="0.25">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75" hidden="1" x14ac:dyDescent="0.25">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75" hidden="1" x14ac:dyDescent="0.25">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75" hidden="1" x14ac:dyDescent="0.25">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75" hidden="1" x14ac:dyDescent="0.25">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75" hidden="1" x14ac:dyDescent="0.25">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75" hidden="1" x14ac:dyDescent="0.25">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75" hidden="1" x14ac:dyDescent="0.25">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75" hidden="1" x14ac:dyDescent="0.25">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75" hidden="1" x14ac:dyDescent="0.25">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75" hidden="1" x14ac:dyDescent="0.25">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75" hidden="1" x14ac:dyDescent="0.25">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75" hidden="1" x14ac:dyDescent="0.25">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75" hidden="1" x14ac:dyDescent="0.25">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75" hidden="1" x14ac:dyDescent="0.25">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75" hidden="1" x14ac:dyDescent="0.25">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75" hidden="1" x14ac:dyDescent="0.25">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75" hidden="1" x14ac:dyDescent="0.25">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75" hidden="1" x14ac:dyDescent="0.25">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75" hidden="1" x14ac:dyDescent="0.25">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75" hidden="1" x14ac:dyDescent="0.25">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75" hidden="1" x14ac:dyDescent="0.25">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75" hidden="1" x14ac:dyDescent="0.25">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75" hidden="1" x14ac:dyDescent="0.25">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75" hidden="1" x14ac:dyDescent="0.25">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75" hidden="1" x14ac:dyDescent="0.25">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75" hidden="1" x14ac:dyDescent="0.25">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75" hidden="1" x14ac:dyDescent="0.25">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75" hidden="1" x14ac:dyDescent="0.25">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75" hidden="1" x14ac:dyDescent="0.25">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75" hidden="1" x14ac:dyDescent="0.25">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75" hidden="1" x14ac:dyDescent="0.25">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75" hidden="1" x14ac:dyDescent="0.25">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75" hidden="1" x14ac:dyDescent="0.25">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75" hidden="1" x14ac:dyDescent="0.25">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75" hidden="1" x14ac:dyDescent="0.25">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75" hidden="1" x14ac:dyDescent="0.25">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75" hidden="1" x14ac:dyDescent="0.25">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75" hidden="1" x14ac:dyDescent="0.25">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75" hidden="1" x14ac:dyDescent="0.25">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75" hidden="1" x14ac:dyDescent="0.25">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75" hidden="1" x14ac:dyDescent="0.25">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75" hidden="1" x14ac:dyDescent="0.25">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75" hidden="1" x14ac:dyDescent="0.25">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75" hidden="1" x14ac:dyDescent="0.25">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75" hidden="1" x14ac:dyDescent="0.25">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75" hidden="1" x14ac:dyDescent="0.25">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75" hidden="1" x14ac:dyDescent="0.25">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75" hidden="1" x14ac:dyDescent="0.25">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75" hidden="1" x14ac:dyDescent="0.25">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75" hidden="1" x14ac:dyDescent="0.25">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75" hidden="1" x14ac:dyDescent="0.25">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75" hidden="1" x14ac:dyDescent="0.25">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75" hidden="1" x14ac:dyDescent="0.25">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75" hidden="1" x14ac:dyDescent="0.25">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75" hidden="1" x14ac:dyDescent="0.25">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75" hidden="1" x14ac:dyDescent="0.25">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75" hidden="1" x14ac:dyDescent="0.25">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75" hidden="1" x14ac:dyDescent="0.25">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75" hidden="1" x14ac:dyDescent="0.25">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75" hidden="1" x14ac:dyDescent="0.25">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75" hidden="1" x14ac:dyDescent="0.25">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75" hidden="1" x14ac:dyDescent="0.25">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75" hidden="1" x14ac:dyDescent="0.25">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75" hidden="1" x14ac:dyDescent="0.25">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75" hidden="1" x14ac:dyDescent="0.25">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75" hidden="1" x14ac:dyDescent="0.25">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75" hidden="1" x14ac:dyDescent="0.25">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75" hidden="1" x14ac:dyDescent="0.25">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75" hidden="1" x14ac:dyDescent="0.25">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75" hidden="1" x14ac:dyDescent="0.25">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75" hidden="1" x14ac:dyDescent="0.25">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75" hidden="1" x14ac:dyDescent="0.25">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75" hidden="1" x14ac:dyDescent="0.25">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75" hidden="1" x14ac:dyDescent="0.25">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75" hidden="1" x14ac:dyDescent="0.25">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75" hidden="1" x14ac:dyDescent="0.25">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75" hidden="1" x14ac:dyDescent="0.25">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75" hidden="1" x14ac:dyDescent="0.25">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75" hidden="1" x14ac:dyDescent="0.25">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75" hidden="1" x14ac:dyDescent="0.25">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75" hidden="1" x14ac:dyDescent="0.25">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75" hidden="1" x14ac:dyDescent="0.25">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75" hidden="1" x14ac:dyDescent="0.25">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75" hidden="1" x14ac:dyDescent="0.25">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75" hidden="1" x14ac:dyDescent="0.25">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75" hidden="1" x14ac:dyDescent="0.25">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75" hidden="1" x14ac:dyDescent="0.25">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75" hidden="1" x14ac:dyDescent="0.25">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75" hidden="1" x14ac:dyDescent="0.25">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75" hidden="1" x14ac:dyDescent="0.25">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75" hidden="1" x14ac:dyDescent="0.25">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75" hidden="1" x14ac:dyDescent="0.25">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75" hidden="1" x14ac:dyDescent="0.25">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75" hidden="1" x14ac:dyDescent="0.25">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75" hidden="1" x14ac:dyDescent="0.25">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75" hidden="1" x14ac:dyDescent="0.25">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75" hidden="1" x14ac:dyDescent="0.25">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75" hidden="1" x14ac:dyDescent="0.25">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75" hidden="1" x14ac:dyDescent="0.25">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75" hidden="1" x14ac:dyDescent="0.25">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75" hidden="1" x14ac:dyDescent="0.25">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75" hidden="1" x14ac:dyDescent="0.25">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75" hidden="1" x14ac:dyDescent="0.25">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75" hidden="1" x14ac:dyDescent="0.25">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75" hidden="1" x14ac:dyDescent="0.25">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75" hidden="1" x14ac:dyDescent="0.25">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75" hidden="1" x14ac:dyDescent="0.25">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75" hidden="1" x14ac:dyDescent="0.25">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75" hidden="1" x14ac:dyDescent="0.25">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75" hidden="1" x14ac:dyDescent="0.25">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75" hidden="1" x14ac:dyDescent="0.25">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75" hidden="1" x14ac:dyDescent="0.25">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75" hidden="1" x14ac:dyDescent="0.25">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75" hidden="1" x14ac:dyDescent="0.25">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75" hidden="1" x14ac:dyDescent="0.25">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75" hidden="1" x14ac:dyDescent="0.25">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75" hidden="1" x14ac:dyDescent="0.25">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75" hidden="1" x14ac:dyDescent="0.25">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75" hidden="1" x14ac:dyDescent="0.25">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75" hidden="1" x14ac:dyDescent="0.25">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75" hidden="1" x14ac:dyDescent="0.25">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75" hidden="1" x14ac:dyDescent="0.25">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75" hidden="1" x14ac:dyDescent="0.25">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75" hidden="1" x14ac:dyDescent="0.25">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75" hidden="1" x14ac:dyDescent="0.25">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75" hidden="1" x14ac:dyDescent="0.25">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75" hidden="1" x14ac:dyDescent="0.25">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75" hidden="1" x14ac:dyDescent="0.25">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75" hidden="1" x14ac:dyDescent="0.25">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75" hidden="1" x14ac:dyDescent="0.25">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75" hidden="1" x14ac:dyDescent="0.25">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75" hidden="1" x14ac:dyDescent="0.25">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75" hidden="1" x14ac:dyDescent="0.25">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75" hidden="1" x14ac:dyDescent="0.25">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75" hidden="1" x14ac:dyDescent="0.25">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75" hidden="1" x14ac:dyDescent="0.25">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75" hidden="1" x14ac:dyDescent="0.25">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75" hidden="1" x14ac:dyDescent="0.25">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75" hidden="1" x14ac:dyDescent="0.25">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75" hidden="1" x14ac:dyDescent="0.25">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75" hidden="1" x14ac:dyDescent="0.25">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75" hidden="1" x14ac:dyDescent="0.25">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75" hidden="1" x14ac:dyDescent="0.25">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75" hidden="1" x14ac:dyDescent="0.25">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75" hidden="1" x14ac:dyDescent="0.25">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75" hidden="1" x14ac:dyDescent="0.25">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75" hidden="1" x14ac:dyDescent="0.25">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75" hidden="1" x14ac:dyDescent="0.25">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75" hidden="1" x14ac:dyDescent="0.25">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75" hidden="1" x14ac:dyDescent="0.25">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75" hidden="1" x14ac:dyDescent="0.25">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75" hidden="1" x14ac:dyDescent="0.25">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75" hidden="1" x14ac:dyDescent="0.25">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75" hidden="1" x14ac:dyDescent="0.25">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75" hidden="1" x14ac:dyDescent="0.25">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75" hidden="1" x14ac:dyDescent="0.25">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75" hidden="1" x14ac:dyDescent="0.25">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75" hidden="1" x14ac:dyDescent="0.25">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75" hidden="1" x14ac:dyDescent="0.25">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75" hidden="1" x14ac:dyDescent="0.25">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75" hidden="1" x14ac:dyDescent="0.25">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75" hidden="1" x14ac:dyDescent="0.25">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75" hidden="1" x14ac:dyDescent="0.25">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75" hidden="1" x14ac:dyDescent="0.25">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75" hidden="1" x14ac:dyDescent="0.25">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75" hidden="1" x14ac:dyDescent="0.25">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75" hidden="1" x14ac:dyDescent="0.25">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75" hidden="1" x14ac:dyDescent="0.25">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75" hidden="1" x14ac:dyDescent="0.25">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75" hidden="1" x14ac:dyDescent="0.25">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75" hidden="1" x14ac:dyDescent="0.25">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75" hidden="1" x14ac:dyDescent="0.25">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75" hidden="1" x14ac:dyDescent="0.25">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75" hidden="1" x14ac:dyDescent="0.25">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75" hidden="1" x14ac:dyDescent="0.25">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75" hidden="1" x14ac:dyDescent="0.25">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75" hidden="1" x14ac:dyDescent="0.25">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75" hidden="1" x14ac:dyDescent="0.25">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75" hidden="1" x14ac:dyDescent="0.25">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75" hidden="1" x14ac:dyDescent="0.25">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75" hidden="1" x14ac:dyDescent="0.25">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75" hidden="1" x14ac:dyDescent="0.25">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75" hidden="1" x14ac:dyDescent="0.25">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75" hidden="1" x14ac:dyDescent="0.25">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75" hidden="1" x14ac:dyDescent="0.25">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75" hidden="1" x14ac:dyDescent="0.25">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75" hidden="1" x14ac:dyDescent="0.25">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75" hidden="1" x14ac:dyDescent="0.25">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75" hidden="1" x14ac:dyDescent="0.25">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75" hidden="1" x14ac:dyDescent="0.25">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75" hidden="1" x14ac:dyDescent="0.25">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75" hidden="1" x14ac:dyDescent="0.25">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75" hidden="1" x14ac:dyDescent="0.25">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75" hidden="1" x14ac:dyDescent="0.25">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75" hidden="1" x14ac:dyDescent="0.25">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75" hidden="1" x14ac:dyDescent="0.25">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75" hidden="1" x14ac:dyDescent="0.25">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75" hidden="1" x14ac:dyDescent="0.25">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75" hidden="1" x14ac:dyDescent="0.25">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75" hidden="1" x14ac:dyDescent="0.25">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75" hidden="1" x14ac:dyDescent="0.25">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75" hidden="1" x14ac:dyDescent="0.25">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75" hidden="1" x14ac:dyDescent="0.25">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75" hidden="1" x14ac:dyDescent="0.25">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75" hidden="1" x14ac:dyDescent="0.25">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75" hidden="1" x14ac:dyDescent="0.25">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75" hidden="1" x14ac:dyDescent="0.25">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75" hidden="1" x14ac:dyDescent="0.25">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75" hidden="1" x14ac:dyDescent="0.25">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75" hidden="1" x14ac:dyDescent="0.25">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75" hidden="1" x14ac:dyDescent="0.25">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75" hidden="1" x14ac:dyDescent="0.25">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75" hidden="1" x14ac:dyDescent="0.25">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75" hidden="1" x14ac:dyDescent="0.25">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75" hidden="1" x14ac:dyDescent="0.25">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75" hidden="1" x14ac:dyDescent="0.25">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75" hidden="1" x14ac:dyDescent="0.25">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75" hidden="1" x14ac:dyDescent="0.25">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75" hidden="1" x14ac:dyDescent="0.25">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75" hidden="1" x14ac:dyDescent="0.25">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75" hidden="1" x14ac:dyDescent="0.25">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75" hidden="1" x14ac:dyDescent="0.25">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75" hidden="1" x14ac:dyDescent="0.25">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75" hidden="1" x14ac:dyDescent="0.25">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75" hidden="1" x14ac:dyDescent="0.25">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75" hidden="1" x14ac:dyDescent="0.25">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75" hidden="1" x14ac:dyDescent="0.25">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75" hidden="1" x14ac:dyDescent="0.25">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75" hidden="1" x14ac:dyDescent="0.25">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75" hidden="1" x14ac:dyDescent="0.25">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75" hidden="1" x14ac:dyDescent="0.25">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75" hidden="1" x14ac:dyDescent="0.25">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75" hidden="1" x14ac:dyDescent="0.25">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75" hidden="1" x14ac:dyDescent="0.25">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75" hidden="1" x14ac:dyDescent="0.25">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75" hidden="1" x14ac:dyDescent="0.25">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75" hidden="1" x14ac:dyDescent="0.25">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75" hidden="1" x14ac:dyDescent="0.25">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75" hidden="1" x14ac:dyDescent="0.25">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75" hidden="1" x14ac:dyDescent="0.25">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75" hidden="1" x14ac:dyDescent="0.25">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75" hidden="1" x14ac:dyDescent="0.25">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75" hidden="1" x14ac:dyDescent="0.25">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75" hidden="1" x14ac:dyDescent="0.25">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75" hidden="1" x14ac:dyDescent="0.25">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75" hidden="1" x14ac:dyDescent="0.25">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75" hidden="1" x14ac:dyDescent="0.25">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75" hidden="1" x14ac:dyDescent="0.25">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75" hidden="1" x14ac:dyDescent="0.25">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75" hidden="1" x14ac:dyDescent="0.25">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75" hidden="1" x14ac:dyDescent="0.25">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75" hidden="1" x14ac:dyDescent="0.25">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75" hidden="1" x14ac:dyDescent="0.25">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75" hidden="1" x14ac:dyDescent="0.25">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75" hidden="1" x14ac:dyDescent="0.25">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75" hidden="1" x14ac:dyDescent="0.25">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75" hidden="1" x14ac:dyDescent="0.25">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75" hidden="1" x14ac:dyDescent="0.25">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75" hidden="1" x14ac:dyDescent="0.25">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75" hidden="1" x14ac:dyDescent="0.25">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75" hidden="1" x14ac:dyDescent="0.25">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75" hidden="1" x14ac:dyDescent="0.25">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75" hidden="1" x14ac:dyDescent="0.25">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75" hidden="1" x14ac:dyDescent="0.25">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75" hidden="1" x14ac:dyDescent="0.25">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75" hidden="1" x14ac:dyDescent="0.25">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75" hidden="1" x14ac:dyDescent="0.25">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75" hidden="1" x14ac:dyDescent="0.25">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75" hidden="1" x14ac:dyDescent="0.25">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75" hidden="1" x14ac:dyDescent="0.25">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75" hidden="1" x14ac:dyDescent="0.25">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75" hidden="1" x14ac:dyDescent="0.25">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75" hidden="1" x14ac:dyDescent="0.25">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75" hidden="1" x14ac:dyDescent="0.25">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75" hidden="1" x14ac:dyDescent="0.25">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75" hidden="1" x14ac:dyDescent="0.25">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75" hidden="1" x14ac:dyDescent="0.25">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75" hidden="1" x14ac:dyDescent="0.25">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75" hidden="1" x14ac:dyDescent="0.25">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75" hidden="1" x14ac:dyDescent="0.25">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75" hidden="1" x14ac:dyDescent="0.25">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75" hidden="1" x14ac:dyDescent="0.25">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75" hidden="1" x14ac:dyDescent="0.25">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75" hidden="1" x14ac:dyDescent="0.25">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75" hidden="1" x14ac:dyDescent="0.25">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75" hidden="1" x14ac:dyDescent="0.25">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75" hidden="1" x14ac:dyDescent="0.25">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75" hidden="1" x14ac:dyDescent="0.25">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75" hidden="1" x14ac:dyDescent="0.25">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75" hidden="1" x14ac:dyDescent="0.25">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75" hidden="1" x14ac:dyDescent="0.25">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75" hidden="1" x14ac:dyDescent="0.25">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75" hidden="1" x14ac:dyDescent="0.25">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75" hidden="1" x14ac:dyDescent="0.25">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75" hidden="1" x14ac:dyDescent="0.25">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75" hidden="1" x14ac:dyDescent="0.25">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75" hidden="1" x14ac:dyDescent="0.25">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75" hidden="1" x14ac:dyDescent="0.25">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75" hidden="1" x14ac:dyDescent="0.25">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75" hidden="1" x14ac:dyDescent="0.25">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75" hidden="1" x14ac:dyDescent="0.25">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75" hidden="1" x14ac:dyDescent="0.25">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75" hidden="1" x14ac:dyDescent="0.25">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75" hidden="1" x14ac:dyDescent="0.25">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75" hidden="1" x14ac:dyDescent="0.25">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75" hidden="1" x14ac:dyDescent="0.25">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75" hidden="1" x14ac:dyDescent="0.25">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75" hidden="1" x14ac:dyDescent="0.25">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75" hidden="1" x14ac:dyDescent="0.25">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75" hidden="1" x14ac:dyDescent="0.25">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75" hidden="1" x14ac:dyDescent="0.25">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75" hidden="1" x14ac:dyDescent="0.25">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75" hidden="1" x14ac:dyDescent="0.25">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75" hidden="1" x14ac:dyDescent="0.25">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75" hidden="1" x14ac:dyDescent="0.25">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75" hidden="1" x14ac:dyDescent="0.25">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75" hidden="1" x14ac:dyDescent="0.25">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75" hidden="1" x14ac:dyDescent="0.25">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75" hidden="1" x14ac:dyDescent="0.25">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75" hidden="1" x14ac:dyDescent="0.25">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75" hidden="1" x14ac:dyDescent="0.25">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75" hidden="1" x14ac:dyDescent="0.25">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75" hidden="1" x14ac:dyDescent="0.25">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75" hidden="1" x14ac:dyDescent="0.25">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75" hidden="1" x14ac:dyDescent="0.25">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75" hidden="1" x14ac:dyDescent="0.25">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75" hidden="1" x14ac:dyDescent="0.25">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75" hidden="1" x14ac:dyDescent="0.25">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75" hidden="1" x14ac:dyDescent="0.25">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75" hidden="1" x14ac:dyDescent="0.25">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75" hidden="1" x14ac:dyDescent="0.25">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75" hidden="1" x14ac:dyDescent="0.25">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75" hidden="1" x14ac:dyDescent="0.25">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75" hidden="1" x14ac:dyDescent="0.25">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75" hidden="1" x14ac:dyDescent="0.25">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75" hidden="1" x14ac:dyDescent="0.25">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75" hidden="1" x14ac:dyDescent="0.25">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75" hidden="1" x14ac:dyDescent="0.25">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75" hidden="1" x14ac:dyDescent="0.25">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75" hidden="1" x14ac:dyDescent="0.25">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75" hidden="1" x14ac:dyDescent="0.25">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75" hidden="1" x14ac:dyDescent="0.25">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75" hidden="1" x14ac:dyDescent="0.25">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75" hidden="1" x14ac:dyDescent="0.25">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75" hidden="1" x14ac:dyDescent="0.25">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75" hidden="1" x14ac:dyDescent="0.25">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75" hidden="1" x14ac:dyDescent="0.25">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75" hidden="1" x14ac:dyDescent="0.25">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75" hidden="1" x14ac:dyDescent="0.25">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75" hidden="1" x14ac:dyDescent="0.25">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75" hidden="1" x14ac:dyDescent="0.25">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75" hidden="1" x14ac:dyDescent="0.25">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75" hidden="1" x14ac:dyDescent="0.25">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75" hidden="1" x14ac:dyDescent="0.25">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75" hidden="1" x14ac:dyDescent="0.25">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75" hidden="1" x14ac:dyDescent="0.25">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75" hidden="1" x14ac:dyDescent="0.25">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75" hidden="1" x14ac:dyDescent="0.25">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75" hidden="1" x14ac:dyDescent="0.25">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75" hidden="1" x14ac:dyDescent="0.25">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75" hidden="1" x14ac:dyDescent="0.25">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75" hidden="1" x14ac:dyDescent="0.25">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75" hidden="1" x14ac:dyDescent="0.25">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75" hidden="1" x14ac:dyDescent="0.25">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75" hidden="1" x14ac:dyDescent="0.25">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75" hidden="1" x14ac:dyDescent="0.25">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75" hidden="1" x14ac:dyDescent="0.25">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75" hidden="1" x14ac:dyDescent="0.25">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75" hidden="1" x14ac:dyDescent="0.25">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75" hidden="1" x14ac:dyDescent="0.25">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75" hidden="1" x14ac:dyDescent="0.25">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75" hidden="1" x14ac:dyDescent="0.25">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75" hidden="1" x14ac:dyDescent="0.25">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75" hidden="1" x14ac:dyDescent="0.25">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75" hidden="1" x14ac:dyDescent="0.25">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75" hidden="1" x14ac:dyDescent="0.25">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75" hidden="1" x14ac:dyDescent="0.25">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75" hidden="1" x14ac:dyDescent="0.25">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75" hidden="1" x14ac:dyDescent="0.25">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75" hidden="1" x14ac:dyDescent="0.25">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75" hidden="1" x14ac:dyDescent="0.25">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75" hidden="1" x14ac:dyDescent="0.25">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75" hidden="1" x14ac:dyDescent="0.25">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75" hidden="1" x14ac:dyDescent="0.25">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75" hidden="1" x14ac:dyDescent="0.25">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75" hidden="1" x14ac:dyDescent="0.25">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75" hidden="1" x14ac:dyDescent="0.25">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75" hidden="1" x14ac:dyDescent="0.25">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75" hidden="1" x14ac:dyDescent="0.25">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75" hidden="1" x14ac:dyDescent="0.25">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75" hidden="1" x14ac:dyDescent="0.25">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75" hidden="1" x14ac:dyDescent="0.25">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75" hidden="1" x14ac:dyDescent="0.25">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75" hidden="1" x14ac:dyDescent="0.25">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75" hidden="1" x14ac:dyDescent="0.25">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75" hidden="1" x14ac:dyDescent="0.25">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75" hidden="1" x14ac:dyDescent="0.25">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75" hidden="1" x14ac:dyDescent="0.25">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75" hidden="1" x14ac:dyDescent="0.25">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75" hidden="1" x14ac:dyDescent="0.25">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75" hidden="1" x14ac:dyDescent="0.25">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75" hidden="1" x14ac:dyDescent="0.25">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75" hidden="1" x14ac:dyDescent="0.25">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75" hidden="1" x14ac:dyDescent="0.25">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75" hidden="1" x14ac:dyDescent="0.25">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75" hidden="1" x14ac:dyDescent="0.25">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75" hidden="1" x14ac:dyDescent="0.25">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75" hidden="1" x14ac:dyDescent="0.25">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75" hidden="1" x14ac:dyDescent="0.25">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75" hidden="1" x14ac:dyDescent="0.25">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75" hidden="1" x14ac:dyDescent="0.25">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75" hidden="1" x14ac:dyDescent="0.25">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75" hidden="1" x14ac:dyDescent="0.25">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75" hidden="1" x14ac:dyDescent="0.25">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75" hidden="1" x14ac:dyDescent="0.25">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75" hidden="1" x14ac:dyDescent="0.25">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75" hidden="1" x14ac:dyDescent="0.25">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75" hidden="1" x14ac:dyDescent="0.25">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75" hidden="1" x14ac:dyDescent="0.25">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75" hidden="1" x14ac:dyDescent="0.25">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75" hidden="1" x14ac:dyDescent="0.25">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75" hidden="1" x14ac:dyDescent="0.25">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75" hidden="1" x14ac:dyDescent="0.25">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75" hidden="1" x14ac:dyDescent="0.25">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75" hidden="1" x14ac:dyDescent="0.25">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75" hidden="1" x14ac:dyDescent="0.25">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75" hidden="1" x14ac:dyDescent="0.25">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75" hidden="1" x14ac:dyDescent="0.25">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75" hidden="1" x14ac:dyDescent="0.25">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75" hidden="1" x14ac:dyDescent="0.25">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75" hidden="1" x14ac:dyDescent="0.25">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75" hidden="1" x14ac:dyDescent="0.25">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75" hidden="1" x14ac:dyDescent="0.25">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75" hidden="1" x14ac:dyDescent="0.25">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75" hidden="1" x14ac:dyDescent="0.25">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75" hidden="1" x14ac:dyDescent="0.25">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75" hidden="1" x14ac:dyDescent="0.25">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75" hidden="1" x14ac:dyDescent="0.25">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75" hidden="1" x14ac:dyDescent="0.25">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75" hidden="1" x14ac:dyDescent="0.25">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75" hidden="1" x14ac:dyDescent="0.25">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75" hidden="1" x14ac:dyDescent="0.25">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75" hidden="1" x14ac:dyDescent="0.25">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75" hidden="1" x14ac:dyDescent="0.25">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75" hidden="1" x14ac:dyDescent="0.25">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75" hidden="1" x14ac:dyDescent="0.25">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75" hidden="1" x14ac:dyDescent="0.25">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75" hidden="1" x14ac:dyDescent="0.25">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75" hidden="1" x14ac:dyDescent="0.25">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75" hidden="1" x14ac:dyDescent="0.25">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75" hidden="1" x14ac:dyDescent="0.25">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75" hidden="1" x14ac:dyDescent="0.25">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75" hidden="1" x14ac:dyDescent="0.25">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75" hidden="1" x14ac:dyDescent="0.25">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75" hidden="1" x14ac:dyDescent="0.25">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75" hidden="1" x14ac:dyDescent="0.25">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75" hidden="1" x14ac:dyDescent="0.25">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75" hidden="1" x14ac:dyDescent="0.25">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75" hidden="1" x14ac:dyDescent="0.25">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75" hidden="1" x14ac:dyDescent="0.25">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75" hidden="1" x14ac:dyDescent="0.25">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75" hidden="1" x14ac:dyDescent="0.25">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75" hidden="1" x14ac:dyDescent="0.25">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75" hidden="1" x14ac:dyDescent="0.25">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75" hidden="1" x14ac:dyDescent="0.25">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75" hidden="1" x14ac:dyDescent="0.25">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75" hidden="1" x14ac:dyDescent="0.25">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75" hidden="1" x14ac:dyDescent="0.25">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75" hidden="1" x14ac:dyDescent="0.25">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75" hidden="1" x14ac:dyDescent="0.25">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75" hidden="1" x14ac:dyDescent="0.25">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75" hidden="1" x14ac:dyDescent="0.25">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75" hidden="1" x14ac:dyDescent="0.25">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75" hidden="1" x14ac:dyDescent="0.25">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75" hidden="1" x14ac:dyDescent="0.25">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75" hidden="1" x14ac:dyDescent="0.25">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75" hidden="1" x14ac:dyDescent="0.25">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75" hidden="1" x14ac:dyDescent="0.25">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75" hidden="1" x14ac:dyDescent="0.25">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75" hidden="1" x14ac:dyDescent="0.25">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75" hidden="1" x14ac:dyDescent="0.25">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75" hidden="1" x14ac:dyDescent="0.25">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75" hidden="1" x14ac:dyDescent="0.25">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75" hidden="1" x14ac:dyDescent="0.25">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75" hidden="1" x14ac:dyDescent="0.25">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75" hidden="1" x14ac:dyDescent="0.25">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75" hidden="1" x14ac:dyDescent="0.25">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75" hidden="1" x14ac:dyDescent="0.25">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75" hidden="1" x14ac:dyDescent="0.25">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75" hidden="1" x14ac:dyDescent="0.25">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75" hidden="1" x14ac:dyDescent="0.25">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75" hidden="1" x14ac:dyDescent="0.25">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75" hidden="1" x14ac:dyDescent="0.25">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75" hidden="1" x14ac:dyDescent="0.25">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75" hidden="1" x14ac:dyDescent="0.25">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75" hidden="1" x14ac:dyDescent="0.25">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75" hidden="1" x14ac:dyDescent="0.25">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75" hidden="1" x14ac:dyDescent="0.25">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75" hidden="1" x14ac:dyDescent="0.25">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75" hidden="1" x14ac:dyDescent="0.25">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75" hidden="1" x14ac:dyDescent="0.25">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75" hidden="1" x14ac:dyDescent="0.25">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75" hidden="1" x14ac:dyDescent="0.25">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75" hidden="1" x14ac:dyDescent="0.25">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75" hidden="1" x14ac:dyDescent="0.25">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75" hidden="1" x14ac:dyDescent="0.25">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75" hidden="1" x14ac:dyDescent="0.25">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75" hidden="1" x14ac:dyDescent="0.25">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75" hidden="1" x14ac:dyDescent="0.25">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75" hidden="1" x14ac:dyDescent="0.25">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75" hidden="1" x14ac:dyDescent="0.25">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75" hidden="1" x14ac:dyDescent="0.25">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75" hidden="1" x14ac:dyDescent="0.25">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75" hidden="1" x14ac:dyDescent="0.25">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75" hidden="1" x14ac:dyDescent="0.25">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75" hidden="1" x14ac:dyDescent="0.25">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75" hidden="1" x14ac:dyDescent="0.25">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75" hidden="1" x14ac:dyDescent="0.25">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75" hidden="1" x14ac:dyDescent="0.25">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75" hidden="1" x14ac:dyDescent="0.25">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75" hidden="1" x14ac:dyDescent="0.25">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75" hidden="1" x14ac:dyDescent="0.25">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75" hidden="1" x14ac:dyDescent="0.25">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75" hidden="1" x14ac:dyDescent="0.25">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75" hidden="1" x14ac:dyDescent="0.25">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75" hidden="1" x14ac:dyDescent="0.25">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75" hidden="1" x14ac:dyDescent="0.25">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75" hidden="1" x14ac:dyDescent="0.25">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75" hidden="1" x14ac:dyDescent="0.25">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75" hidden="1" x14ac:dyDescent="0.25">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75" hidden="1" x14ac:dyDescent="0.25">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75" hidden="1" x14ac:dyDescent="0.25">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75" hidden="1" x14ac:dyDescent="0.25">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75" hidden="1" x14ac:dyDescent="0.25">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75" hidden="1" x14ac:dyDescent="0.25">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75" hidden="1" x14ac:dyDescent="0.25">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75" hidden="1" x14ac:dyDescent="0.25">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75" hidden="1" x14ac:dyDescent="0.25">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75" hidden="1" x14ac:dyDescent="0.25">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75" hidden="1" x14ac:dyDescent="0.25">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75" hidden="1" x14ac:dyDescent="0.25">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75" hidden="1" x14ac:dyDescent="0.25">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75" hidden="1" x14ac:dyDescent="0.25">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75" hidden="1" x14ac:dyDescent="0.25">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75" hidden="1" x14ac:dyDescent="0.25">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75" hidden="1" x14ac:dyDescent="0.25">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75" hidden="1" x14ac:dyDescent="0.25">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75" hidden="1" x14ac:dyDescent="0.25">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75" hidden="1" x14ac:dyDescent="0.25">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75" hidden="1" x14ac:dyDescent="0.25">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75" hidden="1" x14ac:dyDescent="0.25">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75" hidden="1" x14ac:dyDescent="0.25">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75" hidden="1" x14ac:dyDescent="0.25">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75" hidden="1" x14ac:dyDescent="0.25">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75" hidden="1" x14ac:dyDescent="0.25">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75" hidden="1" x14ac:dyDescent="0.25">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75" hidden="1" x14ac:dyDescent="0.25">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75" hidden="1" x14ac:dyDescent="0.25">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75" hidden="1" x14ac:dyDescent="0.25">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75" hidden="1" x14ac:dyDescent="0.25">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75" hidden="1" x14ac:dyDescent="0.25">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75" hidden="1" x14ac:dyDescent="0.25">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75" hidden="1" x14ac:dyDescent="0.25">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75" hidden="1" x14ac:dyDescent="0.25">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75" hidden="1" x14ac:dyDescent="0.25">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75" hidden="1" x14ac:dyDescent="0.25">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75" hidden="1" x14ac:dyDescent="0.25">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75" hidden="1" x14ac:dyDescent="0.25">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75" hidden="1" x14ac:dyDescent="0.25">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75" hidden="1" x14ac:dyDescent="0.25">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75" hidden="1" x14ac:dyDescent="0.25">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75" hidden="1" x14ac:dyDescent="0.25">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75" hidden="1" x14ac:dyDescent="0.25">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75" hidden="1" x14ac:dyDescent="0.25">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75" hidden="1" x14ac:dyDescent="0.25">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75" hidden="1" x14ac:dyDescent="0.25">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75" hidden="1" x14ac:dyDescent="0.25">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75" hidden="1" x14ac:dyDescent="0.25">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75" hidden="1" x14ac:dyDescent="0.25">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75" hidden="1" x14ac:dyDescent="0.25">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75" hidden="1" x14ac:dyDescent="0.25">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75" hidden="1" x14ac:dyDescent="0.25">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75" hidden="1" x14ac:dyDescent="0.25">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75" hidden="1" x14ac:dyDescent="0.25">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75" hidden="1" x14ac:dyDescent="0.25">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75" hidden="1" x14ac:dyDescent="0.25">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75" hidden="1" x14ac:dyDescent="0.25">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75" hidden="1" x14ac:dyDescent="0.25">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75" hidden="1" x14ac:dyDescent="0.25">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75" hidden="1" x14ac:dyDescent="0.25">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75" hidden="1" x14ac:dyDescent="0.25">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75" hidden="1" x14ac:dyDescent="0.25">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75" hidden="1" x14ac:dyDescent="0.25">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75" hidden="1" x14ac:dyDescent="0.25">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75" hidden="1" x14ac:dyDescent="0.25">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75" hidden="1" x14ac:dyDescent="0.25">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75" hidden="1" x14ac:dyDescent="0.25">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75" hidden="1" x14ac:dyDescent="0.25">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75" hidden="1" x14ac:dyDescent="0.25">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75" hidden="1" x14ac:dyDescent="0.25">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75" hidden="1" x14ac:dyDescent="0.25">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75" hidden="1" x14ac:dyDescent="0.25">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75" hidden="1" x14ac:dyDescent="0.25">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75" hidden="1" x14ac:dyDescent="0.25">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75" hidden="1" x14ac:dyDescent="0.25">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75" hidden="1" x14ac:dyDescent="0.25">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75" hidden="1" x14ac:dyDescent="0.25">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75" hidden="1" x14ac:dyDescent="0.25">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75" hidden="1" x14ac:dyDescent="0.25">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75" hidden="1" x14ac:dyDescent="0.25">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75" hidden="1" x14ac:dyDescent="0.25">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75" hidden="1" x14ac:dyDescent="0.25">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75" hidden="1" x14ac:dyDescent="0.25">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75" hidden="1" x14ac:dyDescent="0.25">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75" hidden="1" x14ac:dyDescent="0.25">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75" hidden="1" x14ac:dyDescent="0.25">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75" hidden="1" x14ac:dyDescent="0.25">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75" hidden="1" x14ac:dyDescent="0.25">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75" hidden="1" x14ac:dyDescent="0.25">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75" hidden="1" x14ac:dyDescent="0.25">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75" hidden="1" x14ac:dyDescent="0.25">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75" hidden="1" x14ac:dyDescent="0.25">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75" hidden="1" x14ac:dyDescent="0.25">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75" hidden="1" x14ac:dyDescent="0.25">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75" hidden="1" x14ac:dyDescent="0.25">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75" hidden="1" x14ac:dyDescent="0.25">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75" hidden="1" x14ac:dyDescent="0.25">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75" hidden="1" x14ac:dyDescent="0.25">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75" hidden="1" x14ac:dyDescent="0.25">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75" hidden="1" x14ac:dyDescent="0.25">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75" hidden="1" x14ac:dyDescent="0.25">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75" hidden="1" x14ac:dyDescent="0.25">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75" hidden="1" x14ac:dyDescent="0.25">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75" hidden="1" x14ac:dyDescent="0.25">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75" hidden="1" x14ac:dyDescent="0.25">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75" hidden="1" x14ac:dyDescent="0.25">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75" hidden="1" x14ac:dyDescent="0.25">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75" hidden="1" x14ac:dyDescent="0.25">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75" hidden="1" x14ac:dyDescent="0.25">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75" hidden="1" x14ac:dyDescent="0.25">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75" hidden="1" x14ac:dyDescent="0.25">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75" hidden="1" x14ac:dyDescent="0.25">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75" hidden="1" x14ac:dyDescent="0.25">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75" hidden="1" x14ac:dyDescent="0.25">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75" hidden="1" x14ac:dyDescent="0.25">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75" hidden="1" x14ac:dyDescent="0.25">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75" hidden="1" x14ac:dyDescent="0.25">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75" hidden="1" x14ac:dyDescent="0.25">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75" hidden="1" x14ac:dyDescent="0.25">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75" hidden="1" x14ac:dyDescent="0.25">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75" hidden="1" x14ac:dyDescent="0.25">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75" hidden="1" x14ac:dyDescent="0.25">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75" hidden="1" x14ac:dyDescent="0.25">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75" hidden="1" x14ac:dyDescent="0.25">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75" hidden="1" x14ac:dyDescent="0.25">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75" hidden="1" x14ac:dyDescent="0.25">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75" hidden="1" x14ac:dyDescent="0.25">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75" hidden="1" x14ac:dyDescent="0.25">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75" hidden="1" x14ac:dyDescent="0.25">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75" hidden="1" x14ac:dyDescent="0.25">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75" hidden="1" x14ac:dyDescent="0.25">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75" hidden="1" x14ac:dyDescent="0.25">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75" hidden="1" x14ac:dyDescent="0.25">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75" hidden="1" x14ac:dyDescent="0.25">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75" hidden="1" x14ac:dyDescent="0.25">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75" hidden="1" x14ac:dyDescent="0.25">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75" hidden="1" x14ac:dyDescent="0.25">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75" hidden="1" x14ac:dyDescent="0.25">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75" hidden="1" x14ac:dyDescent="0.25">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75" hidden="1" x14ac:dyDescent="0.25">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75" hidden="1" x14ac:dyDescent="0.25">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75" hidden="1" x14ac:dyDescent="0.25">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75" hidden="1" x14ac:dyDescent="0.25">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75" hidden="1" x14ac:dyDescent="0.25">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75" hidden="1" x14ac:dyDescent="0.25">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75" hidden="1" x14ac:dyDescent="0.25">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75" hidden="1" x14ac:dyDescent="0.25">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75" hidden="1" x14ac:dyDescent="0.25">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75" hidden="1" x14ac:dyDescent="0.25">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75" hidden="1" x14ac:dyDescent="0.25">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75" hidden="1" x14ac:dyDescent="0.25">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75" hidden="1" x14ac:dyDescent="0.25">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75" hidden="1" x14ac:dyDescent="0.25">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75" hidden="1" x14ac:dyDescent="0.25">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75" hidden="1" x14ac:dyDescent="0.25">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75" hidden="1" x14ac:dyDescent="0.25">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75" hidden="1" x14ac:dyDescent="0.25">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75" hidden="1" x14ac:dyDescent="0.25">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75" hidden="1" x14ac:dyDescent="0.25">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75" hidden="1" x14ac:dyDescent="0.25">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75" hidden="1" x14ac:dyDescent="0.25">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75" hidden="1" x14ac:dyDescent="0.25">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75" hidden="1" x14ac:dyDescent="0.25">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75" hidden="1" x14ac:dyDescent="0.25">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75" hidden="1" x14ac:dyDescent="0.25">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75" hidden="1" x14ac:dyDescent="0.25">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75" hidden="1" x14ac:dyDescent="0.25">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75" hidden="1" x14ac:dyDescent="0.25">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75" hidden="1" x14ac:dyDescent="0.25">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75" hidden="1" x14ac:dyDescent="0.25">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75" hidden="1" x14ac:dyDescent="0.25">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75" hidden="1" x14ac:dyDescent="0.25">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75" hidden="1" x14ac:dyDescent="0.25">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75" hidden="1" x14ac:dyDescent="0.25">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75" hidden="1" x14ac:dyDescent="0.25">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75" hidden="1" x14ac:dyDescent="0.25">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75" hidden="1" x14ac:dyDescent="0.25">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75" hidden="1" x14ac:dyDescent="0.25">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75" hidden="1" x14ac:dyDescent="0.25">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75" hidden="1" x14ac:dyDescent="0.25">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75" hidden="1" x14ac:dyDescent="0.25">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75" hidden="1" x14ac:dyDescent="0.25">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75" hidden="1" x14ac:dyDescent="0.25">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75" hidden="1" x14ac:dyDescent="0.25">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75" hidden="1" x14ac:dyDescent="0.25">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75" hidden="1" x14ac:dyDescent="0.25">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75" hidden="1" x14ac:dyDescent="0.25">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75" hidden="1" x14ac:dyDescent="0.25">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75" hidden="1" x14ac:dyDescent="0.25">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75" hidden="1" x14ac:dyDescent="0.25">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75" hidden="1" x14ac:dyDescent="0.25">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75" hidden="1" x14ac:dyDescent="0.25">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75" hidden="1" x14ac:dyDescent="0.25">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75" hidden="1" x14ac:dyDescent="0.25">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75" hidden="1" x14ac:dyDescent="0.25">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75" hidden="1" x14ac:dyDescent="0.25">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75" hidden="1" x14ac:dyDescent="0.25">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75" hidden="1" x14ac:dyDescent="0.25">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75" hidden="1" x14ac:dyDescent="0.25">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75" hidden="1" x14ac:dyDescent="0.25">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75" hidden="1" x14ac:dyDescent="0.25">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75" hidden="1" x14ac:dyDescent="0.25">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75" hidden="1" x14ac:dyDescent="0.25">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75" hidden="1" x14ac:dyDescent="0.25">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75" hidden="1" x14ac:dyDescent="0.25">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75" hidden="1" x14ac:dyDescent="0.25">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75" hidden="1" x14ac:dyDescent="0.25">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75" hidden="1" x14ac:dyDescent="0.25">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75" hidden="1" x14ac:dyDescent="0.25">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75" hidden="1" x14ac:dyDescent="0.25">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75" hidden="1" x14ac:dyDescent="0.25">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75" hidden="1" x14ac:dyDescent="0.25">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75" hidden="1" x14ac:dyDescent="0.25">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75" hidden="1" x14ac:dyDescent="0.25">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75" hidden="1" x14ac:dyDescent="0.25">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75" hidden="1" x14ac:dyDescent="0.25">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75" hidden="1" x14ac:dyDescent="0.25">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75" hidden="1" x14ac:dyDescent="0.25">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75" hidden="1" x14ac:dyDescent="0.25">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75" hidden="1" x14ac:dyDescent="0.25">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75" hidden="1" x14ac:dyDescent="0.25">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75" hidden="1" x14ac:dyDescent="0.25">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75" hidden="1" x14ac:dyDescent="0.25">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75" hidden="1" x14ac:dyDescent="0.25">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75" hidden="1" x14ac:dyDescent="0.25">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75" hidden="1" x14ac:dyDescent="0.25">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75" hidden="1" x14ac:dyDescent="0.25">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75" hidden="1" x14ac:dyDescent="0.25">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75" hidden="1" x14ac:dyDescent="0.25">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75" hidden="1" x14ac:dyDescent="0.25">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75" hidden="1" x14ac:dyDescent="0.25">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75" hidden="1" x14ac:dyDescent="0.25">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75" hidden="1" x14ac:dyDescent="0.25">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75" hidden="1" x14ac:dyDescent="0.25">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75" hidden="1" x14ac:dyDescent="0.25">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75" hidden="1" x14ac:dyDescent="0.25">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75" hidden="1" x14ac:dyDescent="0.25">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75" hidden="1" x14ac:dyDescent="0.25">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75" hidden="1" x14ac:dyDescent="0.25">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75" hidden="1" x14ac:dyDescent="0.25">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75" hidden="1" x14ac:dyDescent="0.25">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75" hidden="1" x14ac:dyDescent="0.25">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75" hidden="1" x14ac:dyDescent="0.25">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75" hidden="1" x14ac:dyDescent="0.25">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75" hidden="1" x14ac:dyDescent="0.25">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75" hidden="1" x14ac:dyDescent="0.25">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75" hidden="1" x14ac:dyDescent="0.25">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75" hidden="1" x14ac:dyDescent="0.25">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75" hidden="1" x14ac:dyDescent="0.25">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75" hidden="1" x14ac:dyDescent="0.25">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75" hidden="1" x14ac:dyDescent="0.25">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75" hidden="1" x14ac:dyDescent="0.25">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75" hidden="1" x14ac:dyDescent="0.25">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75" hidden="1" x14ac:dyDescent="0.25">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75" hidden="1" x14ac:dyDescent="0.25">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75" hidden="1" x14ac:dyDescent="0.25">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75" hidden="1" x14ac:dyDescent="0.25">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75" hidden="1" x14ac:dyDescent="0.25">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75" hidden="1" x14ac:dyDescent="0.25">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75" hidden="1" x14ac:dyDescent="0.25">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75" hidden="1" x14ac:dyDescent="0.25">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75" hidden="1" x14ac:dyDescent="0.25">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75" hidden="1" x14ac:dyDescent="0.25">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75" hidden="1" x14ac:dyDescent="0.25">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75" hidden="1" x14ac:dyDescent="0.25">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75" hidden="1" x14ac:dyDescent="0.25">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75" hidden="1" x14ac:dyDescent="0.25">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75" hidden="1" x14ac:dyDescent="0.25">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75" hidden="1" x14ac:dyDescent="0.25">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75" hidden="1" x14ac:dyDescent="0.25">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75" hidden="1" x14ac:dyDescent="0.25">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75" hidden="1" x14ac:dyDescent="0.25">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75" hidden="1" x14ac:dyDescent="0.25">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75" hidden="1" x14ac:dyDescent="0.25">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75" hidden="1" x14ac:dyDescent="0.25">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75" hidden="1" x14ac:dyDescent="0.25">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75" hidden="1" x14ac:dyDescent="0.25">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75" hidden="1" x14ac:dyDescent="0.25">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75" hidden="1" x14ac:dyDescent="0.25">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75" hidden="1" x14ac:dyDescent="0.25">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75" hidden="1" x14ac:dyDescent="0.25">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75" hidden="1" x14ac:dyDescent="0.25">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75" hidden="1" x14ac:dyDescent="0.25">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75" hidden="1" x14ac:dyDescent="0.25">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75" hidden="1" x14ac:dyDescent="0.25">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75" hidden="1" x14ac:dyDescent="0.25">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75" hidden="1" x14ac:dyDescent="0.25">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75" hidden="1" x14ac:dyDescent="0.25">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75" hidden="1" x14ac:dyDescent="0.25">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75" hidden="1" x14ac:dyDescent="0.25">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75" hidden="1" x14ac:dyDescent="0.25">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75" hidden="1" x14ac:dyDescent="0.25">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75" hidden="1" x14ac:dyDescent="0.25">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75" hidden="1" x14ac:dyDescent="0.25">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75" hidden="1" x14ac:dyDescent="0.25">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75" hidden="1" x14ac:dyDescent="0.25">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75" hidden="1" x14ac:dyDescent="0.25">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75" hidden="1" x14ac:dyDescent="0.25">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75" hidden="1" x14ac:dyDescent="0.25">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75" hidden="1" x14ac:dyDescent="0.25">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75" hidden="1" x14ac:dyDescent="0.25">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75" hidden="1" x14ac:dyDescent="0.25">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75" hidden="1" x14ac:dyDescent="0.25">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75" hidden="1" x14ac:dyDescent="0.25">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75" hidden="1" x14ac:dyDescent="0.25">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75" hidden="1" x14ac:dyDescent="0.25">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75" hidden="1" x14ac:dyDescent="0.25">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75" hidden="1" x14ac:dyDescent="0.25">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75" hidden="1" x14ac:dyDescent="0.25">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75" hidden="1" x14ac:dyDescent="0.25">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75" hidden="1" x14ac:dyDescent="0.25">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75" hidden="1" x14ac:dyDescent="0.25">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75" hidden="1" x14ac:dyDescent="0.25">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75" hidden="1" x14ac:dyDescent="0.25">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75" hidden="1" x14ac:dyDescent="0.25">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75" hidden="1" x14ac:dyDescent="0.25">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75" hidden="1" x14ac:dyDescent="0.25">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75" hidden="1" x14ac:dyDescent="0.25">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75" hidden="1" x14ac:dyDescent="0.25">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75" hidden="1" x14ac:dyDescent="0.25">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75" hidden="1" x14ac:dyDescent="0.25">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75" hidden="1" x14ac:dyDescent="0.25">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75" hidden="1" x14ac:dyDescent="0.25">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75" hidden="1" x14ac:dyDescent="0.25">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75" hidden="1" x14ac:dyDescent="0.25">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75" hidden="1" x14ac:dyDescent="0.25">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75" hidden="1" x14ac:dyDescent="0.25">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75" hidden="1" x14ac:dyDescent="0.25">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75" hidden="1" x14ac:dyDescent="0.25">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75" hidden="1" x14ac:dyDescent="0.25">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75" hidden="1" x14ac:dyDescent="0.25">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75" hidden="1" x14ac:dyDescent="0.25">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75" hidden="1" x14ac:dyDescent="0.25">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75" hidden="1" x14ac:dyDescent="0.25">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75" hidden="1" x14ac:dyDescent="0.25">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75" hidden="1" x14ac:dyDescent="0.25">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75" hidden="1" x14ac:dyDescent="0.25">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75" hidden="1" x14ac:dyDescent="0.25">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75" hidden="1" x14ac:dyDescent="0.25">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75" hidden="1" x14ac:dyDescent="0.25">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75" hidden="1" x14ac:dyDescent="0.25">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75" hidden="1" x14ac:dyDescent="0.25">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75" hidden="1" x14ac:dyDescent="0.25">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75" hidden="1" x14ac:dyDescent="0.25">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75" hidden="1" x14ac:dyDescent="0.25">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75" hidden="1" x14ac:dyDescent="0.25">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75" hidden="1" x14ac:dyDescent="0.25">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75" hidden="1" x14ac:dyDescent="0.25">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75" hidden="1" x14ac:dyDescent="0.25">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75" hidden="1" x14ac:dyDescent="0.25">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75" hidden="1" x14ac:dyDescent="0.25">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75" hidden="1" x14ac:dyDescent="0.25">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75" hidden="1" x14ac:dyDescent="0.25">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75" hidden="1" x14ac:dyDescent="0.25">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75" hidden="1" x14ac:dyDescent="0.25">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75" hidden="1" x14ac:dyDescent="0.25">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75" hidden="1" x14ac:dyDescent="0.25">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75" hidden="1" x14ac:dyDescent="0.25">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75" hidden="1" x14ac:dyDescent="0.25">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75" hidden="1" x14ac:dyDescent="0.25">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75" hidden="1" x14ac:dyDescent="0.25">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75" hidden="1" x14ac:dyDescent="0.25">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75" hidden="1" x14ac:dyDescent="0.25">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75" hidden="1" x14ac:dyDescent="0.25">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75" hidden="1" x14ac:dyDescent="0.25">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75" hidden="1" x14ac:dyDescent="0.25">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75" hidden="1" x14ac:dyDescent="0.25">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75" hidden="1" x14ac:dyDescent="0.25">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75" hidden="1" x14ac:dyDescent="0.25">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75" hidden="1" x14ac:dyDescent="0.25">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75" hidden="1" x14ac:dyDescent="0.25">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75" hidden="1" x14ac:dyDescent="0.25">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75" hidden="1" x14ac:dyDescent="0.25">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75" hidden="1" x14ac:dyDescent="0.25">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75" hidden="1" x14ac:dyDescent="0.25">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75" hidden="1" x14ac:dyDescent="0.25">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75" hidden="1" x14ac:dyDescent="0.25">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75" hidden="1" x14ac:dyDescent="0.25">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75" hidden="1" x14ac:dyDescent="0.25">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75" hidden="1" x14ac:dyDescent="0.25">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75" hidden="1" x14ac:dyDescent="0.25">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75" hidden="1" x14ac:dyDescent="0.25">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75" hidden="1" x14ac:dyDescent="0.25">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75" hidden="1" x14ac:dyDescent="0.25">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75" hidden="1" x14ac:dyDescent="0.25">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75" hidden="1" x14ac:dyDescent="0.25">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75" hidden="1" x14ac:dyDescent="0.25">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75" hidden="1" x14ac:dyDescent="0.25">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75" hidden="1" x14ac:dyDescent="0.25">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75" hidden="1" x14ac:dyDescent="0.25">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75" hidden="1" x14ac:dyDescent="0.25">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75" hidden="1" x14ac:dyDescent="0.25">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75" hidden="1" x14ac:dyDescent="0.25">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75" hidden="1" x14ac:dyDescent="0.25">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75" hidden="1" x14ac:dyDescent="0.25">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75" hidden="1" x14ac:dyDescent="0.25">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75" hidden="1" x14ac:dyDescent="0.25">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75" hidden="1" x14ac:dyDescent="0.25">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75" hidden="1" x14ac:dyDescent="0.25">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75" hidden="1" x14ac:dyDescent="0.25">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75" hidden="1" x14ac:dyDescent="0.25">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75" hidden="1" x14ac:dyDescent="0.25">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75" hidden="1" x14ac:dyDescent="0.25">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75" hidden="1" x14ac:dyDescent="0.25">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75" hidden="1" x14ac:dyDescent="0.25">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75" hidden="1" x14ac:dyDescent="0.25">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75" hidden="1" x14ac:dyDescent="0.25">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75" hidden="1" x14ac:dyDescent="0.25">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75" hidden="1" x14ac:dyDescent="0.25">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75" hidden="1" x14ac:dyDescent="0.25">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75" hidden="1" x14ac:dyDescent="0.25">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75" hidden="1" x14ac:dyDescent="0.25">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75" hidden="1" x14ac:dyDescent="0.25">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75" hidden="1" x14ac:dyDescent="0.25">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75" hidden="1" x14ac:dyDescent="0.25">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75" hidden="1" x14ac:dyDescent="0.25">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75" hidden="1" x14ac:dyDescent="0.25">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75" hidden="1" x14ac:dyDescent="0.25">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75" hidden="1" x14ac:dyDescent="0.25">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75" hidden="1" x14ac:dyDescent="0.25">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75" hidden="1" x14ac:dyDescent="0.25">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75" hidden="1" x14ac:dyDescent="0.25">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75" hidden="1" x14ac:dyDescent="0.25">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75" hidden="1" x14ac:dyDescent="0.25">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75" hidden="1" x14ac:dyDescent="0.25">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75" hidden="1" x14ac:dyDescent="0.25">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75" hidden="1" x14ac:dyDescent="0.25">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75" hidden="1" x14ac:dyDescent="0.25">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75" hidden="1" x14ac:dyDescent="0.25">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75" hidden="1" x14ac:dyDescent="0.25">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75" hidden="1" x14ac:dyDescent="0.25">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75" hidden="1" x14ac:dyDescent="0.25">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75" hidden="1" x14ac:dyDescent="0.25">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75" hidden="1" x14ac:dyDescent="0.25">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75" hidden="1" x14ac:dyDescent="0.25">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75" hidden="1" x14ac:dyDescent="0.25">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75" hidden="1" x14ac:dyDescent="0.25">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75" hidden="1" x14ac:dyDescent="0.25">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75" hidden="1" x14ac:dyDescent="0.25">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75" hidden="1" x14ac:dyDescent="0.25">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75" hidden="1" x14ac:dyDescent="0.25">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75" hidden="1" x14ac:dyDescent="0.25">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75" hidden="1" x14ac:dyDescent="0.25">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75" hidden="1" x14ac:dyDescent="0.25">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75" hidden="1" x14ac:dyDescent="0.25">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75" hidden="1" x14ac:dyDescent="0.25">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75" hidden="1" x14ac:dyDescent="0.25">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75" hidden="1" x14ac:dyDescent="0.25">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75" hidden="1" x14ac:dyDescent="0.25">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75" hidden="1" x14ac:dyDescent="0.25">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75" hidden="1" x14ac:dyDescent="0.25">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75" hidden="1" x14ac:dyDescent="0.25">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75" hidden="1" x14ac:dyDescent="0.25">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75" hidden="1" x14ac:dyDescent="0.25">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75" hidden="1" x14ac:dyDescent="0.25">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75" hidden="1" x14ac:dyDescent="0.25">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75" hidden="1" x14ac:dyDescent="0.25">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75" hidden="1" x14ac:dyDescent="0.25">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75" hidden="1" x14ac:dyDescent="0.25">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75" hidden="1" x14ac:dyDescent="0.25">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75" hidden="1" x14ac:dyDescent="0.25">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75" hidden="1" x14ac:dyDescent="0.25">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75" hidden="1" x14ac:dyDescent="0.25">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75" hidden="1" x14ac:dyDescent="0.25">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75" hidden="1" x14ac:dyDescent="0.25">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75" hidden="1" x14ac:dyDescent="0.25">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75" hidden="1" x14ac:dyDescent="0.25">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75" hidden="1" x14ac:dyDescent="0.25">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75" hidden="1" x14ac:dyDescent="0.25">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75" hidden="1" x14ac:dyDescent="0.25">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75" hidden="1" x14ac:dyDescent="0.25">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75" hidden="1" x14ac:dyDescent="0.25">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75" hidden="1" x14ac:dyDescent="0.25">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75" hidden="1" x14ac:dyDescent="0.25">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75" hidden="1" x14ac:dyDescent="0.25">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75" hidden="1" x14ac:dyDescent="0.25">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75" hidden="1" x14ac:dyDescent="0.25">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75" hidden="1" x14ac:dyDescent="0.25">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75" hidden="1" x14ac:dyDescent="0.25">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75" hidden="1" x14ac:dyDescent="0.25">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75" hidden="1" x14ac:dyDescent="0.25">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75" hidden="1" x14ac:dyDescent="0.25">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75" hidden="1" x14ac:dyDescent="0.25">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75" hidden="1" x14ac:dyDescent="0.25">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75" hidden="1" x14ac:dyDescent="0.25">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75" hidden="1" x14ac:dyDescent="0.25">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75" hidden="1" x14ac:dyDescent="0.25">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75" hidden="1" x14ac:dyDescent="0.25">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75" hidden="1" x14ac:dyDescent="0.25">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75" hidden="1" x14ac:dyDescent="0.25">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75" hidden="1" x14ac:dyDescent="0.25">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75" hidden="1" x14ac:dyDescent="0.25">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75" hidden="1" x14ac:dyDescent="0.25">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75" hidden="1" x14ac:dyDescent="0.25">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75" hidden="1" x14ac:dyDescent="0.25">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75" hidden="1" x14ac:dyDescent="0.25">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75" hidden="1" x14ac:dyDescent="0.25">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75" hidden="1" x14ac:dyDescent="0.25">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75" hidden="1" x14ac:dyDescent="0.25">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75" hidden="1" x14ac:dyDescent="0.25">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75" hidden="1" x14ac:dyDescent="0.25">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75" hidden="1" x14ac:dyDescent="0.25">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75" hidden="1" x14ac:dyDescent="0.25">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75" hidden="1" x14ac:dyDescent="0.25">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75" hidden="1" x14ac:dyDescent="0.25">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75" hidden="1" x14ac:dyDescent="0.25">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75" hidden="1" x14ac:dyDescent="0.25">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75" hidden="1" x14ac:dyDescent="0.25">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75" hidden="1" x14ac:dyDescent="0.25">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75" hidden="1" x14ac:dyDescent="0.25">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75" hidden="1" x14ac:dyDescent="0.25">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75" hidden="1" x14ac:dyDescent="0.25">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75" hidden="1" x14ac:dyDescent="0.25">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75" hidden="1" x14ac:dyDescent="0.25">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75" hidden="1" x14ac:dyDescent="0.25">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75" hidden="1" x14ac:dyDescent="0.25">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75" hidden="1" x14ac:dyDescent="0.25">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75" hidden="1" x14ac:dyDescent="0.25">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75" hidden="1" x14ac:dyDescent="0.25">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75" hidden="1" x14ac:dyDescent="0.25">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75" hidden="1" x14ac:dyDescent="0.25">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75" hidden="1" x14ac:dyDescent="0.25">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75" hidden="1" x14ac:dyDescent="0.25">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75" hidden="1" x14ac:dyDescent="0.25">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75" hidden="1" x14ac:dyDescent="0.25">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75" hidden="1" x14ac:dyDescent="0.25">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75" hidden="1" x14ac:dyDescent="0.25">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75" hidden="1" x14ac:dyDescent="0.25">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75" hidden="1" x14ac:dyDescent="0.25">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75" hidden="1" x14ac:dyDescent="0.25">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75" hidden="1" x14ac:dyDescent="0.25">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75" hidden="1" x14ac:dyDescent="0.25">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75" hidden="1" x14ac:dyDescent="0.25">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75" hidden="1" x14ac:dyDescent="0.25">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75" hidden="1" x14ac:dyDescent="0.25">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75" hidden="1" x14ac:dyDescent="0.25">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75" hidden="1" x14ac:dyDescent="0.25">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75" hidden="1" x14ac:dyDescent="0.25">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75" hidden="1" x14ac:dyDescent="0.25">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75" hidden="1" x14ac:dyDescent="0.25">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75" hidden="1" x14ac:dyDescent="0.25">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75" hidden="1" x14ac:dyDescent="0.25">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75" hidden="1" x14ac:dyDescent="0.25">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75" hidden="1" x14ac:dyDescent="0.25">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75" hidden="1" x14ac:dyDescent="0.25">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75" hidden="1" x14ac:dyDescent="0.25">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75" hidden="1" x14ac:dyDescent="0.25">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75" hidden="1" x14ac:dyDescent="0.25">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75" hidden="1" x14ac:dyDescent="0.25">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75" hidden="1" x14ac:dyDescent="0.25">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75" hidden="1" x14ac:dyDescent="0.25">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75" hidden="1" x14ac:dyDescent="0.25">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75" hidden="1" x14ac:dyDescent="0.25">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75" hidden="1" x14ac:dyDescent="0.25">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75" hidden="1" x14ac:dyDescent="0.25">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75" hidden="1" x14ac:dyDescent="0.25">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75" hidden="1" x14ac:dyDescent="0.25">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75" hidden="1" x14ac:dyDescent="0.25">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75" hidden="1" x14ac:dyDescent="0.25">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75" hidden="1" x14ac:dyDescent="0.25">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75" hidden="1" x14ac:dyDescent="0.25">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75" hidden="1" x14ac:dyDescent="0.25">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75" hidden="1" x14ac:dyDescent="0.25">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75" hidden="1" x14ac:dyDescent="0.25">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75" hidden="1" x14ac:dyDescent="0.25">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75" hidden="1" x14ac:dyDescent="0.25">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75" hidden="1" x14ac:dyDescent="0.25">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75" hidden="1" x14ac:dyDescent="0.25">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75" hidden="1" x14ac:dyDescent="0.25">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75" hidden="1" x14ac:dyDescent="0.25">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75" hidden="1" x14ac:dyDescent="0.25">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75" hidden="1" x14ac:dyDescent="0.25">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75" hidden="1" x14ac:dyDescent="0.25">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75" hidden="1" x14ac:dyDescent="0.25">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75" hidden="1" x14ac:dyDescent="0.25">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75" hidden="1" x14ac:dyDescent="0.25">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75" hidden="1" x14ac:dyDescent="0.25">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75" hidden="1" x14ac:dyDescent="0.25">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75" hidden="1" x14ac:dyDescent="0.25">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75" hidden="1" x14ac:dyDescent="0.25">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75" hidden="1" x14ac:dyDescent="0.25">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75" hidden="1" x14ac:dyDescent="0.25">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75" hidden="1" x14ac:dyDescent="0.25">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75" hidden="1" x14ac:dyDescent="0.25">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75" hidden="1" x14ac:dyDescent="0.25">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75" hidden="1" x14ac:dyDescent="0.25">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75" hidden="1" x14ac:dyDescent="0.25">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75" hidden="1" x14ac:dyDescent="0.25">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75" hidden="1" x14ac:dyDescent="0.25">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75" hidden="1" x14ac:dyDescent="0.25">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75" hidden="1" x14ac:dyDescent="0.25">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75" hidden="1" x14ac:dyDescent="0.25">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75" hidden="1" x14ac:dyDescent="0.25">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75" hidden="1" x14ac:dyDescent="0.25">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75" hidden="1" x14ac:dyDescent="0.25">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75" hidden="1" x14ac:dyDescent="0.25">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75" hidden="1" x14ac:dyDescent="0.25">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75" hidden="1" x14ac:dyDescent="0.25">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75" hidden="1" x14ac:dyDescent="0.25">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75" hidden="1" x14ac:dyDescent="0.25">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75" hidden="1" x14ac:dyDescent="0.25">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75" hidden="1" x14ac:dyDescent="0.25">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75" hidden="1" x14ac:dyDescent="0.25">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75" hidden="1" x14ac:dyDescent="0.25">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75" hidden="1" x14ac:dyDescent="0.25">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75" hidden="1" x14ac:dyDescent="0.25">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75" hidden="1" x14ac:dyDescent="0.25">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75" hidden="1" x14ac:dyDescent="0.25">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75" hidden="1" x14ac:dyDescent="0.25">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75" hidden="1" x14ac:dyDescent="0.25">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75" hidden="1" x14ac:dyDescent="0.25">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75" hidden="1" x14ac:dyDescent="0.25">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75" hidden="1" x14ac:dyDescent="0.25">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75" hidden="1" x14ac:dyDescent="0.25">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75" hidden="1" x14ac:dyDescent="0.25">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75" hidden="1" x14ac:dyDescent="0.25">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75" hidden="1" x14ac:dyDescent="0.25">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75" hidden="1" x14ac:dyDescent="0.25">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75" hidden="1" x14ac:dyDescent="0.25">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75" hidden="1" x14ac:dyDescent="0.25">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75" hidden="1" x14ac:dyDescent="0.25">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75" hidden="1" x14ac:dyDescent="0.25">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75" hidden="1" x14ac:dyDescent="0.25">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75" hidden="1" x14ac:dyDescent="0.25">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75" hidden="1" x14ac:dyDescent="0.25">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75" hidden="1" x14ac:dyDescent="0.25">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75" hidden="1" x14ac:dyDescent="0.25">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75" hidden="1" x14ac:dyDescent="0.25">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75" hidden="1" x14ac:dyDescent="0.25">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75" hidden="1" x14ac:dyDescent="0.25">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75" hidden="1" x14ac:dyDescent="0.25">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75" hidden="1" x14ac:dyDescent="0.25">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75" hidden="1" x14ac:dyDescent="0.25">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75" hidden="1" x14ac:dyDescent="0.25">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75" hidden="1" x14ac:dyDescent="0.25">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75" hidden="1" x14ac:dyDescent="0.25">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75" hidden="1" x14ac:dyDescent="0.25">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75" hidden="1" x14ac:dyDescent="0.25">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75" hidden="1" x14ac:dyDescent="0.25">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75" hidden="1" x14ac:dyDescent="0.25">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75" hidden="1" x14ac:dyDescent="0.25">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75" hidden="1" x14ac:dyDescent="0.25">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75" hidden="1" x14ac:dyDescent="0.25">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75" hidden="1" x14ac:dyDescent="0.25">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75" hidden="1" x14ac:dyDescent="0.25">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75" hidden="1" x14ac:dyDescent="0.25">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75" hidden="1" x14ac:dyDescent="0.25">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75" hidden="1" x14ac:dyDescent="0.25">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75" hidden="1" x14ac:dyDescent="0.25">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75" hidden="1" x14ac:dyDescent="0.25">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75" hidden="1" x14ac:dyDescent="0.25">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75" hidden="1" x14ac:dyDescent="0.25">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75" hidden="1" x14ac:dyDescent="0.25">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75" hidden="1" x14ac:dyDescent="0.25">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75" hidden="1" x14ac:dyDescent="0.25">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75" hidden="1" x14ac:dyDescent="0.25">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75" hidden="1" x14ac:dyDescent="0.25">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75" x14ac:dyDescent="0.25">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75" hidden="1" x14ac:dyDescent="0.25">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75" hidden="1" x14ac:dyDescent="0.25">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75" hidden="1" x14ac:dyDescent="0.25">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75" hidden="1" x14ac:dyDescent="0.25">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75" hidden="1" x14ac:dyDescent="0.25">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75" hidden="1" x14ac:dyDescent="0.25">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75" hidden="1" x14ac:dyDescent="0.25">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75" hidden="1" x14ac:dyDescent="0.25">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75" hidden="1" x14ac:dyDescent="0.25">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75" hidden="1" x14ac:dyDescent="0.25">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75" hidden="1" x14ac:dyDescent="0.25">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75" hidden="1" x14ac:dyDescent="0.25">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75" hidden="1" x14ac:dyDescent="0.25">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75" hidden="1" x14ac:dyDescent="0.25">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75" hidden="1" x14ac:dyDescent="0.25">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75" hidden="1" x14ac:dyDescent="0.25">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75" hidden="1" x14ac:dyDescent="0.25">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75" hidden="1" x14ac:dyDescent="0.25">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75" hidden="1" x14ac:dyDescent="0.25">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75" hidden="1" x14ac:dyDescent="0.25">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75" hidden="1" x14ac:dyDescent="0.25">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75" hidden="1" x14ac:dyDescent="0.25">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75" hidden="1" x14ac:dyDescent="0.25">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75" hidden="1" x14ac:dyDescent="0.25">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75" hidden="1" x14ac:dyDescent="0.25">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75" hidden="1" x14ac:dyDescent="0.25">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75" hidden="1" x14ac:dyDescent="0.25">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75" hidden="1" x14ac:dyDescent="0.25">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75" hidden="1" x14ac:dyDescent="0.25">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75" hidden="1" x14ac:dyDescent="0.25">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75" hidden="1" x14ac:dyDescent="0.25">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75" hidden="1" x14ac:dyDescent="0.25">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75" hidden="1" x14ac:dyDescent="0.25">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75" hidden="1" x14ac:dyDescent="0.25">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75" hidden="1" x14ac:dyDescent="0.25">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75" hidden="1" x14ac:dyDescent="0.25">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75" hidden="1" x14ac:dyDescent="0.25">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75" hidden="1" x14ac:dyDescent="0.25">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75" hidden="1" x14ac:dyDescent="0.25">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75" hidden="1" x14ac:dyDescent="0.25">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75" hidden="1" x14ac:dyDescent="0.25">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75" hidden="1" x14ac:dyDescent="0.25">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75" hidden="1" x14ac:dyDescent="0.25">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75" hidden="1" x14ac:dyDescent="0.25">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75" hidden="1" x14ac:dyDescent="0.25">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75" hidden="1" x14ac:dyDescent="0.25">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75" hidden="1" x14ac:dyDescent="0.25">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75" hidden="1" x14ac:dyDescent="0.25">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75" hidden="1" x14ac:dyDescent="0.25">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75" hidden="1" x14ac:dyDescent="0.25">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75" hidden="1" x14ac:dyDescent="0.25">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75" hidden="1" x14ac:dyDescent="0.25">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75" hidden="1" x14ac:dyDescent="0.25">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75" hidden="1" x14ac:dyDescent="0.25">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75" hidden="1" x14ac:dyDescent="0.25">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75" hidden="1" x14ac:dyDescent="0.25">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75" hidden="1" x14ac:dyDescent="0.25">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75" hidden="1" x14ac:dyDescent="0.25">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75" hidden="1" x14ac:dyDescent="0.25">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75" hidden="1" x14ac:dyDescent="0.25">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75" hidden="1" x14ac:dyDescent="0.25">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75" hidden="1" x14ac:dyDescent="0.25">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75" hidden="1" x14ac:dyDescent="0.25">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75" hidden="1" x14ac:dyDescent="0.25">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75" hidden="1" x14ac:dyDescent="0.25">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75" hidden="1" x14ac:dyDescent="0.25">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75" hidden="1" x14ac:dyDescent="0.25">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75" hidden="1" x14ac:dyDescent="0.25">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75" hidden="1" x14ac:dyDescent="0.25">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75" hidden="1" x14ac:dyDescent="0.25">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75" hidden="1" x14ac:dyDescent="0.25">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75" hidden="1" x14ac:dyDescent="0.25">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75" hidden="1" x14ac:dyDescent="0.25">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75" hidden="1" x14ac:dyDescent="0.25">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75" hidden="1" x14ac:dyDescent="0.25">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75" hidden="1" x14ac:dyDescent="0.25">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75" hidden="1" x14ac:dyDescent="0.25">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75" hidden="1" x14ac:dyDescent="0.25">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75" hidden="1" x14ac:dyDescent="0.25">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75" hidden="1" x14ac:dyDescent="0.25">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75" hidden="1" x14ac:dyDescent="0.25">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75" hidden="1" x14ac:dyDescent="0.25">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75" hidden="1" x14ac:dyDescent="0.25">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75" hidden="1" x14ac:dyDescent="0.25">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75" hidden="1" x14ac:dyDescent="0.25">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75" hidden="1" x14ac:dyDescent="0.25">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75" hidden="1" x14ac:dyDescent="0.25">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75" hidden="1" x14ac:dyDescent="0.25">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75" hidden="1" x14ac:dyDescent="0.25">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75" hidden="1" x14ac:dyDescent="0.25">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75" hidden="1" x14ac:dyDescent="0.25">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75" hidden="1" x14ac:dyDescent="0.25">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75" hidden="1" x14ac:dyDescent="0.25">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75" hidden="1" x14ac:dyDescent="0.25">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75" hidden="1" x14ac:dyDescent="0.25">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75" hidden="1" x14ac:dyDescent="0.25">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75" hidden="1" x14ac:dyDescent="0.25">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75" hidden="1" x14ac:dyDescent="0.25">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75" hidden="1" x14ac:dyDescent="0.25">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75" hidden="1" x14ac:dyDescent="0.25">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75" hidden="1" x14ac:dyDescent="0.25">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75" hidden="1" x14ac:dyDescent="0.25">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75" hidden="1" x14ac:dyDescent="0.25">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75" hidden="1" x14ac:dyDescent="0.25">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75" hidden="1" x14ac:dyDescent="0.25">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75" hidden="1" x14ac:dyDescent="0.25">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75" hidden="1" x14ac:dyDescent="0.25">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75" hidden="1" x14ac:dyDescent="0.25">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75" hidden="1" x14ac:dyDescent="0.25">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75" hidden="1" x14ac:dyDescent="0.25">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75" hidden="1" x14ac:dyDescent="0.25">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75" hidden="1" x14ac:dyDescent="0.25">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75" hidden="1" x14ac:dyDescent="0.25">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75" hidden="1" x14ac:dyDescent="0.25">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75" hidden="1" x14ac:dyDescent="0.25">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75" hidden="1" x14ac:dyDescent="0.25">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75" hidden="1" x14ac:dyDescent="0.25">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75" hidden="1" x14ac:dyDescent="0.25">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75" hidden="1" x14ac:dyDescent="0.25">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75" hidden="1" x14ac:dyDescent="0.25">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75" hidden="1" x14ac:dyDescent="0.25">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75" hidden="1" x14ac:dyDescent="0.25">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75" hidden="1" x14ac:dyDescent="0.25">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75" hidden="1" x14ac:dyDescent="0.25">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75" hidden="1" x14ac:dyDescent="0.25">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75" hidden="1" x14ac:dyDescent="0.25">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75" hidden="1" x14ac:dyDescent="0.25">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75" hidden="1" x14ac:dyDescent="0.25">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75" hidden="1" x14ac:dyDescent="0.25">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75" hidden="1" x14ac:dyDescent="0.25">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75" hidden="1" x14ac:dyDescent="0.25">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75" hidden="1" x14ac:dyDescent="0.25">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75" hidden="1" x14ac:dyDescent="0.25">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75" hidden="1" x14ac:dyDescent="0.25">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75" hidden="1" x14ac:dyDescent="0.25">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75" hidden="1" x14ac:dyDescent="0.25">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75" hidden="1" x14ac:dyDescent="0.25">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75" hidden="1" x14ac:dyDescent="0.25">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75" hidden="1" x14ac:dyDescent="0.25">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75" hidden="1" x14ac:dyDescent="0.25">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75" hidden="1" x14ac:dyDescent="0.25">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75" hidden="1" x14ac:dyDescent="0.25">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75" hidden="1" x14ac:dyDescent="0.25">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75" hidden="1" x14ac:dyDescent="0.25">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75" hidden="1" x14ac:dyDescent="0.25">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75" hidden="1" x14ac:dyDescent="0.25">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75" hidden="1" x14ac:dyDescent="0.25">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75" hidden="1" x14ac:dyDescent="0.25">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75" hidden="1" x14ac:dyDescent="0.25">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75" hidden="1" x14ac:dyDescent="0.25">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75" hidden="1" x14ac:dyDescent="0.25">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75" hidden="1" x14ac:dyDescent="0.25">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75" hidden="1" x14ac:dyDescent="0.25">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75" hidden="1" x14ac:dyDescent="0.25">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75" hidden="1" x14ac:dyDescent="0.25">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75" hidden="1" x14ac:dyDescent="0.25">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75" hidden="1" x14ac:dyDescent="0.25">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75" hidden="1" x14ac:dyDescent="0.25">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75" hidden="1" x14ac:dyDescent="0.25">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75" hidden="1" x14ac:dyDescent="0.25">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75" hidden="1" x14ac:dyDescent="0.25">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75" hidden="1" x14ac:dyDescent="0.25">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75" hidden="1" x14ac:dyDescent="0.25">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75" hidden="1" x14ac:dyDescent="0.25">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75" hidden="1" x14ac:dyDescent="0.25">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75" hidden="1" x14ac:dyDescent="0.25">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75" hidden="1" x14ac:dyDescent="0.25">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75" hidden="1" x14ac:dyDescent="0.25">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75" hidden="1" x14ac:dyDescent="0.25">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75" hidden="1" x14ac:dyDescent="0.25">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75" hidden="1" x14ac:dyDescent="0.25">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75" hidden="1" x14ac:dyDescent="0.25">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75" hidden="1" x14ac:dyDescent="0.25">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75" hidden="1" x14ac:dyDescent="0.25">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75" x14ac:dyDescent="0.25">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75" hidden="1" x14ac:dyDescent="0.25">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75" hidden="1" x14ac:dyDescent="0.25">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75" hidden="1" x14ac:dyDescent="0.25">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75" hidden="1" x14ac:dyDescent="0.25">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75" hidden="1" x14ac:dyDescent="0.25">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75" hidden="1" x14ac:dyDescent="0.25">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75" hidden="1" x14ac:dyDescent="0.25">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75" hidden="1" x14ac:dyDescent="0.25">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75" hidden="1" x14ac:dyDescent="0.25">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75" hidden="1" x14ac:dyDescent="0.25">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75" hidden="1" x14ac:dyDescent="0.25">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75" hidden="1" x14ac:dyDescent="0.25">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75" hidden="1" x14ac:dyDescent="0.25">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75" hidden="1" x14ac:dyDescent="0.25">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75" hidden="1" x14ac:dyDescent="0.25">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75" hidden="1" x14ac:dyDescent="0.25">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75" hidden="1" x14ac:dyDescent="0.25">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75" hidden="1" x14ac:dyDescent="0.25">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75" hidden="1" x14ac:dyDescent="0.25">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75" hidden="1" x14ac:dyDescent="0.25">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75" hidden="1" x14ac:dyDescent="0.25">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75" hidden="1" x14ac:dyDescent="0.25">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75" hidden="1" x14ac:dyDescent="0.25">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75" hidden="1" x14ac:dyDescent="0.25">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75" hidden="1" x14ac:dyDescent="0.25">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75" hidden="1" x14ac:dyDescent="0.25">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75" hidden="1" x14ac:dyDescent="0.25">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75" hidden="1" x14ac:dyDescent="0.25">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75" hidden="1" x14ac:dyDescent="0.25">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75" hidden="1" x14ac:dyDescent="0.25">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75" hidden="1" x14ac:dyDescent="0.25">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75" hidden="1" x14ac:dyDescent="0.25">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75" hidden="1" x14ac:dyDescent="0.25">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75" hidden="1" x14ac:dyDescent="0.25">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75" hidden="1" x14ac:dyDescent="0.25">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75" hidden="1" x14ac:dyDescent="0.25">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75" hidden="1" x14ac:dyDescent="0.25">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75" hidden="1" x14ac:dyDescent="0.25">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75" hidden="1" x14ac:dyDescent="0.25">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75" hidden="1" x14ac:dyDescent="0.25">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75" hidden="1" x14ac:dyDescent="0.25">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75" hidden="1" x14ac:dyDescent="0.25">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75" hidden="1" x14ac:dyDescent="0.25">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75" hidden="1" x14ac:dyDescent="0.25">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75" hidden="1" x14ac:dyDescent="0.25">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75" hidden="1" x14ac:dyDescent="0.25">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75" hidden="1" x14ac:dyDescent="0.25">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75" hidden="1" x14ac:dyDescent="0.25">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75" hidden="1" x14ac:dyDescent="0.25">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75" hidden="1" x14ac:dyDescent="0.25">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75" hidden="1" x14ac:dyDescent="0.25">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75" hidden="1" x14ac:dyDescent="0.25">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75" hidden="1" x14ac:dyDescent="0.25">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75" hidden="1" x14ac:dyDescent="0.25">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75" hidden="1" x14ac:dyDescent="0.25">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75" hidden="1" x14ac:dyDescent="0.25">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75" hidden="1" x14ac:dyDescent="0.25">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75" hidden="1" x14ac:dyDescent="0.25">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75" hidden="1" x14ac:dyDescent="0.25">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75" hidden="1" x14ac:dyDescent="0.25">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75" hidden="1" x14ac:dyDescent="0.25">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75" hidden="1" x14ac:dyDescent="0.25">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75" hidden="1" x14ac:dyDescent="0.25">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75" hidden="1" x14ac:dyDescent="0.25">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75" hidden="1" x14ac:dyDescent="0.25">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75" hidden="1" x14ac:dyDescent="0.25">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75" hidden="1" x14ac:dyDescent="0.25">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75" hidden="1" x14ac:dyDescent="0.25">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75" hidden="1" x14ac:dyDescent="0.25">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75" hidden="1" x14ac:dyDescent="0.25">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75" hidden="1" x14ac:dyDescent="0.25">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75" hidden="1" x14ac:dyDescent="0.25">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75" hidden="1" x14ac:dyDescent="0.25">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75" hidden="1" x14ac:dyDescent="0.25">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75" hidden="1" x14ac:dyDescent="0.25">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75" hidden="1" x14ac:dyDescent="0.25">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75" hidden="1" x14ac:dyDescent="0.25">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75" hidden="1" x14ac:dyDescent="0.25">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75" hidden="1" x14ac:dyDescent="0.25">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75" hidden="1" x14ac:dyDescent="0.25">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75" hidden="1" x14ac:dyDescent="0.25">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75" hidden="1" x14ac:dyDescent="0.25">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75" hidden="1" x14ac:dyDescent="0.25">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75" hidden="1" x14ac:dyDescent="0.25">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75" hidden="1" x14ac:dyDescent="0.25">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75" hidden="1" x14ac:dyDescent="0.25">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75" hidden="1" x14ac:dyDescent="0.25">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75" hidden="1" x14ac:dyDescent="0.25">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75" hidden="1" x14ac:dyDescent="0.25">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75" hidden="1" x14ac:dyDescent="0.25">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75" hidden="1" x14ac:dyDescent="0.25">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75" hidden="1" x14ac:dyDescent="0.25">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75" hidden="1" x14ac:dyDescent="0.25">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75" hidden="1" x14ac:dyDescent="0.25">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75" hidden="1" x14ac:dyDescent="0.25">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75" hidden="1" x14ac:dyDescent="0.25">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75" hidden="1" x14ac:dyDescent="0.25">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75" hidden="1" x14ac:dyDescent="0.25">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75" hidden="1" x14ac:dyDescent="0.25">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75" hidden="1" x14ac:dyDescent="0.25">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75" hidden="1" x14ac:dyDescent="0.25">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75" hidden="1" x14ac:dyDescent="0.25">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75" hidden="1" x14ac:dyDescent="0.25">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75" hidden="1" x14ac:dyDescent="0.25">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75" hidden="1" x14ac:dyDescent="0.25">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75" hidden="1" x14ac:dyDescent="0.25">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75" hidden="1" x14ac:dyDescent="0.25">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75" hidden="1" x14ac:dyDescent="0.25">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75" hidden="1" x14ac:dyDescent="0.25">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75" hidden="1" x14ac:dyDescent="0.25">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75" hidden="1" x14ac:dyDescent="0.25">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75" hidden="1" x14ac:dyDescent="0.25">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75" hidden="1" x14ac:dyDescent="0.25">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75" hidden="1" x14ac:dyDescent="0.25">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75" hidden="1" x14ac:dyDescent="0.25">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75" hidden="1" x14ac:dyDescent="0.25">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75" hidden="1" x14ac:dyDescent="0.25">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75" hidden="1" x14ac:dyDescent="0.25">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75" hidden="1" x14ac:dyDescent="0.25">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75" hidden="1" x14ac:dyDescent="0.25">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75" hidden="1" x14ac:dyDescent="0.25">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75" hidden="1" x14ac:dyDescent="0.25">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75" hidden="1" x14ac:dyDescent="0.25">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75" hidden="1" x14ac:dyDescent="0.25">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75" hidden="1" x14ac:dyDescent="0.25">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75" hidden="1" x14ac:dyDescent="0.25">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75" hidden="1" x14ac:dyDescent="0.25">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75" hidden="1" x14ac:dyDescent="0.25">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75" hidden="1" x14ac:dyDescent="0.25">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75" hidden="1" x14ac:dyDescent="0.25">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75" hidden="1" x14ac:dyDescent="0.25">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75" hidden="1" x14ac:dyDescent="0.25">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75" hidden="1" x14ac:dyDescent="0.25">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75" hidden="1" x14ac:dyDescent="0.25">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75" hidden="1" x14ac:dyDescent="0.25">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75" hidden="1" x14ac:dyDescent="0.25">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75" hidden="1" x14ac:dyDescent="0.25">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75" hidden="1" x14ac:dyDescent="0.25">
      <c r="A1521" s="9">
        <v>9493</v>
      </c>
      <c r="B1521" s="10" t="s">
        <v>442</v>
      </c>
      <c r="C1521" s="11">
        <v>152481103</v>
      </c>
      <c r="D1521" s="11" t="s">
        <v>433</v>
      </c>
      <c r="E1521" s="223">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75" hidden="1" x14ac:dyDescent="0.25">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75" hidden="1" x14ac:dyDescent="0.25">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75" hidden="1" x14ac:dyDescent="0.25">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75" hidden="1" x14ac:dyDescent="0.25">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75" hidden="1" x14ac:dyDescent="0.25">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75" hidden="1" x14ac:dyDescent="0.25">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75" hidden="1" x14ac:dyDescent="0.25">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75" hidden="1" x14ac:dyDescent="0.25">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75" hidden="1" x14ac:dyDescent="0.25">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75" hidden="1" x14ac:dyDescent="0.25">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75" hidden="1" x14ac:dyDescent="0.25">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75" hidden="1" x14ac:dyDescent="0.25">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75" hidden="1" x14ac:dyDescent="0.25">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75" hidden="1" x14ac:dyDescent="0.25">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75" hidden="1" x14ac:dyDescent="0.25">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75" hidden="1" x14ac:dyDescent="0.25">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75" hidden="1" x14ac:dyDescent="0.25">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75" hidden="1" x14ac:dyDescent="0.25">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75" hidden="1" x14ac:dyDescent="0.25">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75" hidden="1" x14ac:dyDescent="0.25">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75" hidden="1" x14ac:dyDescent="0.25">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75" hidden="1" x14ac:dyDescent="0.25">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75" hidden="1" x14ac:dyDescent="0.25">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75" hidden="1" x14ac:dyDescent="0.25">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75" hidden="1" x14ac:dyDescent="0.25">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75" hidden="1" x14ac:dyDescent="0.25">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75" hidden="1" x14ac:dyDescent="0.25">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75" hidden="1" x14ac:dyDescent="0.25">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75" hidden="1" x14ac:dyDescent="0.25">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75" hidden="1" x14ac:dyDescent="0.25">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75" hidden="1" x14ac:dyDescent="0.25">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75" hidden="1" x14ac:dyDescent="0.25">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75" hidden="1" x14ac:dyDescent="0.25">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75" hidden="1" x14ac:dyDescent="0.25">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75" hidden="1" x14ac:dyDescent="0.25">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75" hidden="1" x14ac:dyDescent="0.25">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75" hidden="1" x14ac:dyDescent="0.25">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75" hidden="1" x14ac:dyDescent="0.25">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75" hidden="1" x14ac:dyDescent="0.25">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75" hidden="1" x14ac:dyDescent="0.25">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75" hidden="1" x14ac:dyDescent="0.25">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75" hidden="1" x14ac:dyDescent="0.25">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75" hidden="1" x14ac:dyDescent="0.25">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75" hidden="1" x14ac:dyDescent="0.25">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75" hidden="1" x14ac:dyDescent="0.25">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75" hidden="1" x14ac:dyDescent="0.25">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75" hidden="1" x14ac:dyDescent="0.25">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75" hidden="1" x14ac:dyDescent="0.25">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75" x14ac:dyDescent="0.25">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75" hidden="1" x14ac:dyDescent="0.25">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75" hidden="1" x14ac:dyDescent="0.25">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75" hidden="1" x14ac:dyDescent="0.25">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75" hidden="1" x14ac:dyDescent="0.25">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75" hidden="1" x14ac:dyDescent="0.25">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75" hidden="1" x14ac:dyDescent="0.25">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75" hidden="1" x14ac:dyDescent="0.25">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75" hidden="1" x14ac:dyDescent="0.25">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75" hidden="1" x14ac:dyDescent="0.25">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75" hidden="1" x14ac:dyDescent="0.25">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75" hidden="1" x14ac:dyDescent="0.25">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75" hidden="1" x14ac:dyDescent="0.25">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75" hidden="1" x14ac:dyDescent="0.25">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75" hidden="1" x14ac:dyDescent="0.25">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75" hidden="1" x14ac:dyDescent="0.25">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75" hidden="1" x14ac:dyDescent="0.25">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75" hidden="1" x14ac:dyDescent="0.25">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75" hidden="1" x14ac:dyDescent="0.25">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75" hidden="1" x14ac:dyDescent="0.25">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75" hidden="1" x14ac:dyDescent="0.25">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75" hidden="1" x14ac:dyDescent="0.25">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75" hidden="1" x14ac:dyDescent="0.25">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75" hidden="1" x14ac:dyDescent="0.25">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75" hidden="1" x14ac:dyDescent="0.25">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75" hidden="1" x14ac:dyDescent="0.25">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75" hidden="1" x14ac:dyDescent="0.25">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75" hidden="1" x14ac:dyDescent="0.25">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75" hidden="1" x14ac:dyDescent="0.25">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75" hidden="1" x14ac:dyDescent="0.25">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75" hidden="1" x14ac:dyDescent="0.25">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75" hidden="1" x14ac:dyDescent="0.25">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75" hidden="1" x14ac:dyDescent="0.25">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75" hidden="1" x14ac:dyDescent="0.25">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75" hidden="1" x14ac:dyDescent="0.25">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75" hidden="1" x14ac:dyDescent="0.25">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75" hidden="1" x14ac:dyDescent="0.25">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75" hidden="1" x14ac:dyDescent="0.25">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75" hidden="1" x14ac:dyDescent="0.25">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75" hidden="1" x14ac:dyDescent="0.25">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75" hidden="1" x14ac:dyDescent="0.25">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75" hidden="1" x14ac:dyDescent="0.25">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75" hidden="1" x14ac:dyDescent="0.25">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75" hidden="1" x14ac:dyDescent="0.25">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75" hidden="1" x14ac:dyDescent="0.25">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75" hidden="1" x14ac:dyDescent="0.25">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75" hidden="1" x14ac:dyDescent="0.25">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75" hidden="1" x14ac:dyDescent="0.25">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75" hidden="1" x14ac:dyDescent="0.25">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75" hidden="1" x14ac:dyDescent="0.25">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75" hidden="1" x14ac:dyDescent="0.25">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75" hidden="1" x14ac:dyDescent="0.25">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75" hidden="1" x14ac:dyDescent="0.25">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75" hidden="1" x14ac:dyDescent="0.25">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75" hidden="1" x14ac:dyDescent="0.25">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75" hidden="1" x14ac:dyDescent="0.25">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75" hidden="1" x14ac:dyDescent="0.25">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75" hidden="1" x14ac:dyDescent="0.25">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75" hidden="1" x14ac:dyDescent="0.25">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75" hidden="1" x14ac:dyDescent="0.25">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75" hidden="1" x14ac:dyDescent="0.25">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75" hidden="1" x14ac:dyDescent="0.25">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75" hidden="1" x14ac:dyDescent="0.25">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75" hidden="1" x14ac:dyDescent="0.25">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75" hidden="1" x14ac:dyDescent="0.25">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75" hidden="1" x14ac:dyDescent="0.25">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75" hidden="1" x14ac:dyDescent="0.25">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75" hidden="1" x14ac:dyDescent="0.25">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75" hidden="1" x14ac:dyDescent="0.25">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75" hidden="1" x14ac:dyDescent="0.25">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75" hidden="1" x14ac:dyDescent="0.25">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75" hidden="1" x14ac:dyDescent="0.25">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75" hidden="1" x14ac:dyDescent="0.25">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75" hidden="1" x14ac:dyDescent="0.25">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75" hidden="1" x14ac:dyDescent="0.25">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75" hidden="1" x14ac:dyDescent="0.25">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75" hidden="1" x14ac:dyDescent="0.25">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75" hidden="1" x14ac:dyDescent="0.25">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75" hidden="1" x14ac:dyDescent="0.25">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75" hidden="1" x14ac:dyDescent="0.25">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75" hidden="1" x14ac:dyDescent="0.25">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75" hidden="1" x14ac:dyDescent="0.25">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75" hidden="1" x14ac:dyDescent="0.25">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75" hidden="1" x14ac:dyDescent="0.25">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75" hidden="1" x14ac:dyDescent="0.25">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75" hidden="1" x14ac:dyDescent="0.25">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75" hidden="1" x14ac:dyDescent="0.25">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75" hidden="1" x14ac:dyDescent="0.25">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75" hidden="1" x14ac:dyDescent="0.25">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75" hidden="1" x14ac:dyDescent="0.25">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75" hidden="1" x14ac:dyDescent="0.25">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75" hidden="1" x14ac:dyDescent="0.25">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75" hidden="1" x14ac:dyDescent="0.25">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75" hidden="1" x14ac:dyDescent="0.25">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75" hidden="1" x14ac:dyDescent="0.25">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75" hidden="1" x14ac:dyDescent="0.25">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75" hidden="1" x14ac:dyDescent="0.25">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75" hidden="1" x14ac:dyDescent="0.25">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75" hidden="1" x14ac:dyDescent="0.25">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75" hidden="1" x14ac:dyDescent="0.25">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75" hidden="1" x14ac:dyDescent="0.25">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75" hidden="1" x14ac:dyDescent="0.25">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75" hidden="1" x14ac:dyDescent="0.25">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75" hidden="1" x14ac:dyDescent="0.25">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75" hidden="1" x14ac:dyDescent="0.25">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75" hidden="1" x14ac:dyDescent="0.25">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75" hidden="1" x14ac:dyDescent="0.25">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75" hidden="1" x14ac:dyDescent="0.25">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75" hidden="1" x14ac:dyDescent="0.25">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75" hidden="1" x14ac:dyDescent="0.25">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75" hidden="1" x14ac:dyDescent="0.25">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75" hidden="1" x14ac:dyDescent="0.25">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75" hidden="1" x14ac:dyDescent="0.25">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75" hidden="1" x14ac:dyDescent="0.25">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75" hidden="1" x14ac:dyDescent="0.25">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75" hidden="1" x14ac:dyDescent="0.25">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75" hidden="1" x14ac:dyDescent="0.25">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75" hidden="1" x14ac:dyDescent="0.25">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75" hidden="1" x14ac:dyDescent="0.25">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75" hidden="1" x14ac:dyDescent="0.25">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75" hidden="1" x14ac:dyDescent="0.25">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75" hidden="1" x14ac:dyDescent="0.25">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75" hidden="1" x14ac:dyDescent="0.25">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75" hidden="1" x14ac:dyDescent="0.25">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75" hidden="1" x14ac:dyDescent="0.25">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75" hidden="1" x14ac:dyDescent="0.25">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75" hidden="1" x14ac:dyDescent="0.25">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75" hidden="1" x14ac:dyDescent="0.25">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75" hidden="1" x14ac:dyDescent="0.25">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75" hidden="1" x14ac:dyDescent="0.25">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75" hidden="1" x14ac:dyDescent="0.25">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75" hidden="1" x14ac:dyDescent="0.25">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75" hidden="1" x14ac:dyDescent="0.25">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75" hidden="1" x14ac:dyDescent="0.25">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75" hidden="1" x14ac:dyDescent="0.25">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75" hidden="1" x14ac:dyDescent="0.25">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75" hidden="1" x14ac:dyDescent="0.25">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75" hidden="1" x14ac:dyDescent="0.25">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75" hidden="1" x14ac:dyDescent="0.25">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75" hidden="1" x14ac:dyDescent="0.25">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75" hidden="1" x14ac:dyDescent="0.25">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75" hidden="1" x14ac:dyDescent="0.25">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75" hidden="1" x14ac:dyDescent="0.25">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75" hidden="1" x14ac:dyDescent="0.25">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75" hidden="1" x14ac:dyDescent="0.25">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75" hidden="1" x14ac:dyDescent="0.25">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75" hidden="1" x14ac:dyDescent="0.25">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75" hidden="1" x14ac:dyDescent="0.25">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75" hidden="1" x14ac:dyDescent="0.25">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75" hidden="1" x14ac:dyDescent="0.25">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75" hidden="1" x14ac:dyDescent="0.25">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75" hidden="1" x14ac:dyDescent="0.25">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75" hidden="1" x14ac:dyDescent="0.25">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75" hidden="1" x14ac:dyDescent="0.25">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75" hidden="1" x14ac:dyDescent="0.25">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75" hidden="1" x14ac:dyDescent="0.25">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75" hidden="1" x14ac:dyDescent="0.25">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75" hidden="1" x14ac:dyDescent="0.25">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75" hidden="1" x14ac:dyDescent="0.25">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75" hidden="1" x14ac:dyDescent="0.25">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75" hidden="1" x14ac:dyDescent="0.25">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75" hidden="1" x14ac:dyDescent="0.25">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75" hidden="1" x14ac:dyDescent="0.25">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75" hidden="1" x14ac:dyDescent="0.25">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75" hidden="1" x14ac:dyDescent="0.25">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75" hidden="1" x14ac:dyDescent="0.25">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75" hidden="1" x14ac:dyDescent="0.25">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75" hidden="1" x14ac:dyDescent="0.25">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75" hidden="1" x14ac:dyDescent="0.25">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75" hidden="1" x14ac:dyDescent="0.25">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75" hidden="1" x14ac:dyDescent="0.25">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75" hidden="1" x14ac:dyDescent="0.25">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75" hidden="1" x14ac:dyDescent="0.25">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75" hidden="1" x14ac:dyDescent="0.25">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75" hidden="1" x14ac:dyDescent="0.25">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75" hidden="1" x14ac:dyDescent="0.25">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75" hidden="1" x14ac:dyDescent="0.25">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75" hidden="1" x14ac:dyDescent="0.25">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75" hidden="1" x14ac:dyDescent="0.25">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75" hidden="1" x14ac:dyDescent="0.25">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75" hidden="1" x14ac:dyDescent="0.25">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75" hidden="1" x14ac:dyDescent="0.25">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75" hidden="1" x14ac:dyDescent="0.25">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75" hidden="1" x14ac:dyDescent="0.25">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75" hidden="1" x14ac:dyDescent="0.25">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75" hidden="1" x14ac:dyDescent="0.25">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75" hidden="1" x14ac:dyDescent="0.25">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75" hidden="1" x14ac:dyDescent="0.25">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75" hidden="1" x14ac:dyDescent="0.25">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75" hidden="1" x14ac:dyDescent="0.25">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75" hidden="1" x14ac:dyDescent="0.25">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75" hidden="1" x14ac:dyDescent="0.25">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75" hidden="1" x14ac:dyDescent="0.25">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75" hidden="1" x14ac:dyDescent="0.25">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75" hidden="1" x14ac:dyDescent="0.25">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75" hidden="1" x14ac:dyDescent="0.25">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75" hidden="1" x14ac:dyDescent="0.25">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75" hidden="1" x14ac:dyDescent="0.25">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75" hidden="1" x14ac:dyDescent="0.25">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75" hidden="1" x14ac:dyDescent="0.25">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75" hidden="1" x14ac:dyDescent="0.25">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75" hidden="1" x14ac:dyDescent="0.25">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75" hidden="1" x14ac:dyDescent="0.25">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75" hidden="1" x14ac:dyDescent="0.25">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75" hidden="1" x14ac:dyDescent="0.25">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75" hidden="1" x14ac:dyDescent="0.25">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75" hidden="1" x14ac:dyDescent="0.25">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75" hidden="1" x14ac:dyDescent="0.25">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75" hidden="1" x14ac:dyDescent="0.25">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75" hidden="1" x14ac:dyDescent="0.25">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75" hidden="1" x14ac:dyDescent="0.25">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75" hidden="1" x14ac:dyDescent="0.25">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75" hidden="1" x14ac:dyDescent="0.25">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75" hidden="1" x14ac:dyDescent="0.25">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75" hidden="1" x14ac:dyDescent="0.25">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75" hidden="1" x14ac:dyDescent="0.25">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75" hidden="1" x14ac:dyDescent="0.25">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75" hidden="1" x14ac:dyDescent="0.25">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75" hidden="1" x14ac:dyDescent="0.25">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75" hidden="1" x14ac:dyDescent="0.25">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75" hidden="1" x14ac:dyDescent="0.25">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75" hidden="1" x14ac:dyDescent="0.25">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75" hidden="1" x14ac:dyDescent="0.25">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75" hidden="1" x14ac:dyDescent="0.25">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75" hidden="1" x14ac:dyDescent="0.25">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75" hidden="1" x14ac:dyDescent="0.25">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75" hidden="1" x14ac:dyDescent="0.25">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75" hidden="1" x14ac:dyDescent="0.25">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75" hidden="1" x14ac:dyDescent="0.25">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75" hidden="1" x14ac:dyDescent="0.25">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75" hidden="1" x14ac:dyDescent="0.25">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75" hidden="1" x14ac:dyDescent="0.25">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75" hidden="1" x14ac:dyDescent="0.25">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75" hidden="1" x14ac:dyDescent="0.25">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75" hidden="1" x14ac:dyDescent="0.25">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75" hidden="1" x14ac:dyDescent="0.25">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75" hidden="1" x14ac:dyDescent="0.25">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75" hidden="1" x14ac:dyDescent="0.25">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75" hidden="1" x14ac:dyDescent="0.25">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75" hidden="1" x14ac:dyDescent="0.25">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75" hidden="1" x14ac:dyDescent="0.25">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75" hidden="1" x14ac:dyDescent="0.25">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75" hidden="1" x14ac:dyDescent="0.25">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75" hidden="1" x14ac:dyDescent="0.25">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75" hidden="1" x14ac:dyDescent="0.25">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75" hidden="1" x14ac:dyDescent="0.25">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75" hidden="1" x14ac:dyDescent="0.25">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75" hidden="1" x14ac:dyDescent="0.25">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75" hidden="1" x14ac:dyDescent="0.25">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75" hidden="1" x14ac:dyDescent="0.25">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75" hidden="1" x14ac:dyDescent="0.25">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75" hidden="1" x14ac:dyDescent="0.25">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75" hidden="1" x14ac:dyDescent="0.25">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75" hidden="1" x14ac:dyDescent="0.25">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75" hidden="1" x14ac:dyDescent="0.25">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75" hidden="1" x14ac:dyDescent="0.25">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75" hidden="1" x14ac:dyDescent="0.25">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75" hidden="1" x14ac:dyDescent="0.25">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75" hidden="1" x14ac:dyDescent="0.25">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75" hidden="1" x14ac:dyDescent="0.25">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75" hidden="1" x14ac:dyDescent="0.25">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75" hidden="1" x14ac:dyDescent="0.25">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75" hidden="1" x14ac:dyDescent="0.25">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75" hidden="1" x14ac:dyDescent="0.25">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75" hidden="1" x14ac:dyDescent="0.25">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75" hidden="1" x14ac:dyDescent="0.25">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75" hidden="1" x14ac:dyDescent="0.25">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75" hidden="1" x14ac:dyDescent="0.25">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75" hidden="1" x14ac:dyDescent="0.25">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75" hidden="1" x14ac:dyDescent="0.25">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75" hidden="1" x14ac:dyDescent="0.25">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75" hidden="1" x14ac:dyDescent="0.25">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75" hidden="1" x14ac:dyDescent="0.25">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75" hidden="1" x14ac:dyDescent="0.25">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75" hidden="1" x14ac:dyDescent="0.25">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75" hidden="1" x14ac:dyDescent="0.25">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75" hidden="1" x14ac:dyDescent="0.25">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75" hidden="1" x14ac:dyDescent="0.25">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75" hidden="1" x14ac:dyDescent="0.25">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75" hidden="1" x14ac:dyDescent="0.25">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75" hidden="1" x14ac:dyDescent="0.25">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75" hidden="1" x14ac:dyDescent="0.25">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75" hidden="1" x14ac:dyDescent="0.25">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75" hidden="1" x14ac:dyDescent="0.25">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75" hidden="1" x14ac:dyDescent="0.25">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75" hidden="1" x14ac:dyDescent="0.25">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75" hidden="1" x14ac:dyDescent="0.25">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75" hidden="1" x14ac:dyDescent="0.25">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75" hidden="1" x14ac:dyDescent="0.25">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75" hidden="1" x14ac:dyDescent="0.25">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75" hidden="1" x14ac:dyDescent="0.25">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75" hidden="1" x14ac:dyDescent="0.25">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75" hidden="1" x14ac:dyDescent="0.25">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75" hidden="1" x14ac:dyDescent="0.25">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75" hidden="1" x14ac:dyDescent="0.25">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75" hidden="1" x14ac:dyDescent="0.25">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75" hidden="1" x14ac:dyDescent="0.25">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75" hidden="1" x14ac:dyDescent="0.25">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75" hidden="1" x14ac:dyDescent="0.25">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75" hidden="1" x14ac:dyDescent="0.25">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75" hidden="1" x14ac:dyDescent="0.25">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75" hidden="1" x14ac:dyDescent="0.25">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75" hidden="1" x14ac:dyDescent="0.25">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75" hidden="1" x14ac:dyDescent="0.25">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75" hidden="1" x14ac:dyDescent="0.25">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75" hidden="1" x14ac:dyDescent="0.25">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75" hidden="1" x14ac:dyDescent="0.25">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75" hidden="1" x14ac:dyDescent="0.25">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75" hidden="1" x14ac:dyDescent="0.25">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75" hidden="1" x14ac:dyDescent="0.25">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75" hidden="1" x14ac:dyDescent="0.25">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75" hidden="1" x14ac:dyDescent="0.25">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75" hidden="1" x14ac:dyDescent="0.25">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75" hidden="1" x14ac:dyDescent="0.25">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75" hidden="1" x14ac:dyDescent="0.25">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75" hidden="1" x14ac:dyDescent="0.25">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75" hidden="1" x14ac:dyDescent="0.25">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75" hidden="1" x14ac:dyDescent="0.25">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75" x14ac:dyDescent="0.25">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75" hidden="1" x14ac:dyDescent="0.25">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75" hidden="1" x14ac:dyDescent="0.25">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75" hidden="1" x14ac:dyDescent="0.25">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75" hidden="1" x14ac:dyDescent="0.25">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75" hidden="1" x14ac:dyDescent="0.25">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75" hidden="1" x14ac:dyDescent="0.25">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75" hidden="1" x14ac:dyDescent="0.25">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75" hidden="1" x14ac:dyDescent="0.25">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75" hidden="1" x14ac:dyDescent="0.25">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75" hidden="1" x14ac:dyDescent="0.25">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75" hidden="1" x14ac:dyDescent="0.25">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75" hidden="1" x14ac:dyDescent="0.25">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75" hidden="1" x14ac:dyDescent="0.25">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75" hidden="1" x14ac:dyDescent="0.25">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75" hidden="1" x14ac:dyDescent="0.25">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75" hidden="1" x14ac:dyDescent="0.25">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75" hidden="1" x14ac:dyDescent="0.25">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75" hidden="1" x14ac:dyDescent="0.25">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75" hidden="1" x14ac:dyDescent="0.25">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75" hidden="1" x14ac:dyDescent="0.25">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75" hidden="1" x14ac:dyDescent="0.25">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75" hidden="1" x14ac:dyDescent="0.25">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75" hidden="1" x14ac:dyDescent="0.25">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75" hidden="1" x14ac:dyDescent="0.25">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75" hidden="1" x14ac:dyDescent="0.25">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75" hidden="1" x14ac:dyDescent="0.25">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75" hidden="1" x14ac:dyDescent="0.25">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75" hidden="1" x14ac:dyDescent="0.25">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75" hidden="1" x14ac:dyDescent="0.25">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75" hidden="1" x14ac:dyDescent="0.25">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75" hidden="1" x14ac:dyDescent="0.25">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75" hidden="1" x14ac:dyDescent="0.25">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75" hidden="1" x14ac:dyDescent="0.25">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75" hidden="1" x14ac:dyDescent="0.25">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75" hidden="1" x14ac:dyDescent="0.25">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75" hidden="1" x14ac:dyDescent="0.25">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75" hidden="1" x14ac:dyDescent="0.25">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75" hidden="1" x14ac:dyDescent="0.25">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75" hidden="1" x14ac:dyDescent="0.25">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75" hidden="1" x14ac:dyDescent="0.25">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75" hidden="1" x14ac:dyDescent="0.25">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75" hidden="1" x14ac:dyDescent="0.25">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75" hidden="1" x14ac:dyDescent="0.25">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75" hidden="1" x14ac:dyDescent="0.25">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75" hidden="1" x14ac:dyDescent="0.25">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75" hidden="1" x14ac:dyDescent="0.25">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75" hidden="1" x14ac:dyDescent="0.25">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75" hidden="1" x14ac:dyDescent="0.25">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75" hidden="1" x14ac:dyDescent="0.25">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75" hidden="1" x14ac:dyDescent="0.25">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75" hidden="1" x14ac:dyDescent="0.25">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75" hidden="1" x14ac:dyDescent="0.25">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75" hidden="1" x14ac:dyDescent="0.25">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75" hidden="1" x14ac:dyDescent="0.25">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75" hidden="1" x14ac:dyDescent="0.25">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75" hidden="1" x14ac:dyDescent="0.25">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75" hidden="1" x14ac:dyDescent="0.25">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75" hidden="1" x14ac:dyDescent="0.25">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75" hidden="1" x14ac:dyDescent="0.25">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75" hidden="1" x14ac:dyDescent="0.25">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75" hidden="1" x14ac:dyDescent="0.25">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75" hidden="1" x14ac:dyDescent="0.25">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75" hidden="1" x14ac:dyDescent="0.25">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75" hidden="1" x14ac:dyDescent="0.25">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75" hidden="1" x14ac:dyDescent="0.25">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75" hidden="1" x14ac:dyDescent="0.25">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75" hidden="1" x14ac:dyDescent="0.25">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75" hidden="1" x14ac:dyDescent="0.25">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75" hidden="1" x14ac:dyDescent="0.25">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75" hidden="1" x14ac:dyDescent="0.25">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75" hidden="1" x14ac:dyDescent="0.25">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75" hidden="1" x14ac:dyDescent="0.25">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75" hidden="1" x14ac:dyDescent="0.25">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75" hidden="1" x14ac:dyDescent="0.25">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75" hidden="1" x14ac:dyDescent="0.25">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75" hidden="1" x14ac:dyDescent="0.25">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75" hidden="1" x14ac:dyDescent="0.25">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75" hidden="1" x14ac:dyDescent="0.25">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75" hidden="1" x14ac:dyDescent="0.25">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75" hidden="1" x14ac:dyDescent="0.25">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75" hidden="1" x14ac:dyDescent="0.25">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75" hidden="1" x14ac:dyDescent="0.25">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75" hidden="1" x14ac:dyDescent="0.25">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75" hidden="1" x14ac:dyDescent="0.25">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75" hidden="1" x14ac:dyDescent="0.25">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75" hidden="1" x14ac:dyDescent="0.25">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75" hidden="1" x14ac:dyDescent="0.25">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75" hidden="1" x14ac:dyDescent="0.25">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75" hidden="1" x14ac:dyDescent="0.25">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75" hidden="1" x14ac:dyDescent="0.25">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75" hidden="1" x14ac:dyDescent="0.25">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75" hidden="1" x14ac:dyDescent="0.25">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75" hidden="1" x14ac:dyDescent="0.25">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75" hidden="1" x14ac:dyDescent="0.25">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75" hidden="1" x14ac:dyDescent="0.25">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75" hidden="1" x14ac:dyDescent="0.25">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75" hidden="1" x14ac:dyDescent="0.25">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75" hidden="1" x14ac:dyDescent="0.25">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75" hidden="1" x14ac:dyDescent="0.25">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75" hidden="1" x14ac:dyDescent="0.25">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75" hidden="1" x14ac:dyDescent="0.25">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75" hidden="1" x14ac:dyDescent="0.25">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75" hidden="1" x14ac:dyDescent="0.25">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75" hidden="1" x14ac:dyDescent="0.25">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75" hidden="1" x14ac:dyDescent="0.25">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75" hidden="1" x14ac:dyDescent="0.25">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75" hidden="1" x14ac:dyDescent="0.25">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75" hidden="1" x14ac:dyDescent="0.25">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75" hidden="1" x14ac:dyDescent="0.25">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75" hidden="1" x14ac:dyDescent="0.25">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75" hidden="1" x14ac:dyDescent="0.25">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75" hidden="1" x14ac:dyDescent="0.25">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75" hidden="1" x14ac:dyDescent="0.25">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75" hidden="1" x14ac:dyDescent="0.25">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75" hidden="1" x14ac:dyDescent="0.25">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75" hidden="1" x14ac:dyDescent="0.25">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75" hidden="1" x14ac:dyDescent="0.25">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75" hidden="1" x14ac:dyDescent="0.25">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75" hidden="1" x14ac:dyDescent="0.25">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75" hidden="1" x14ac:dyDescent="0.25">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75" hidden="1" x14ac:dyDescent="0.25">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75" hidden="1" x14ac:dyDescent="0.25">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75" hidden="1" x14ac:dyDescent="0.25">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75" hidden="1" x14ac:dyDescent="0.25">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75" hidden="1" x14ac:dyDescent="0.25">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75" hidden="1" x14ac:dyDescent="0.25">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75" hidden="1" x14ac:dyDescent="0.25">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75" hidden="1" x14ac:dyDescent="0.25">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75" hidden="1" x14ac:dyDescent="0.25">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75" hidden="1" x14ac:dyDescent="0.25">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75" hidden="1" x14ac:dyDescent="0.25">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75" hidden="1" x14ac:dyDescent="0.25">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75" hidden="1" x14ac:dyDescent="0.25">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75" hidden="1" x14ac:dyDescent="0.25">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75" hidden="1" x14ac:dyDescent="0.25">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75" hidden="1" x14ac:dyDescent="0.25">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75" hidden="1" x14ac:dyDescent="0.25">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75" hidden="1" x14ac:dyDescent="0.25">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75" hidden="1" x14ac:dyDescent="0.25">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75" hidden="1" x14ac:dyDescent="0.25">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75" hidden="1" x14ac:dyDescent="0.25">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75" hidden="1" x14ac:dyDescent="0.25">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75" hidden="1" x14ac:dyDescent="0.25">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75" hidden="1" x14ac:dyDescent="0.25">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75" hidden="1" x14ac:dyDescent="0.25">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75" hidden="1" x14ac:dyDescent="0.25">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75" hidden="1" x14ac:dyDescent="0.25">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75" hidden="1" x14ac:dyDescent="0.25">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75" hidden="1" x14ac:dyDescent="0.25">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75" hidden="1" x14ac:dyDescent="0.25">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75" hidden="1" x14ac:dyDescent="0.25">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75" hidden="1" x14ac:dyDescent="0.25">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75" hidden="1" x14ac:dyDescent="0.25">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75" hidden="1" x14ac:dyDescent="0.25">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75" hidden="1" x14ac:dyDescent="0.25">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75" hidden="1" x14ac:dyDescent="0.25">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75" hidden="1" x14ac:dyDescent="0.25">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75" hidden="1" x14ac:dyDescent="0.25">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75" hidden="1" x14ac:dyDescent="0.25">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75" hidden="1" x14ac:dyDescent="0.25">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75" hidden="1" x14ac:dyDescent="0.25">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75" hidden="1" x14ac:dyDescent="0.25">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75" hidden="1" x14ac:dyDescent="0.25">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75" hidden="1" x14ac:dyDescent="0.25">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75" hidden="1" x14ac:dyDescent="0.25">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75" hidden="1" x14ac:dyDescent="0.25">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75" hidden="1" x14ac:dyDescent="0.25">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75" hidden="1" x14ac:dyDescent="0.25">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75" hidden="1" x14ac:dyDescent="0.25">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75" hidden="1" x14ac:dyDescent="0.25">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75" hidden="1" x14ac:dyDescent="0.25">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75" hidden="1" x14ac:dyDescent="0.25">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75" hidden="1" x14ac:dyDescent="0.25">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75" hidden="1" x14ac:dyDescent="0.25">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75" hidden="1" x14ac:dyDescent="0.25">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75" hidden="1" x14ac:dyDescent="0.25">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75" hidden="1" x14ac:dyDescent="0.25">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75" hidden="1" x14ac:dyDescent="0.25">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75" hidden="1" x14ac:dyDescent="0.25">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75" hidden="1" x14ac:dyDescent="0.25">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75" hidden="1" x14ac:dyDescent="0.25">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75" hidden="1" x14ac:dyDescent="0.25">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75" hidden="1" x14ac:dyDescent="0.25">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75" hidden="1" x14ac:dyDescent="0.25">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75" hidden="1" x14ac:dyDescent="0.25">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75" hidden="1" x14ac:dyDescent="0.25">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75" hidden="1" x14ac:dyDescent="0.25">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75" hidden="1" x14ac:dyDescent="0.25">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75" hidden="1" x14ac:dyDescent="0.25">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75" hidden="1" x14ac:dyDescent="0.25">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75" hidden="1" x14ac:dyDescent="0.25">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75" hidden="1" x14ac:dyDescent="0.25">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75" hidden="1" x14ac:dyDescent="0.25">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75" hidden="1" x14ac:dyDescent="0.25">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75" hidden="1" x14ac:dyDescent="0.25">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75" hidden="1" x14ac:dyDescent="0.25">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75" hidden="1" x14ac:dyDescent="0.25">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75" hidden="1" x14ac:dyDescent="0.25">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75" hidden="1" x14ac:dyDescent="0.25">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75" hidden="1" x14ac:dyDescent="0.25">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75" hidden="1" x14ac:dyDescent="0.25">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75" hidden="1" x14ac:dyDescent="0.25">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75" hidden="1" x14ac:dyDescent="0.25">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75" hidden="1" x14ac:dyDescent="0.25">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75" hidden="1" x14ac:dyDescent="0.25">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75" hidden="1" x14ac:dyDescent="0.25">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75" hidden="1" x14ac:dyDescent="0.25">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75" hidden="1" x14ac:dyDescent="0.25">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75" hidden="1" x14ac:dyDescent="0.25">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75" hidden="1" x14ac:dyDescent="0.25">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75" hidden="1" x14ac:dyDescent="0.25">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75" hidden="1" x14ac:dyDescent="0.25">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75" hidden="1" x14ac:dyDescent="0.25">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75" hidden="1" x14ac:dyDescent="0.25">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75" hidden="1" x14ac:dyDescent="0.25">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75" hidden="1" x14ac:dyDescent="0.25">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75" hidden="1" x14ac:dyDescent="0.25">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75" hidden="1" x14ac:dyDescent="0.25">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75" hidden="1" x14ac:dyDescent="0.25">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75" hidden="1" x14ac:dyDescent="0.25">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75" hidden="1" x14ac:dyDescent="0.25">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75" hidden="1" x14ac:dyDescent="0.25">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75" hidden="1" x14ac:dyDescent="0.25">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75" hidden="1" x14ac:dyDescent="0.25">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75" hidden="1" x14ac:dyDescent="0.25">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75" hidden="1" x14ac:dyDescent="0.25">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75" hidden="1" x14ac:dyDescent="0.25">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75" hidden="1" x14ac:dyDescent="0.25">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75" hidden="1" x14ac:dyDescent="0.25">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75" hidden="1" x14ac:dyDescent="0.25">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75" hidden="1" x14ac:dyDescent="0.25">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75" hidden="1" x14ac:dyDescent="0.25">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75" hidden="1" x14ac:dyDescent="0.25">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75" hidden="1" x14ac:dyDescent="0.25">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75" hidden="1" x14ac:dyDescent="0.25">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75" hidden="1" x14ac:dyDescent="0.25">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75" hidden="1" x14ac:dyDescent="0.25">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75" hidden="1" x14ac:dyDescent="0.25">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75" hidden="1" x14ac:dyDescent="0.25">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75" hidden="1" x14ac:dyDescent="0.25">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75" hidden="1" x14ac:dyDescent="0.25">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75" hidden="1" x14ac:dyDescent="0.25">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75" hidden="1" x14ac:dyDescent="0.25">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75" hidden="1" x14ac:dyDescent="0.25">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75" hidden="1" x14ac:dyDescent="0.25">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75" hidden="1" x14ac:dyDescent="0.25">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75" hidden="1" x14ac:dyDescent="0.25">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75" hidden="1" x14ac:dyDescent="0.25">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75" hidden="1" x14ac:dyDescent="0.25">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75" hidden="1" x14ac:dyDescent="0.25">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75" hidden="1" x14ac:dyDescent="0.25">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75" hidden="1" x14ac:dyDescent="0.25">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75" hidden="1" x14ac:dyDescent="0.25">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75" hidden="1" x14ac:dyDescent="0.25">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75" hidden="1" x14ac:dyDescent="0.25">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75" hidden="1" x14ac:dyDescent="0.25">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75" hidden="1" x14ac:dyDescent="0.25">
      <c r="A2145" s="9">
        <v>2120</v>
      </c>
      <c r="B2145" s="10" t="s">
        <v>438</v>
      </c>
      <c r="C2145" s="11">
        <v>152481103</v>
      </c>
      <c r="D2145" s="11" t="s">
        <v>433</v>
      </c>
      <c r="E2145" s="223">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75" hidden="1" x14ac:dyDescent="0.25">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75" hidden="1" x14ac:dyDescent="0.25">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75" hidden="1" x14ac:dyDescent="0.25">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75" hidden="1" x14ac:dyDescent="0.25">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75" hidden="1" x14ac:dyDescent="0.25">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75" hidden="1" x14ac:dyDescent="0.25">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75" hidden="1" x14ac:dyDescent="0.25">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75" hidden="1" x14ac:dyDescent="0.25">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75" hidden="1" x14ac:dyDescent="0.25">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75" hidden="1" x14ac:dyDescent="0.25">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75" hidden="1" x14ac:dyDescent="0.25">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75" hidden="1" x14ac:dyDescent="0.25">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75" hidden="1" x14ac:dyDescent="0.25">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75" hidden="1" x14ac:dyDescent="0.25">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75" hidden="1" x14ac:dyDescent="0.25">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75" hidden="1" x14ac:dyDescent="0.25">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75" hidden="1" x14ac:dyDescent="0.25">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75" hidden="1" x14ac:dyDescent="0.25">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75" hidden="1" x14ac:dyDescent="0.25">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75" hidden="1" x14ac:dyDescent="0.25">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75" hidden="1" x14ac:dyDescent="0.25">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75" hidden="1" x14ac:dyDescent="0.25">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75" hidden="1" x14ac:dyDescent="0.25">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75" hidden="1" x14ac:dyDescent="0.25">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75" hidden="1" x14ac:dyDescent="0.25">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75" hidden="1" x14ac:dyDescent="0.25">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75" hidden="1" x14ac:dyDescent="0.25">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75" hidden="1" x14ac:dyDescent="0.25">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75" hidden="1" x14ac:dyDescent="0.25">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75" hidden="1" x14ac:dyDescent="0.25">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75" hidden="1" x14ac:dyDescent="0.25">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75" hidden="1" x14ac:dyDescent="0.25">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75" hidden="1" x14ac:dyDescent="0.25">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75" hidden="1" x14ac:dyDescent="0.25">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75" hidden="1" x14ac:dyDescent="0.25">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75" hidden="1" x14ac:dyDescent="0.25">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75" hidden="1" x14ac:dyDescent="0.25">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75" hidden="1" x14ac:dyDescent="0.25">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75" hidden="1" x14ac:dyDescent="0.25">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75" hidden="1" x14ac:dyDescent="0.25">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75" hidden="1" x14ac:dyDescent="0.25">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75" hidden="1" x14ac:dyDescent="0.25">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75" hidden="1" x14ac:dyDescent="0.25">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75" hidden="1" x14ac:dyDescent="0.25">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75" hidden="1" x14ac:dyDescent="0.25">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75" hidden="1" x14ac:dyDescent="0.25">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75" hidden="1" x14ac:dyDescent="0.25">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75" hidden="1" x14ac:dyDescent="0.25">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75" hidden="1" x14ac:dyDescent="0.25">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75" hidden="1" x14ac:dyDescent="0.25">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75" hidden="1" x14ac:dyDescent="0.25">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75" hidden="1" x14ac:dyDescent="0.25">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75" hidden="1" x14ac:dyDescent="0.25">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75" hidden="1" x14ac:dyDescent="0.25">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75" hidden="1" x14ac:dyDescent="0.25">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75" hidden="1" x14ac:dyDescent="0.25">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75" hidden="1" x14ac:dyDescent="0.25">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75" hidden="1" x14ac:dyDescent="0.25">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75" hidden="1" x14ac:dyDescent="0.25">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75" hidden="1" x14ac:dyDescent="0.25">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75" hidden="1" x14ac:dyDescent="0.25">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75" hidden="1" x14ac:dyDescent="0.25">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75" hidden="1" x14ac:dyDescent="0.25">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75" hidden="1" x14ac:dyDescent="0.25">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75" hidden="1" x14ac:dyDescent="0.25">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75" hidden="1" x14ac:dyDescent="0.25">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75" hidden="1" x14ac:dyDescent="0.25">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75" hidden="1" x14ac:dyDescent="0.25">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75" hidden="1" x14ac:dyDescent="0.25">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75" hidden="1" x14ac:dyDescent="0.25">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75" hidden="1" x14ac:dyDescent="0.25">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75" hidden="1" x14ac:dyDescent="0.25">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75" x14ac:dyDescent="0.25">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75" hidden="1" x14ac:dyDescent="0.25">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75" hidden="1" x14ac:dyDescent="0.25">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75" hidden="1" x14ac:dyDescent="0.25">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75" hidden="1" x14ac:dyDescent="0.25">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75" hidden="1" x14ac:dyDescent="0.25">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75" hidden="1" x14ac:dyDescent="0.25">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75" hidden="1" x14ac:dyDescent="0.25">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75" hidden="1" x14ac:dyDescent="0.25">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75" hidden="1" x14ac:dyDescent="0.25">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75" hidden="1" x14ac:dyDescent="0.25">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75" hidden="1" x14ac:dyDescent="0.25">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75" hidden="1" x14ac:dyDescent="0.25">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75" hidden="1" x14ac:dyDescent="0.25">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75" hidden="1" x14ac:dyDescent="0.25">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75" hidden="1" x14ac:dyDescent="0.25">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75" hidden="1" x14ac:dyDescent="0.25">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75" hidden="1" x14ac:dyDescent="0.25">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75" hidden="1" x14ac:dyDescent="0.25">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75" hidden="1" x14ac:dyDescent="0.25">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75" hidden="1" x14ac:dyDescent="0.25">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75" hidden="1" x14ac:dyDescent="0.25">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75" hidden="1" x14ac:dyDescent="0.25">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75" hidden="1" x14ac:dyDescent="0.25">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75" hidden="1" x14ac:dyDescent="0.25">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75" hidden="1" x14ac:dyDescent="0.25">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75" hidden="1" x14ac:dyDescent="0.25">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75" hidden="1" x14ac:dyDescent="0.25">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75" hidden="1" x14ac:dyDescent="0.25">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75" hidden="1" x14ac:dyDescent="0.25">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75" hidden="1" x14ac:dyDescent="0.25">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75" hidden="1" x14ac:dyDescent="0.25">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75" hidden="1" x14ac:dyDescent="0.25">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75" hidden="1" x14ac:dyDescent="0.25">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75" hidden="1" x14ac:dyDescent="0.25">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75" hidden="1" x14ac:dyDescent="0.25">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75" hidden="1" x14ac:dyDescent="0.25">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75" hidden="1" x14ac:dyDescent="0.25">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75" hidden="1" x14ac:dyDescent="0.25">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75" hidden="1" x14ac:dyDescent="0.25">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75" hidden="1" x14ac:dyDescent="0.25">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75" hidden="1" x14ac:dyDescent="0.25">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75" hidden="1" x14ac:dyDescent="0.25">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75" hidden="1" x14ac:dyDescent="0.25">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75" hidden="1" x14ac:dyDescent="0.25">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75" hidden="1" x14ac:dyDescent="0.25">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75" hidden="1" x14ac:dyDescent="0.25">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75" hidden="1" x14ac:dyDescent="0.25">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75" hidden="1" x14ac:dyDescent="0.25">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75" hidden="1" x14ac:dyDescent="0.25">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75" x14ac:dyDescent="0.25">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75" hidden="1" x14ac:dyDescent="0.25">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75" hidden="1" x14ac:dyDescent="0.25">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75" hidden="1" x14ac:dyDescent="0.25">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75" hidden="1" x14ac:dyDescent="0.25">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75" hidden="1" x14ac:dyDescent="0.25">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75" hidden="1" x14ac:dyDescent="0.25">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75" hidden="1" x14ac:dyDescent="0.25">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75" hidden="1" x14ac:dyDescent="0.25">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75" hidden="1" x14ac:dyDescent="0.25">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75" hidden="1" x14ac:dyDescent="0.25">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75" hidden="1" x14ac:dyDescent="0.25">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75" hidden="1" x14ac:dyDescent="0.25">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75" hidden="1" x14ac:dyDescent="0.25">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75" hidden="1" x14ac:dyDescent="0.25">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75" hidden="1" x14ac:dyDescent="0.25">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75" hidden="1" x14ac:dyDescent="0.25">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75" hidden="1" x14ac:dyDescent="0.25">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75" hidden="1" x14ac:dyDescent="0.25">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75" hidden="1" x14ac:dyDescent="0.25">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75" hidden="1" x14ac:dyDescent="0.25">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75" hidden="1" x14ac:dyDescent="0.25">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75" hidden="1" x14ac:dyDescent="0.25">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75" hidden="1" x14ac:dyDescent="0.25">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75" hidden="1" x14ac:dyDescent="0.25">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75" hidden="1" x14ac:dyDescent="0.25">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75" hidden="1" x14ac:dyDescent="0.25">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75" hidden="1" x14ac:dyDescent="0.25">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75" hidden="1" x14ac:dyDescent="0.25">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75" hidden="1" x14ac:dyDescent="0.25">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75" hidden="1" x14ac:dyDescent="0.25">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75" hidden="1" x14ac:dyDescent="0.25">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75" hidden="1" x14ac:dyDescent="0.25">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75" hidden="1" x14ac:dyDescent="0.25">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75" hidden="1" x14ac:dyDescent="0.25">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75" hidden="1" x14ac:dyDescent="0.25">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75" hidden="1" x14ac:dyDescent="0.25">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75" hidden="1" x14ac:dyDescent="0.25">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75" hidden="1" x14ac:dyDescent="0.25">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75" hidden="1" x14ac:dyDescent="0.25">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75" hidden="1" x14ac:dyDescent="0.25">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75" hidden="1" x14ac:dyDescent="0.25">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75" hidden="1" x14ac:dyDescent="0.25">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75" hidden="1" x14ac:dyDescent="0.25">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75" hidden="1" x14ac:dyDescent="0.25">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75" hidden="1" x14ac:dyDescent="0.25">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75" hidden="1" x14ac:dyDescent="0.25">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75" hidden="1" x14ac:dyDescent="0.25">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75" hidden="1" x14ac:dyDescent="0.25">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75" hidden="1" x14ac:dyDescent="0.25">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75" hidden="1" x14ac:dyDescent="0.25">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75" hidden="1" x14ac:dyDescent="0.25">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75" hidden="1" x14ac:dyDescent="0.25">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75" hidden="1" x14ac:dyDescent="0.25">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75" hidden="1" x14ac:dyDescent="0.25">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75" hidden="1" x14ac:dyDescent="0.25">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75" hidden="1" x14ac:dyDescent="0.25">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75" hidden="1" x14ac:dyDescent="0.25">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75" hidden="1" x14ac:dyDescent="0.25">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75" hidden="1" x14ac:dyDescent="0.25">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75" hidden="1" x14ac:dyDescent="0.25">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75" hidden="1" x14ac:dyDescent="0.25">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75" hidden="1" x14ac:dyDescent="0.25">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75" hidden="1" x14ac:dyDescent="0.25">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75" hidden="1" x14ac:dyDescent="0.25">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75" hidden="1" x14ac:dyDescent="0.25">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75" hidden="1" x14ac:dyDescent="0.25">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75" hidden="1" x14ac:dyDescent="0.25">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75" hidden="1" x14ac:dyDescent="0.25">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75" hidden="1" x14ac:dyDescent="0.25">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75" hidden="1" x14ac:dyDescent="0.25">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75" hidden="1" x14ac:dyDescent="0.25">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75" hidden="1" x14ac:dyDescent="0.25">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75" hidden="1" x14ac:dyDescent="0.25">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75" hidden="1" x14ac:dyDescent="0.25">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75" hidden="1" x14ac:dyDescent="0.25">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75" hidden="1" x14ac:dyDescent="0.25">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75" hidden="1" x14ac:dyDescent="0.25">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75" hidden="1" x14ac:dyDescent="0.25">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75" hidden="1" x14ac:dyDescent="0.25">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75" hidden="1" x14ac:dyDescent="0.25">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75" hidden="1" x14ac:dyDescent="0.25">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75" hidden="1" x14ac:dyDescent="0.25">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75" hidden="1" x14ac:dyDescent="0.25">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75" hidden="1" x14ac:dyDescent="0.25">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75" hidden="1" x14ac:dyDescent="0.25">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75" x14ac:dyDescent="0.25">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75" hidden="1" x14ac:dyDescent="0.25">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75" hidden="1" x14ac:dyDescent="0.25">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75" hidden="1" x14ac:dyDescent="0.25">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75" hidden="1" x14ac:dyDescent="0.25">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75" hidden="1" x14ac:dyDescent="0.25">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75" hidden="1" x14ac:dyDescent="0.25">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75" hidden="1" x14ac:dyDescent="0.25">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75" hidden="1" x14ac:dyDescent="0.25">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75" hidden="1" x14ac:dyDescent="0.25">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75" hidden="1" x14ac:dyDescent="0.25">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75" hidden="1" x14ac:dyDescent="0.25">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75" hidden="1" x14ac:dyDescent="0.25">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75" hidden="1" x14ac:dyDescent="0.25">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75" hidden="1" x14ac:dyDescent="0.25">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75" hidden="1" x14ac:dyDescent="0.25">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75" x14ac:dyDescent="0.25">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75" hidden="1" x14ac:dyDescent="0.25">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75" hidden="1" x14ac:dyDescent="0.25">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75" hidden="1" x14ac:dyDescent="0.25">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75" hidden="1" x14ac:dyDescent="0.25">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75" hidden="1" x14ac:dyDescent="0.25">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75" hidden="1" x14ac:dyDescent="0.25">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75" hidden="1" x14ac:dyDescent="0.25">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75" hidden="1" x14ac:dyDescent="0.25">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75" hidden="1" x14ac:dyDescent="0.25">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75" hidden="1" x14ac:dyDescent="0.25">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75" hidden="1" x14ac:dyDescent="0.25">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75" hidden="1" x14ac:dyDescent="0.25">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75" hidden="1" x14ac:dyDescent="0.25">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75" hidden="1" x14ac:dyDescent="0.25">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75" hidden="1" x14ac:dyDescent="0.25">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75" hidden="1" x14ac:dyDescent="0.25">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75" hidden="1" x14ac:dyDescent="0.25">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75" hidden="1" x14ac:dyDescent="0.25">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75" hidden="1" x14ac:dyDescent="0.25">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75" hidden="1" x14ac:dyDescent="0.25">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75" hidden="1" x14ac:dyDescent="0.25">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75" hidden="1" x14ac:dyDescent="0.25">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75" hidden="1" x14ac:dyDescent="0.25">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75" hidden="1" x14ac:dyDescent="0.25">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75" hidden="1" x14ac:dyDescent="0.25">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75" hidden="1" x14ac:dyDescent="0.25">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75" hidden="1" x14ac:dyDescent="0.25">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75" hidden="1" x14ac:dyDescent="0.25">
      <c r="A2398" s="9">
        <v>976</v>
      </c>
      <c r="B2398" s="10" t="s">
        <v>444</v>
      </c>
      <c r="C2398" s="11">
        <v>152481103</v>
      </c>
      <c r="D2398" s="11" t="s">
        <v>433</v>
      </c>
      <c r="E2398" s="223"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75" hidden="1" x14ac:dyDescent="0.25">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75" hidden="1" x14ac:dyDescent="0.25">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75" hidden="1" x14ac:dyDescent="0.25">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75" hidden="1" x14ac:dyDescent="0.25">
      <c r="A2402" s="9">
        <v>1496</v>
      </c>
      <c r="B2402" s="10" t="s">
        <v>432</v>
      </c>
      <c r="C2402" s="11">
        <v>152481103</v>
      </c>
      <c r="D2402" s="11" t="s">
        <v>433</v>
      </c>
      <c r="E2402" s="223">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75" hidden="1" x14ac:dyDescent="0.25">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75" hidden="1" x14ac:dyDescent="0.25">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75" hidden="1" x14ac:dyDescent="0.25">
      <c r="A2405" s="9">
        <v>3722</v>
      </c>
      <c r="B2405" s="10" t="s">
        <v>437</v>
      </c>
      <c r="C2405" s="11">
        <v>152481103</v>
      </c>
      <c r="D2405" s="11" t="s">
        <v>433</v>
      </c>
      <c r="E2405" s="223">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75" hidden="1" x14ac:dyDescent="0.25">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75" hidden="1" x14ac:dyDescent="0.25">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75" hidden="1" x14ac:dyDescent="0.25">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75" hidden="1" x14ac:dyDescent="0.25">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75" hidden="1" x14ac:dyDescent="0.25">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75" hidden="1" x14ac:dyDescent="0.25">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75" x14ac:dyDescent="0.25">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75" hidden="1" x14ac:dyDescent="0.25">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75" hidden="1" x14ac:dyDescent="0.25">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75" hidden="1" x14ac:dyDescent="0.25">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75" hidden="1" x14ac:dyDescent="0.25">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75" hidden="1" x14ac:dyDescent="0.25">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75" hidden="1" x14ac:dyDescent="0.25">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75" hidden="1" x14ac:dyDescent="0.25">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75" hidden="1" x14ac:dyDescent="0.25">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75" hidden="1" x14ac:dyDescent="0.25">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75" hidden="1" x14ac:dyDescent="0.25">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75" hidden="1" x14ac:dyDescent="0.25">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75" hidden="1" x14ac:dyDescent="0.25">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75" hidden="1" x14ac:dyDescent="0.25">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75" hidden="1" x14ac:dyDescent="0.25">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75" x14ac:dyDescent="0.25">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75" hidden="1" x14ac:dyDescent="0.25">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75" hidden="1" x14ac:dyDescent="0.25">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75" hidden="1" x14ac:dyDescent="0.25">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75" hidden="1" x14ac:dyDescent="0.25">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75" hidden="1" x14ac:dyDescent="0.25">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75" hidden="1" x14ac:dyDescent="0.25">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75" hidden="1" x14ac:dyDescent="0.25">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75" hidden="1" x14ac:dyDescent="0.25">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75" hidden="1" x14ac:dyDescent="0.25">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75" hidden="1" x14ac:dyDescent="0.25">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75" hidden="1" x14ac:dyDescent="0.25">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75" hidden="1" x14ac:dyDescent="0.25">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75" hidden="1" x14ac:dyDescent="0.25">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75" hidden="1" x14ac:dyDescent="0.25">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75" hidden="1" x14ac:dyDescent="0.25">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75" hidden="1" x14ac:dyDescent="0.25">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75" hidden="1" x14ac:dyDescent="0.25">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75" hidden="1" x14ac:dyDescent="0.25">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75" hidden="1" x14ac:dyDescent="0.25">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75" hidden="1" x14ac:dyDescent="0.25">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75" hidden="1" x14ac:dyDescent="0.25">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75" hidden="1" x14ac:dyDescent="0.25">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75" hidden="1" x14ac:dyDescent="0.25">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75" hidden="1" x14ac:dyDescent="0.25">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75" hidden="1" x14ac:dyDescent="0.25">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75" hidden="1" x14ac:dyDescent="0.25">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75" hidden="1" x14ac:dyDescent="0.25">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75" hidden="1" x14ac:dyDescent="0.25">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75" hidden="1" x14ac:dyDescent="0.25">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75" hidden="1" x14ac:dyDescent="0.25">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75" hidden="1" x14ac:dyDescent="0.25">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75" hidden="1" x14ac:dyDescent="0.25">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75" hidden="1" x14ac:dyDescent="0.25">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75" hidden="1" x14ac:dyDescent="0.25">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75" hidden="1" x14ac:dyDescent="0.25">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75" hidden="1" x14ac:dyDescent="0.25">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75" hidden="1" x14ac:dyDescent="0.25">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75" hidden="1" x14ac:dyDescent="0.25">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75" hidden="1" x14ac:dyDescent="0.25">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75" hidden="1" x14ac:dyDescent="0.25">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75" hidden="1" x14ac:dyDescent="0.25">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75" hidden="1" x14ac:dyDescent="0.25">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75" hidden="1" x14ac:dyDescent="0.25">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75" hidden="1" x14ac:dyDescent="0.25">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75" hidden="1" x14ac:dyDescent="0.25">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75" hidden="1" x14ac:dyDescent="0.25">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75" hidden="1" x14ac:dyDescent="0.25">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75" hidden="1" x14ac:dyDescent="0.25">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75" hidden="1" x14ac:dyDescent="0.25">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75" hidden="1" x14ac:dyDescent="0.25">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75" hidden="1" x14ac:dyDescent="0.25">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75" hidden="1" x14ac:dyDescent="0.25">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75" hidden="1" x14ac:dyDescent="0.25">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75" hidden="1" x14ac:dyDescent="0.25">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75" hidden="1" x14ac:dyDescent="0.25">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75" hidden="1" x14ac:dyDescent="0.25">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75" hidden="1" x14ac:dyDescent="0.25">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75" hidden="1" x14ac:dyDescent="0.25">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75" hidden="1" x14ac:dyDescent="0.25">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75" hidden="1" x14ac:dyDescent="0.25">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75" hidden="1" x14ac:dyDescent="0.25">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75" hidden="1" x14ac:dyDescent="0.25">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75" hidden="1" x14ac:dyDescent="0.25">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75" hidden="1" x14ac:dyDescent="0.25">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75" hidden="1" x14ac:dyDescent="0.25">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75" hidden="1" x14ac:dyDescent="0.25">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75" hidden="1" x14ac:dyDescent="0.25">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75" hidden="1" x14ac:dyDescent="0.25">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75" hidden="1" x14ac:dyDescent="0.25">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75" hidden="1" x14ac:dyDescent="0.25">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75" hidden="1" x14ac:dyDescent="0.25">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75" hidden="1" x14ac:dyDescent="0.25">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75" hidden="1" x14ac:dyDescent="0.25">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75" hidden="1" x14ac:dyDescent="0.25">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75" hidden="1" x14ac:dyDescent="0.25">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75" hidden="1" x14ac:dyDescent="0.25">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75" hidden="1" x14ac:dyDescent="0.25">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75" hidden="1" x14ac:dyDescent="0.25">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75" hidden="1" x14ac:dyDescent="0.25">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75" hidden="1" x14ac:dyDescent="0.25">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75" hidden="1" x14ac:dyDescent="0.25">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75" hidden="1" x14ac:dyDescent="0.25">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75" hidden="1" x14ac:dyDescent="0.25">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75" hidden="1" x14ac:dyDescent="0.25">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75" hidden="1" x14ac:dyDescent="0.25">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75" hidden="1" x14ac:dyDescent="0.25">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75" hidden="1" x14ac:dyDescent="0.25">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75" hidden="1" x14ac:dyDescent="0.25">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75" hidden="1" x14ac:dyDescent="0.25">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75" hidden="1" x14ac:dyDescent="0.25">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75" hidden="1" x14ac:dyDescent="0.25">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75" hidden="1" x14ac:dyDescent="0.25">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75" hidden="1" x14ac:dyDescent="0.25">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75" hidden="1" x14ac:dyDescent="0.25">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75" hidden="1" x14ac:dyDescent="0.25">
      <c r="A2522" s="9">
        <v>6727</v>
      </c>
      <c r="B2522" s="10" t="s">
        <v>434</v>
      </c>
      <c r="C2522" s="11">
        <v>152481103</v>
      </c>
      <c r="D2522" s="11" t="s">
        <v>433</v>
      </c>
      <c r="E2522" s="223">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75" hidden="1" x14ac:dyDescent="0.25">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75" hidden="1" x14ac:dyDescent="0.25">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75" hidden="1" x14ac:dyDescent="0.25">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75" hidden="1" x14ac:dyDescent="0.25">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75" hidden="1" x14ac:dyDescent="0.25">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75" hidden="1" x14ac:dyDescent="0.25">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75" hidden="1" x14ac:dyDescent="0.25">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75" hidden="1" x14ac:dyDescent="0.25">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75" hidden="1" x14ac:dyDescent="0.25">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75" hidden="1" x14ac:dyDescent="0.25">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75" hidden="1" x14ac:dyDescent="0.25">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75" hidden="1" x14ac:dyDescent="0.25">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75" hidden="1" x14ac:dyDescent="0.25">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75" hidden="1" x14ac:dyDescent="0.25">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75" hidden="1" x14ac:dyDescent="0.25">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75" hidden="1" x14ac:dyDescent="0.25">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75" hidden="1" x14ac:dyDescent="0.25">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75" hidden="1" x14ac:dyDescent="0.25">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75" hidden="1" x14ac:dyDescent="0.25">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75" hidden="1" x14ac:dyDescent="0.25">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75" hidden="1" x14ac:dyDescent="0.25">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75" hidden="1" x14ac:dyDescent="0.25">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75" hidden="1" x14ac:dyDescent="0.25">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75" hidden="1" x14ac:dyDescent="0.25">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75" hidden="1" x14ac:dyDescent="0.25">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75" hidden="1" x14ac:dyDescent="0.25">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75" hidden="1" x14ac:dyDescent="0.25">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75" hidden="1" x14ac:dyDescent="0.25">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75" hidden="1" x14ac:dyDescent="0.25">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75" hidden="1" x14ac:dyDescent="0.25">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75" hidden="1" x14ac:dyDescent="0.25">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75" hidden="1" x14ac:dyDescent="0.25">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75" hidden="1" x14ac:dyDescent="0.25">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75" hidden="1" x14ac:dyDescent="0.25">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75" hidden="1" x14ac:dyDescent="0.25">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75" hidden="1" x14ac:dyDescent="0.25">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75" hidden="1" x14ac:dyDescent="0.25">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75" hidden="1" x14ac:dyDescent="0.25">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75" hidden="1" x14ac:dyDescent="0.25">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75" hidden="1" x14ac:dyDescent="0.25">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75" hidden="1" x14ac:dyDescent="0.25">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75" hidden="1" x14ac:dyDescent="0.25">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75" hidden="1" x14ac:dyDescent="0.25">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75" hidden="1" x14ac:dyDescent="0.25">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75" hidden="1" x14ac:dyDescent="0.25">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75" hidden="1" x14ac:dyDescent="0.25">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75" hidden="1" x14ac:dyDescent="0.25">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75" hidden="1" x14ac:dyDescent="0.25">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75" hidden="1" x14ac:dyDescent="0.25">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75" hidden="1" x14ac:dyDescent="0.25">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75" hidden="1" x14ac:dyDescent="0.25">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75" hidden="1" x14ac:dyDescent="0.25">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75" hidden="1" x14ac:dyDescent="0.25">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75" hidden="1" x14ac:dyDescent="0.25">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75" hidden="1" x14ac:dyDescent="0.25">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75" hidden="1" x14ac:dyDescent="0.25">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75" hidden="1" x14ac:dyDescent="0.25">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75" hidden="1" x14ac:dyDescent="0.25">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75" hidden="1" x14ac:dyDescent="0.25">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75" hidden="1" x14ac:dyDescent="0.25">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75" hidden="1" x14ac:dyDescent="0.25">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75" hidden="1" x14ac:dyDescent="0.25">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75" hidden="1" x14ac:dyDescent="0.25">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75" hidden="1" x14ac:dyDescent="0.25">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75" hidden="1" x14ac:dyDescent="0.25">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75" hidden="1" x14ac:dyDescent="0.25">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75" hidden="1" x14ac:dyDescent="0.25">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75" hidden="1" x14ac:dyDescent="0.25">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75" hidden="1" x14ac:dyDescent="0.25">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75" hidden="1" x14ac:dyDescent="0.25">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75" hidden="1" x14ac:dyDescent="0.25">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75" hidden="1" x14ac:dyDescent="0.25">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75" hidden="1" x14ac:dyDescent="0.25">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75" hidden="1" x14ac:dyDescent="0.25">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75" hidden="1" x14ac:dyDescent="0.25">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75" hidden="1" x14ac:dyDescent="0.25">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75" hidden="1" x14ac:dyDescent="0.25">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75" hidden="1" x14ac:dyDescent="0.25">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75" hidden="1" x14ac:dyDescent="0.25">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75" hidden="1" x14ac:dyDescent="0.25">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75" hidden="1" x14ac:dyDescent="0.25">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75" hidden="1" x14ac:dyDescent="0.25">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75" hidden="1" x14ac:dyDescent="0.25">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75" hidden="1" x14ac:dyDescent="0.25">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75" hidden="1" x14ac:dyDescent="0.25">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75" hidden="1" x14ac:dyDescent="0.25">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75" hidden="1" x14ac:dyDescent="0.25">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75" hidden="1" x14ac:dyDescent="0.25">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75" hidden="1" x14ac:dyDescent="0.25">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75" hidden="1" x14ac:dyDescent="0.25">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75" hidden="1" x14ac:dyDescent="0.25">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75" hidden="1" x14ac:dyDescent="0.25">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75" hidden="1" x14ac:dyDescent="0.25">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75" hidden="1" x14ac:dyDescent="0.25">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75" hidden="1" x14ac:dyDescent="0.25">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75" hidden="1" x14ac:dyDescent="0.25">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75" hidden="1" x14ac:dyDescent="0.25">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75" hidden="1" x14ac:dyDescent="0.25">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75" hidden="1" x14ac:dyDescent="0.25">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75" hidden="1" x14ac:dyDescent="0.25">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75" hidden="1" x14ac:dyDescent="0.25">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75" x14ac:dyDescent="0.25">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75" hidden="1" x14ac:dyDescent="0.25">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75" hidden="1" x14ac:dyDescent="0.25">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75" hidden="1" x14ac:dyDescent="0.25">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75" hidden="1" x14ac:dyDescent="0.25">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75" hidden="1" x14ac:dyDescent="0.25">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75" hidden="1" x14ac:dyDescent="0.25">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75" hidden="1" x14ac:dyDescent="0.25">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75" hidden="1" x14ac:dyDescent="0.25">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75" hidden="1" x14ac:dyDescent="0.25">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75" hidden="1" x14ac:dyDescent="0.25">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75" hidden="1" x14ac:dyDescent="0.25">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75" hidden="1" x14ac:dyDescent="0.25">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75" hidden="1" x14ac:dyDescent="0.25">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75" hidden="1" x14ac:dyDescent="0.25">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75" hidden="1" x14ac:dyDescent="0.25">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75" hidden="1" x14ac:dyDescent="0.25">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75" hidden="1" x14ac:dyDescent="0.25">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75" hidden="1" x14ac:dyDescent="0.25">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75" hidden="1" x14ac:dyDescent="0.25">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75" hidden="1" x14ac:dyDescent="0.25">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75" hidden="1" x14ac:dyDescent="0.25">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75" hidden="1" x14ac:dyDescent="0.25">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75" hidden="1" x14ac:dyDescent="0.25">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75" hidden="1" x14ac:dyDescent="0.25">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75" hidden="1" x14ac:dyDescent="0.25">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75" hidden="1" x14ac:dyDescent="0.25">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75" hidden="1" x14ac:dyDescent="0.25">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75" hidden="1" x14ac:dyDescent="0.25">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75" hidden="1" x14ac:dyDescent="0.25">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75" hidden="1" x14ac:dyDescent="0.25">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75" hidden="1" x14ac:dyDescent="0.25">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75" x14ac:dyDescent="0.25">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75" hidden="1" x14ac:dyDescent="0.25">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75" hidden="1" x14ac:dyDescent="0.25">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75" hidden="1" x14ac:dyDescent="0.25">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75" hidden="1" x14ac:dyDescent="0.25">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75" hidden="1" x14ac:dyDescent="0.25">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75" hidden="1" x14ac:dyDescent="0.25">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75" hidden="1" x14ac:dyDescent="0.25">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75" hidden="1" x14ac:dyDescent="0.25">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75" hidden="1" x14ac:dyDescent="0.25">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75" hidden="1" x14ac:dyDescent="0.25">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75" hidden="1" x14ac:dyDescent="0.25">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75" hidden="1" x14ac:dyDescent="0.25">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75" hidden="1" x14ac:dyDescent="0.25">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75" hidden="1" x14ac:dyDescent="0.25">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75" hidden="1" x14ac:dyDescent="0.25">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75" hidden="1" x14ac:dyDescent="0.25">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75" hidden="1" x14ac:dyDescent="0.25">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75" hidden="1" x14ac:dyDescent="0.25">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75" hidden="1" x14ac:dyDescent="0.25">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75" hidden="1" x14ac:dyDescent="0.25">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75" hidden="1" x14ac:dyDescent="0.25">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75" hidden="1" x14ac:dyDescent="0.25">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75" x14ac:dyDescent="0.25">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75" hidden="1" x14ac:dyDescent="0.25">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75" hidden="1" x14ac:dyDescent="0.25">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75" hidden="1" x14ac:dyDescent="0.25">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75" hidden="1" x14ac:dyDescent="0.25">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75" hidden="1" x14ac:dyDescent="0.25">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75" hidden="1" x14ac:dyDescent="0.25">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75" hidden="1" x14ac:dyDescent="0.25">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75" hidden="1" x14ac:dyDescent="0.25">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75" hidden="1" x14ac:dyDescent="0.25">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75" hidden="1" x14ac:dyDescent="0.25">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75" hidden="1" x14ac:dyDescent="0.25">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75" x14ac:dyDescent="0.25">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75" hidden="1" x14ac:dyDescent="0.25">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75" hidden="1" x14ac:dyDescent="0.25">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75" hidden="1" x14ac:dyDescent="0.25">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75" hidden="1" x14ac:dyDescent="0.25">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75" hidden="1" x14ac:dyDescent="0.25">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75" hidden="1" x14ac:dyDescent="0.25">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75" hidden="1" x14ac:dyDescent="0.25">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75" hidden="1" x14ac:dyDescent="0.25">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75" hidden="1" x14ac:dyDescent="0.25">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75" hidden="1" x14ac:dyDescent="0.25">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75" hidden="1" x14ac:dyDescent="0.25">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75" hidden="1" x14ac:dyDescent="0.25">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75" hidden="1" x14ac:dyDescent="0.25">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75" hidden="1" x14ac:dyDescent="0.25">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75" hidden="1" x14ac:dyDescent="0.25">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75" hidden="1" x14ac:dyDescent="0.25">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75" hidden="1" x14ac:dyDescent="0.25">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75" hidden="1" x14ac:dyDescent="0.25">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75" hidden="1" x14ac:dyDescent="0.25">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75" hidden="1" x14ac:dyDescent="0.25">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75" hidden="1" x14ac:dyDescent="0.25">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75" hidden="1" x14ac:dyDescent="0.25">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75" hidden="1" x14ac:dyDescent="0.25">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75" hidden="1" x14ac:dyDescent="0.25">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75" hidden="1" x14ac:dyDescent="0.25">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75" hidden="1" x14ac:dyDescent="0.25">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75" hidden="1" x14ac:dyDescent="0.25">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75" hidden="1" x14ac:dyDescent="0.25">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75" x14ac:dyDescent="0.25">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75" hidden="1" x14ac:dyDescent="0.25">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75" hidden="1" x14ac:dyDescent="0.25">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75" hidden="1" x14ac:dyDescent="0.25">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75" hidden="1" x14ac:dyDescent="0.25">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75" hidden="1" x14ac:dyDescent="0.25">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75" hidden="1" x14ac:dyDescent="0.25">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75" hidden="1" x14ac:dyDescent="0.25">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75" hidden="1" x14ac:dyDescent="0.25">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75" hidden="1" x14ac:dyDescent="0.25">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75" x14ac:dyDescent="0.25">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75" hidden="1" x14ac:dyDescent="0.25">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75" hidden="1" x14ac:dyDescent="0.25">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75" hidden="1" x14ac:dyDescent="0.25">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75" hidden="1" x14ac:dyDescent="0.25">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75" hidden="1" x14ac:dyDescent="0.25">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75" hidden="1" x14ac:dyDescent="0.25">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75" hidden="1" x14ac:dyDescent="0.25">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75" x14ac:dyDescent="0.25">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75" hidden="1" x14ac:dyDescent="0.25">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75" hidden="1" x14ac:dyDescent="0.25">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75" hidden="1" x14ac:dyDescent="0.25">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75" hidden="1" x14ac:dyDescent="0.25">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75" hidden="1" x14ac:dyDescent="0.25">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75" hidden="1" x14ac:dyDescent="0.25">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75" hidden="1" x14ac:dyDescent="0.25">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75" x14ac:dyDescent="0.25">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75" hidden="1" x14ac:dyDescent="0.25">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75" hidden="1" x14ac:dyDescent="0.25">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75" hidden="1" x14ac:dyDescent="0.25">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75" hidden="1" x14ac:dyDescent="0.25">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75" hidden="1" x14ac:dyDescent="0.25">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75" hidden="1" x14ac:dyDescent="0.25">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75" hidden="1" x14ac:dyDescent="0.25">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75" hidden="1" x14ac:dyDescent="0.25">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75" hidden="1" x14ac:dyDescent="0.25">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75" hidden="1" x14ac:dyDescent="0.25">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75" hidden="1" x14ac:dyDescent="0.25">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75" hidden="1" x14ac:dyDescent="0.25">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75" hidden="1" x14ac:dyDescent="0.25">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75" hidden="1" x14ac:dyDescent="0.25">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75" hidden="1" x14ac:dyDescent="0.25">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75" hidden="1" x14ac:dyDescent="0.25">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75" hidden="1" x14ac:dyDescent="0.25">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75" hidden="1" x14ac:dyDescent="0.25">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75" hidden="1" x14ac:dyDescent="0.25">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75" hidden="1" x14ac:dyDescent="0.25">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75" hidden="1" x14ac:dyDescent="0.25">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75" hidden="1" x14ac:dyDescent="0.25">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75" hidden="1" x14ac:dyDescent="0.25">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75" hidden="1" x14ac:dyDescent="0.25">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75" hidden="1" x14ac:dyDescent="0.25">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75" hidden="1" x14ac:dyDescent="0.25">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75" hidden="1" x14ac:dyDescent="0.25">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75" hidden="1" x14ac:dyDescent="0.25">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75" hidden="1" x14ac:dyDescent="0.25">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75" hidden="1" x14ac:dyDescent="0.25">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75" hidden="1" x14ac:dyDescent="0.25">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75" hidden="1" x14ac:dyDescent="0.25">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75" hidden="1" x14ac:dyDescent="0.25">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75" hidden="1" x14ac:dyDescent="0.25">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75" hidden="1" x14ac:dyDescent="0.25">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75" hidden="1" x14ac:dyDescent="0.25">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75" hidden="1" x14ac:dyDescent="0.25">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75" hidden="1" x14ac:dyDescent="0.25">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75" hidden="1" x14ac:dyDescent="0.25">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75" hidden="1" x14ac:dyDescent="0.25">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75" hidden="1" x14ac:dyDescent="0.25">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75" hidden="1" x14ac:dyDescent="0.25">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75" hidden="1" x14ac:dyDescent="0.25">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75" hidden="1" x14ac:dyDescent="0.25">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75" hidden="1" x14ac:dyDescent="0.25">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75" hidden="1" x14ac:dyDescent="0.25">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75" hidden="1" x14ac:dyDescent="0.25">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75" hidden="1" x14ac:dyDescent="0.25">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75" hidden="1" x14ac:dyDescent="0.25">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75" hidden="1" x14ac:dyDescent="0.25">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75" hidden="1" x14ac:dyDescent="0.25">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75" hidden="1" x14ac:dyDescent="0.25">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75" hidden="1" x14ac:dyDescent="0.25">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75" hidden="1" x14ac:dyDescent="0.25">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75" hidden="1" x14ac:dyDescent="0.25">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75" hidden="1" x14ac:dyDescent="0.25">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75" hidden="1" x14ac:dyDescent="0.25">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75" hidden="1" x14ac:dyDescent="0.25">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75" hidden="1" x14ac:dyDescent="0.25">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75" hidden="1" x14ac:dyDescent="0.25">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75" hidden="1" x14ac:dyDescent="0.25">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75" hidden="1" x14ac:dyDescent="0.25">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75" hidden="1" x14ac:dyDescent="0.25">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75" hidden="1" x14ac:dyDescent="0.25">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75" hidden="1" x14ac:dyDescent="0.25">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75" hidden="1" x14ac:dyDescent="0.25">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75" hidden="1" x14ac:dyDescent="0.25">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75" hidden="1" x14ac:dyDescent="0.25">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75" hidden="1" x14ac:dyDescent="0.25">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75" hidden="1" x14ac:dyDescent="0.25">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75" hidden="1" x14ac:dyDescent="0.25">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75" hidden="1" x14ac:dyDescent="0.25">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75" hidden="1" x14ac:dyDescent="0.25">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75" hidden="1" x14ac:dyDescent="0.25">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75" hidden="1" x14ac:dyDescent="0.25">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75" hidden="1" x14ac:dyDescent="0.25">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75" hidden="1" x14ac:dyDescent="0.25">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75" hidden="1" x14ac:dyDescent="0.25">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75" hidden="1" x14ac:dyDescent="0.25">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75" hidden="1" x14ac:dyDescent="0.25">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75" hidden="1" x14ac:dyDescent="0.25">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75" hidden="1" x14ac:dyDescent="0.25">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75" hidden="1" x14ac:dyDescent="0.25">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75" x14ac:dyDescent="0.25">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75" hidden="1" x14ac:dyDescent="0.25">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75" hidden="1" x14ac:dyDescent="0.25">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75" hidden="1" x14ac:dyDescent="0.25">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75" hidden="1" x14ac:dyDescent="0.25">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75" hidden="1" x14ac:dyDescent="0.25">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75" hidden="1" x14ac:dyDescent="0.25">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75" hidden="1" x14ac:dyDescent="0.25">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75" hidden="1" x14ac:dyDescent="0.25">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75" hidden="1" x14ac:dyDescent="0.25">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75" hidden="1" x14ac:dyDescent="0.25">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75" hidden="1" x14ac:dyDescent="0.25">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75" hidden="1" x14ac:dyDescent="0.25">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75" hidden="1" x14ac:dyDescent="0.25">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75" hidden="1" x14ac:dyDescent="0.25">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75" hidden="1" x14ac:dyDescent="0.25">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75" hidden="1" x14ac:dyDescent="0.25">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75" hidden="1" x14ac:dyDescent="0.25">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75" hidden="1" x14ac:dyDescent="0.25">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75" hidden="1" x14ac:dyDescent="0.25">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75" hidden="1" x14ac:dyDescent="0.25">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75" hidden="1" x14ac:dyDescent="0.25">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75" hidden="1" x14ac:dyDescent="0.25">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75" hidden="1" x14ac:dyDescent="0.25">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75" hidden="1" x14ac:dyDescent="0.25">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75" hidden="1" x14ac:dyDescent="0.25">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75" hidden="1" x14ac:dyDescent="0.25">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75" hidden="1" x14ac:dyDescent="0.25">
      <c r="A2857" s="9">
        <v>8208</v>
      </c>
      <c r="B2857" s="10" t="s">
        <v>441</v>
      </c>
      <c r="C2857" s="11">
        <v>152481103</v>
      </c>
      <c r="D2857" s="11" t="s">
        <v>433</v>
      </c>
      <c r="E2857" s="223">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75" hidden="1" x14ac:dyDescent="0.25">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75" hidden="1" x14ac:dyDescent="0.25">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75" hidden="1" x14ac:dyDescent="0.25">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75" hidden="1" x14ac:dyDescent="0.25">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75" hidden="1" x14ac:dyDescent="0.25">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75" hidden="1" x14ac:dyDescent="0.25">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75" hidden="1" x14ac:dyDescent="0.25">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75" hidden="1" x14ac:dyDescent="0.25">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75" hidden="1" x14ac:dyDescent="0.25">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75" hidden="1" x14ac:dyDescent="0.25">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75" hidden="1" x14ac:dyDescent="0.25">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75" hidden="1" x14ac:dyDescent="0.25">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75" hidden="1" x14ac:dyDescent="0.25">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75" hidden="1" x14ac:dyDescent="0.25">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75" hidden="1" x14ac:dyDescent="0.25">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75" hidden="1" x14ac:dyDescent="0.25">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75" hidden="1" x14ac:dyDescent="0.25">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75" hidden="1" x14ac:dyDescent="0.25">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75" hidden="1" x14ac:dyDescent="0.25">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75" hidden="1" x14ac:dyDescent="0.25">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75" hidden="1" x14ac:dyDescent="0.25">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75" hidden="1" x14ac:dyDescent="0.25">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75" hidden="1" x14ac:dyDescent="0.25">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75" hidden="1" x14ac:dyDescent="0.25">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75" hidden="1" x14ac:dyDescent="0.25">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75" hidden="1" x14ac:dyDescent="0.25">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75" hidden="1" x14ac:dyDescent="0.25">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75" hidden="1" x14ac:dyDescent="0.25">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75" hidden="1" x14ac:dyDescent="0.25">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75" hidden="1" x14ac:dyDescent="0.25">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75" hidden="1" x14ac:dyDescent="0.25">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75" hidden="1" x14ac:dyDescent="0.25">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75" hidden="1" x14ac:dyDescent="0.25">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75" hidden="1" x14ac:dyDescent="0.25">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75" hidden="1" x14ac:dyDescent="0.25">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75" hidden="1" x14ac:dyDescent="0.25">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75" hidden="1" x14ac:dyDescent="0.25">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75" hidden="1" x14ac:dyDescent="0.25">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75" hidden="1" x14ac:dyDescent="0.25">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75" hidden="1" x14ac:dyDescent="0.25">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75" hidden="1" x14ac:dyDescent="0.25">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75" hidden="1" x14ac:dyDescent="0.25">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75" hidden="1" x14ac:dyDescent="0.25">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75" hidden="1" x14ac:dyDescent="0.25">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75" hidden="1" x14ac:dyDescent="0.25">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75" hidden="1" x14ac:dyDescent="0.25">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75" hidden="1" x14ac:dyDescent="0.25">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75" hidden="1" x14ac:dyDescent="0.25">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75" hidden="1" x14ac:dyDescent="0.25">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75" hidden="1" x14ac:dyDescent="0.25">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75" hidden="1" x14ac:dyDescent="0.25">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75" hidden="1" x14ac:dyDescent="0.25">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75" hidden="1" x14ac:dyDescent="0.25">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75" hidden="1" x14ac:dyDescent="0.25">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75" hidden="1" x14ac:dyDescent="0.25">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75" hidden="1" x14ac:dyDescent="0.25">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75" hidden="1" x14ac:dyDescent="0.25">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75" hidden="1" x14ac:dyDescent="0.25">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75" hidden="1" x14ac:dyDescent="0.25">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75" hidden="1" x14ac:dyDescent="0.25">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75" hidden="1" x14ac:dyDescent="0.25">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75" hidden="1" x14ac:dyDescent="0.25">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75" hidden="1" x14ac:dyDescent="0.25">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75" hidden="1" x14ac:dyDescent="0.25">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75" hidden="1" x14ac:dyDescent="0.25">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75" hidden="1" x14ac:dyDescent="0.25">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75" hidden="1" x14ac:dyDescent="0.25">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75" hidden="1" x14ac:dyDescent="0.25">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75" hidden="1" x14ac:dyDescent="0.25">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75" hidden="1" x14ac:dyDescent="0.25">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75" hidden="1" x14ac:dyDescent="0.25">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75" hidden="1" x14ac:dyDescent="0.25">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75" hidden="1" x14ac:dyDescent="0.25">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75" hidden="1" x14ac:dyDescent="0.25">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75" hidden="1" x14ac:dyDescent="0.25">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75" hidden="1" x14ac:dyDescent="0.25">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75" hidden="1" x14ac:dyDescent="0.25">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75" hidden="1" x14ac:dyDescent="0.25">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75" hidden="1" x14ac:dyDescent="0.25">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75" hidden="1" x14ac:dyDescent="0.25">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75" hidden="1" x14ac:dyDescent="0.25">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75" hidden="1" x14ac:dyDescent="0.25">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75" hidden="1" x14ac:dyDescent="0.25">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75" hidden="1" x14ac:dyDescent="0.25">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75" hidden="1" x14ac:dyDescent="0.25">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75" hidden="1" x14ac:dyDescent="0.25">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75" hidden="1" x14ac:dyDescent="0.25">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75" hidden="1" x14ac:dyDescent="0.25">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75" hidden="1" x14ac:dyDescent="0.25">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75" hidden="1" x14ac:dyDescent="0.25">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75" hidden="1" x14ac:dyDescent="0.25">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75" hidden="1" x14ac:dyDescent="0.25">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75" hidden="1" x14ac:dyDescent="0.25">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75" hidden="1" x14ac:dyDescent="0.25">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75" hidden="1" x14ac:dyDescent="0.25">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75" hidden="1" x14ac:dyDescent="0.25">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75" hidden="1" x14ac:dyDescent="0.25">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75" hidden="1" x14ac:dyDescent="0.25">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75" hidden="1" x14ac:dyDescent="0.25">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75" hidden="1" x14ac:dyDescent="0.25">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75" hidden="1" x14ac:dyDescent="0.25">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75" hidden="1" x14ac:dyDescent="0.25">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75" hidden="1" x14ac:dyDescent="0.25">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75" hidden="1" x14ac:dyDescent="0.25">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75" hidden="1" x14ac:dyDescent="0.25">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75" hidden="1" x14ac:dyDescent="0.25">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75" hidden="1" x14ac:dyDescent="0.25">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75" hidden="1" x14ac:dyDescent="0.25">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75" hidden="1" x14ac:dyDescent="0.25">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75" hidden="1" x14ac:dyDescent="0.25">
      <c r="A2967" s="9">
        <v>9711</v>
      </c>
      <c r="B2967" s="10" t="s">
        <v>436</v>
      </c>
      <c r="C2967" s="11">
        <v>152481103</v>
      </c>
      <c r="D2967" s="11" t="s">
        <v>433</v>
      </c>
      <c r="E2967" s="223">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75" hidden="1" x14ac:dyDescent="0.25">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75" hidden="1" x14ac:dyDescent="0.25">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75" hidden="1" x14ac:dyDescent="0.25">
      <c r="A2970" s="9">
        <v>5836</v>
      </c>
      <c r="B2970" s="10" t="s">
        <v>440</v>
      </c>
      <c r="C2970" s="11">
        <v>152481103</v>
      </c>
      <c r="D2970" s="11" t="s">
        <v>433</v>
      </c>
      <c r="E2970" s="223">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75" hidden="1" x14ac:dyDescent="0.25">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75" hidden="1" x14ac:dyDescent="0.25">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75" hidden="1" x14ac:dyDescent="0.25">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75" hidden="1" x14ac:dyDescent="0.25">
      <c r="A2974" s="9">
        <v>4269</v>
      </c>
      <c r="B2974" s="10" t="s">
        <v>439</v>
      </c>
      <c r="C2974" s="11">
        <v>152481103</v>
      </c>
      <c r="D2974" s="11" t="s">
        <v>433</v>
      </c>
      <c r="E2974" s="223">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75" hidden="1" x14ac:dyDescent="0.25">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75" hidden="1" x14ac:dyDescent="0.25">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75" hidden="1" x14ac:dyDescent="0.25">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75" hidden="1" x14ac:dyDescent="0.25">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75" hidden="1" x14ac:dyDescent="0.25">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75" hidden="1" x14ac:dyDescent="0.25">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75" hidden="1" x14ac:dyDescent="0.25">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75" hidden="1" x14ac:dyDescent="0.25">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75" hidden="1" x14ac:dyDescent="0.25">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75" hidden="1" x14ac:dyDescent="0.25">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75" hidden="1" x14ac:dyDescent="0.25">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75" hidden="1" x14ac:dyDescent="0.25">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75" hidden="1" x14ac:dyDescent="0.25">
      <c r="A2987" s="9">
        <v>9051</v>
      </c>
      <c r="B2987" s="10" t="s">
        <v>443</v>
      </c>
      <c r="C2987" s="11">
        <v>152481103</v>
      </c>
      <c r="D2987" s="11" t="s">
        <v>433</v>
      </c>
      <c r="E2987" s="223">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75" hidden="1" x14ac:dyDescent="0.25">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75" hidden="1" x14ac:dyDescent="0.25">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75" hidden="1" x14ac:dyDescent="0.25">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75" hidden="1" x14ac:dyDescent="0.25">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75" hidden="1" x14ac:dyDescent="0.25">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75" hidden="1" x14ac:dyDescent="0.25">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75" hidden="1" x14ac:dyDescent="0.25">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75" hidden="1" x14ac:dyDescent="0.25">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75" hidden="1" x14ac:dyDescent="0.25">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75" hidden="1" x14ac:dyDescent="0.25">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75" hidden="1" x14ac:dyDescent="0.25">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75" hidden="1" x14ac:dyDescent="0.25">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75" hidden="1" x14ac:dyDescent="0.25">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75" hidden="1" x14ac:dyDescent="0.25">
      <c r="A3001" s="9">
        <v>5644</v>
      </c>
      <c r="B3001" s="10" t="s">
        <v>435</v>
      </c>
      <c r="C3001" s="11">
        <v>152481103</v>
      </c>
      <c r="D3001" s="11" t="s">
        <v>433</v>
      </c>
      <c r="E3001" s="223">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75" hidden="1" x14ac:dyDescent="0.25">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75" hidden="1" x14ac:dyDescent="0.25">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75" hidden="1" x14ac:dyDescent="0.25">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75" hidden="1" x14ac:dyDescent="0.25">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75" hidden="1" x14ac:dyDescent="0.25">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75" hidden="1" x14ac:dyDescent="0.25">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75" hidden="1" x14ac:dyDescent="0.25">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75" hidden="1" x14ac:dyDescent="0.25">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75" hidden="1" x14ac:dyDescent="0.25">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75" hidden="1" x14ac:dyDescent="0.25">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75" hidden="1" x14ac:dyDescent="0.25">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75" hidden="1" x14ac:dyDescent="0.25">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75" hidden="1" x14ac:dyDescent="0.25">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75" hidden="1" x14ac:dyDescent="0.25">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75" hidden="1" x14ac:dyDescent="0.25">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75" hidden="1" x14ac:dyDescent="0.25">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75" hidden="1" x14ac:dyDescent="0.25">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75" hidden="1" x14ac:dyDescent="0.25">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75" hidden="1" x14ac:dyDescent="0.25">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75" hidden="1" x14ac:dyDescent="0.25">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75" hidden="1" x14ac:dyDescent="0.25">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75" hidden="1" x14ac:dyDescent="0.25">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75" hidden="1" x14ac:dyDescent="0.25">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75" hidden="1" x14ac:dyDescent="0.25">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75" hidden="1" x14ac:dyDescent="0.25">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75" hidden="1" x14ac:dyDescent="0.25">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75" hidden="1" x14ac:dyDescent="0.25">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75" hidden="1" x14ac:dyDescent="0.25">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75" hidden="1" x14ac:dyDescent="0.25">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75" hidden="1" x14ac:dyDescent="0.25">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75" hidden="1" x14ac:dyDescent="0.25">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75" hidden="1" x14ac:dyDescent="0.25">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75" hidden="1" x14ac:dyDescent="0.25">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75" hidden="1" x14ac:dyDescent="0.25">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75" hidden="1" x14ac:dyDescent="0.25">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75" hidden="1" x14ac:dyDescent="0.25">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75" hidden="1" x14ac:dyDescent="0.25">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75" hidden="1" x14ac:dyDescent="0.25">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75" hidden="1" x14ac:dyDescent="0.25">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75" hidden="1" x14ac:dyDescent="0.25">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75" hidden="1" x14ac:dyDescent="0.25">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75" hidden="1" x14ac:dyDescent="0.25">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75" hidden="1" x14ac:dyDescent="0.25">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75" hidden="1" x14ac:dyDescent="0.25">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75" hidden="1" x14ac:dyDescent="0.25">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75" hidden="1" x14ac:dyDescent="0.25">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75" hidden="1" x14ac:dyDescent="0.25">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75" hidden="1" x14ac:dyDescent="0.25">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75" hidden="1" x14ac:dyDescent="0.25">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75" hidden="1" x14ac:dyDescent="0.25">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75" hidden="1" x14ac:dyDescent="0.25">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75" hidden="1" x14ac:dyDescent="0.25">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75" hidden="1" x14ac:dyDescent="0.25">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75" hidden="1" x14ac:dyDescent="0.25">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75" hidden="1" x14ac:dyDescent="0.25">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75" hidden="1" x14ac:dyDescent="0.25">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75" hidden="1" x14ac:dyDescent="0.25">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75" hidden="1" x14ac:dyDescent="0.25">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75" hidden="1" x14ac:dyDescent="0.25">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75" hidden="1" x14ac:dyDescent="0.25">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75" hidden="1" x14ac:dyDescent="0.25">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75" hidden="1" x14ac:dyDescent="0.25">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75" x14ac:dyDescent="0.25">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75" hidden="1" x14ac:dyDescent="0.25">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75" hidden="1" x14ac:dyDescent="0.25">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75" hidden="1" x14ac:dyDescent="0.25">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75" hidden="1" x14ac:dyDescent="0.25">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75" hidden="1" x14ac:dyDescent="0.25">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75" hidden="1" x14ac:dyDescent="0.25">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75" hidden="1" x14ac:dyDescent="0.25">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75" hidden="1" x14ac:dyDescent="0.25">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75" hidden="1" x14ac:dyDescent="0.25">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75" hidden="1" x14ac:dyDescent="0.25">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75" hidden="1" x14ac:dyDescent="0.25">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75" hidden="1" x14ac:dyDescent="0.25">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75" hidden="1" x14ac:dyDescent="0.25">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75" hidden="1" x14ac:dyDescent="0.25">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75" hidden="1" x14ac:dyDescent="0.25">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75" hidden="1" x14ac:dyDescent="0.25">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75" hidden="1" x14ac:dyDescent="0.25">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75" hidden="1" x14ac:dyDescent="0.25">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75" hidden="1" x14ac:dyDescent="0.25">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75" hidden="1" x14ac:dyDescent="0.25">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75" hidden="1" x14ac:dyDescent="0.25">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75" hidden="1" x14ac:dyDescent="0.25">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75" hidden="1" x14ac:dyDescent="0.25">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75" hidden="1" x14ac:dyDescent="0.25">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75" hidden="1" x14ac:dyDescent="0.25">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75" hidden="1" x14ac:dyDescent="0.25">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75" hidden="1" x14ac:dyDescent="0.25">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75" hidden="1" x14ac:dyDescent="0.25">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75" hidden="1" x14ac:dyDescent="0.25">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75" hidden="1" x14ac:dyDescent="0.25">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75" hidden="1" x14ac:dyDescent="0.25">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75" hidden="1" x14ac:dyDescent="0.25">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75" hidden="1" x14ac:dyDescent="0.25">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75" hidden="1" x14ac:dyDescent="0.25">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75" hidden="1" x14ac:dyDescent="0.25">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75" hidden="1" x14ac:dyDescent="0.25">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75" hidden="1" x14ac:dyDescent="0.25">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75" hidden="1" x14ac:dyDescent="0.25">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75" hidden="1" x14ac:dyDescent="0.25">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75" hidden="1" x14ac:dyDescent="0.25">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75" hidden="1" x14ac:dyDescent="0.25">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75" hidden="1" x14ac:dyDescent="0.25">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75" hidden="1" x14ac:dyDescent="0.25">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75" hidden="1" x14ac:dyDescent="0.25">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75" hidden="1" x14ac:dyDescent="0.25">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75" hidden="1" x14ac:dyDescent="0.25">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75" hidden="1" x14ac:dyDescent="0.25">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75" hidden="1" x14ac:dyDescent="0.25">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75" hidden="1" x14ac:dyDescent="0.25">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75" hidden="1" x14ac:dyDescent="0.25">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75" hidden="1" x14ac:dyDescent="0.25">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75" hidden="1" x14ac:dyDescent="0.25">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75" hidden="1" x14ac:dyDescent="0.25">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75" hidden="1" x14ac:dyDescent="0.25">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75" hidden="1" x14ac:dyDescent="0.25">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75" hidden="1" x14ac:dyDescent="0.25">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75" hidden="1" x14ac:dyDescent="0.25">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75" hidden="1" x14ac:dyDescent="0.25">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75" hidden="1" x14ac:dyDescent="0.25">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75" x14ac:dyDescent="0.25">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75" hidden="1" x14ac:dyDescent="0.25">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75" hidden="1" x14ac:dyDescent="0.25">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75" hidden="1" x14ac:dyDescent="0.25">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75" hidden="1" x14ac:dyDescent="0.25">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75" hidden="1" x14ac:dyDescent="0.25">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75" hidden="1" x14ac:dyDescent="0.25">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75" hidden="1" x14ac:dyDescent="0.25">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75" hidden="1" x14ac:dyDescent="0.25">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75" hidden="1" x14ac:dyDescent="0.25">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75" hidden="1" x14ac:dyDescent="0.25">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75" hidden="1" x14ac:dyDescent="0.25">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75" hidden="1" x14ac:dyDescent="0.25">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75" hidden="1" x14ac:dyDescent="0.25">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75" hidden="1" x14ac:dyDescent="0.25">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75" hidden="1" x14ac:dyDescent="0.25">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75" hidden="1" x14ac:dyDescent="0.25">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75" hidden="1" x14ac:dyDescent="0.25">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75" hidden="1" x14ac:dyDescent="0.25">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75" hidden="1" x14ac:dyDescent="0.25">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75" hidden="1" x14ac:dyDescent="0.25">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75" hidden="1" x14ac:dyDescent="0.25">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75" hidden="1" x14ac:dyDescent="0.25">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75" hidden="1" x14ac:dyDescent="0.25">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75" hidden="1" x14ac:dyDescent="0.25">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75" hidden="1" x14ac:dyDescent="0.25">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75" hidden="1" x14ac:dyDescent="0.25">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75" hidden="1" x14ac:dyDescent="0.25">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75" hidden="1" x14ac:dyDescent="0.25">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75" hidden="1" x14ac:dyDescent="0.25">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75" hidden="1" x14ac:dyDescent="0.25">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75" hidden="1" x14ac:dyDescent="0.25">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75" hidden="1" x14ac:dyDescent="0.25">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75" hidden="1" x14ac:dyDescent="0.25">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75" hidden="1" x14ac:dyDescent="0.25">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75" hidden="1" x14ac:dyDescent="0.25">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75" hidden="1" x14ac:dyDescent="0.25">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75" hidden="1" x14ac:dyDescent="0.25">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75" hidden="1" x14ac:dyDescent="0.25">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75" hidden="1" x14ac:dyDescent="0.25">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75" hidden="1" x14ac:dyDescent="0.25">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75" hidden="1" x14ac:dyDescent="0.25">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75" hidden="1" x14ac:dyDescent="0.25">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75" hidden="1" x14ac:dyDescent="0.25">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75" hidden="1" x14ac:dyDescent="0.25">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75" hidden="1" x14ac:dyDescent="0.25">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75" hidden="1" x14ac:dyDescent="0.25">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75" hidden="1" x14ac:dyDescent="0.25">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75" hidden="1" x14ac:dyDescent="0.25">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75" hidden="1" x14ac:dyDescent="0.25">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75" hidden="1" x14ac:dyDescent="0.25">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75" hidden="1" x14ac:dyDescent="0.25">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75" hidden="1" x14ac:dyDescent="0.25">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75" hidden="1" x14ac:dyDescent="0.25">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75" hidden="1" x14ac:dyDescent="0.25">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75" hidden="1" x14ac:dyDescent="0.25">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75" hidden="1" x14ac:dyDescent="0.25">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75" hidden="1" x14ac:dyDescent="0.25">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75" hidden="1" x14ac:dyDescent="0.25">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75" hidden="1" x14ac:dyDescent="0.25">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75" hidden="1" x14ac:dyDescent="0.25">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75" hidden="1" x14ac:dyDescent="0.25">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75" hidden="1" x14ac:dyDescent="0.25">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75" hidden="1" x14ac:dyDescent="0.25">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75" hidden="1" x14ac:dyDescent="0.25">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75" hidden="1" x14ac:dyDescent="0.25">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75" hidden="1" x14ac:dyDescent="0.25">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75" hidden="1" x14ac:dyDescent="0.25">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75" hidden="1" x14ac:dyDescent="0.25">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75" hidden="1" x14ac:dyDescent="0.25">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75" hidden="1" x14ac:dyDescent="0.25">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75" hidden="1" x14ac:dyDescent="0.25">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75" hidden="1" x14ac:dyDescent="0.25">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75" hidden="1" x14ac:dyDescent="0.25">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75" hidden="1" x14ac:dyDescent="0.25">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75" hidden="1" x14ac:dyDescent="0.25">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75" hidden="1" x14ac:dyDescent="0.25">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75" hidden="1" x14ac:dyDescent="0.25">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75" hidden="1" x14ac:dyDescent="0.25">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75" hidden="1" x14ac:dyDescent="0.25">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75" hidden="1" x14ac:dyDescent="0.25">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75" hidden="1" x14ac:dyDescent="0.25">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75" hidden="1" x14ac:dyDescent="0.25">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75" hidden="1" x14ac:dyDescent="0.25">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75" hidden="1" x14ac:dyDescent="0.25">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75" hidden="1" x14ac:dyDescent="0.25">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75" hidden="1" x14ac:dyDescent="0.25">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75" hidden="1" x14ac:dyDescent="0.25">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75" hidden="1" x14ac:dyDescent="0.25">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75" hidden="1" x14ac:dyDescent="0.25">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75" hidden="1" x14ac:dyDescent="0.25">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75" hidden="1" x14ac:dyDescent="0.25">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75" hidden="1" x14ac:dyDescent="0.25">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75" hidden="1" x14ac:dyDescent="0.25">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75" hidden="1" x14ac:dyDescent="0.25">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75" hidden="1" x14ac:dyDescent="0.25">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75" hidden="1" x14ac:dyDescent="0.25">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75" hidden="1" x14ac:dyDescent="0.25">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75" hidden="1" x14ac:dyDescent="0.25">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75" hidden="1" x14ac:dyDescent="0.25">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75" hidden="1" x14ac:dyDescent="0.25">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75" hidden="1" x14ac:dyDescent="0.25">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75" hidden="1" x14ac:dyDescent="0.25">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75" hidden="1" x14ac:dyDescent="0.25">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75" hidden="1" x14ac:dyDescent="0.25">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75" hidden="1" x14ac:dyDescent="0.25">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75" hidden="1" x14ac:dyDescent="0.25">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75" hidden="1" x14ac:dyDescent="0.25">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75" hidden="1" x14ac:dyDescent="0.25">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75" hidden="1" x14ac:dyDescent="0.25">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75" hidden="1" x14ac:dyDescent="0.25">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75" hidden="1" x14ac:dyDescent="0.25">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75" hidden="1" x14ac:dyDescent="0.25">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75" hidden="1" x14ac:dyDescent="0.25">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75" hidden="1" x14ac:dyDescent="0.25">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75" hidden="1" x14ac:dyDescent="0.25">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75" hidden="1" x14ac:dyDescent="0.25">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75" hidden="1" x14ac:dyDescent="0.25">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75" hidden="1" x14ac:dyDescent="0.25">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75" hidden="1" x14ac:dyDescent="0.25">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75" hidden="1" x14ac:dyDescent="0.25">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75" hidden="1" x14ac:dyDescent="0.25">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75" hidden="1" x14ac:dyDescent="0.25">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75" hidden="1" x14ac:dyDescent="0.25">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75" hidden="1" x14ac:dyDescent="0.25">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75" hidden="1" x14ac:dyDescent="0.25">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75" hidden="1" x14ac:dyDescent="0.25">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75" hidden="1" x14ac:dyDescent="0.25">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75" hidden="1" x14ac:dyDescent="0.25">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75" hidden="1" x14ac:dyDescent="0.25">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75" hidden="1" x14ac:dyDescent="0.25">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75" hidden="1" x14ac:dyDescent="0.25">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75" hidden="1" x14ac:dyDescent="0.25">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75" hidden="1" x14ac:dyDescent="0.25">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75" hidden="1" x14ac:dyDescent="0.25">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75" hidden="1" x14ac:dyDescent="0.25">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75" hidden="1" x14ac:dyDescent="0.25">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75" hidden="1" x14ac:dyDescent="0.25">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75" hidden="1" x14ac:dyDescent="0.25">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75" hidden="1" x14ac:dyDescent="0.25">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75" hidden="1" x14ac:dyDescent="0.25">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75" hidden="1" x14ac:dyDescent="0.25">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75" hidden="1" x14ac:dyDescent="0.25">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75" hidden="1" x14ac:dyDescent="0.25">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75" hidden="1" x14ac:dyDescent="0.25">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75" hidden="1" x14ac:dyDescent="0.25">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75" hidden="1" x14ac:dyDescent="0.25">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75" hidden="1" x14ac:dyDescent="0.25">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75" hidden="1" x14ac:dyDescent="0.25">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75" hidden="1" x14ac:dyDescent="0.25">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75" hidden="1" x14ac:dyDescent="0.25">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75" hidden="1" x14ac:dyDescent="0.25">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75" hidden="1" x14ac:dyDescent="0.25">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75" hidden="1" x14ac:dyDescent="0.25">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75" hidden="1" x14ac:dyDescent="0.25">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75" hidden="1" x14ac:dyDescent="0.25">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75" hidden="1" x14ac:dyDescent="0.25">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75" hidden="1" x14ac:dyDescent="0.25">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75" hidden="1" x14ac:dyDescent="0.25">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75" hidden="1" x14ac:dyDescent="0.25">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75" hidden="1" x14ac:dyDescent="0.25">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75" hidden="1" x14ac:dyDescent="0.25">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75" hidden="1" x14ac:dyDescent="0.25">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75" hidden="1" x14ac:dyDescent="0.25">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75" hidden="1" x14ac:dyDescent="0.25">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75" hidden="1" x14ac:dyDescent="0.25">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75" hidden="1" x14ac:dyDescent="0.25">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75" hidden="1" x14ac:dyDescent="0.25">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75" hidden="1" x14ac:dyDescent="0.25">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75" hidden="1" x14ac:dyDescent="0.25">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75" hidden="1" x14ac:dyDescent="0.25">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75" hidden="1" x14ac:dyDescent="0.25">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75" hidden="1" x14ac:dyDescent="0.25">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75" hidden="1" x14ac:dyDescent="0.25">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75" hidden="1" x14ac:dyDescent="0.25">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75" hidden="1" x14ac:dyDescent="0.25">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75" hidden="1" x14ac:dyDescent="0.25">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75" hidden="1" x14ac:dyDescent="0.25">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75" hidden="1" x14ac:dyDescent="0.25">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75" hidden="1" x14ac:dyDescent="0.25">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75" hidden="1" x14ac:dyDescent="0.25">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75" hidden="1" x14ac:dyDescent="0.25">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75" hidden="1" x14ac:dyDescent="0.25">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75" hidden="1" x14ac:dyDescent="0.25">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75" hidden="1" x14ac:dyDescent="0.25">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75" hidden="1" x14ac:dyDescent="0.25">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75" hidden="1" x14ac:dyDescent="0.25">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75" hidden="1" x14ac:dyDescent="0.25">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75" hidden="1" x14ac:dyDescent="0.25">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75" hidden="1" x14ac:dyDescent="0.25">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75" hidden="1" x14ac:dyDescent="0.25">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75" hidden="1" x14ac:dyDescent="0.25">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75" hidden="1" x14ac:dyDescent="0.25">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75" hidden="1" x14ac:dyDescent="0.25">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75" hidden="1" x14ac:dyDescent="0.25">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75" hidden="1" x14ac:dyDescent="0.25">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75" hidden="1" x14ac:dyDescent="0.25">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75" hidden="1" x14ac:dyDescent="0.25">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75" hidden="1" x14ac:dyDescent="0.25">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75" hidden="1" x14ac:dyDescent="0.25">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75" hidden="1" x14ac:dyDescent="0.25">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75" hidden="1" x14ac:dyDescent="0.25">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75" hidden="1" x14ac:dyDescent="0.25">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75" hidden="1" x14ac:dyDescent="0.25">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75" hidden="1" x14ac:dyDescent="0.25">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75" hidden="1" x14ac:dyDescent="0.25">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75" hidden="1" x14ac:dyDescent="0.25">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75" hidden="1" x14ac:dyDescent="0.25">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75" hidden="1" x14ac:dyDescent="0.25">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75" hidden="1" x14ac:dyDescent="0.25">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75" hidden="1" x14ac:dyDescent="0.25">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75" hidden="1" x14ac:dyDescent="0.25">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75" hidden="1" x14ac:dyDescent="0.25">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75" hidden="1" x14ac:dyDescent="0.25">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75" hidden="1" x14ac:dyDescent="0.25">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75" hidden="1" x14ac:dyDescent="0.25">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75" hidden="1" x14ac:dyDescent="0.25">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75" hidden="1" x14ac:dyDescent="0.25">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75" hidden="1" x14ac:dyDescent="0.25">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75" hidden="1" x14ac:dyDescent="0.25">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75" hidden="1" x14ac:dyDescent="0.25">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75" hidden="1" x14ac:dyDescent="0.25">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75" hidden="1" x14ac:dyDescent="0.25">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75" hidden="1" x14ac:dyDescent="0.25">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75" hidden="1" x14ac:dyDescent="0.25">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75" hidden="1" x14ac:dyDescent="0.25">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75" hidden="1" x14ac:dyDescent="0.25">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75" hidden="1" x14ac:dyDescent="0.25">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75" hidden="1" x14ac:dyDescent="0.25">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75" hidden="1" x14ac:dyDescent="0.25">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75" hidden="1" x14ac:dyDescent="0.25">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75" hidden="1" x14ac:dyDescent="0.25">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75" hidden="1" x14ac:dyDescent="0.25">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75" hidden="1" x14ac:dyDescent="0.25">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75" hidden="1" x14ac:dyDescent="0.25">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75" hidden="1" x14ac:dyDescent="0.25">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75" hidden="1" x14ac:dyDescent="0.25">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75" hidden="1" x14ac:dyDescent="0.25">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75" hidden="1" x14ac:dyDescent="0.25">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75" hidden="1" x14ac:dyDescent="0.25">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75" hidden="1" x14ac:dyDescent="0.25">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75" hidden="1" x14ac:dyDescent="0.25">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75" hidden="1" x14ac:dyDescent="0.25">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75" hidden="1" x14ac:dyDescent="0.25">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75" hidden="1" x14ac:dyDescent="0.25">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75" hidden="1" x14ac:dyDescent="0.25">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75" hidden="1" x14ac:dyDescent="0.25">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75" hidden="1" x14ac:dyDescent="0.25">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75" hidden="1" x14ac:dyDescent="0.25">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75" hidden="1" x14ac:dyDescent="0.25">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75" hidden="1" x14ac:dyDescent="0.25">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75" hidden="1" x14ac:dyDescent="0.25">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75" hidden="1" x14ac:dyDescent="0.25">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75" hidden="1" x14ac:dyDescent="0.25">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75" hidden="1" x14ac:dyDescent="0.25">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75" hidden="1" x14ac:dyDescent="0.25">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75" hidden="1" x14ac:dyDescent="0.25">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75" hidden="1" x14ac:dyDescent="0.25">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75" hidden="1" x14ac:dyDescent="0.25">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75" hidden="1" x14ac:dyDescent="0.25">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75" hidden="1" x14ac:dyDescent="0.25">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75" hidden="1" x14ac:dyDescent="0.25">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75" hidden="1" x14ac:dyDescent="0.25">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75" hidden="1" x14ac:dyDescent="0.25">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75" hidden="1" x14ac:dyDescent="0.25">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75" hidden="1" x14ac:dyDescent="0.25">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75" hidden="1" x14ac:dyDescent="0.25">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75" hidden="1" x14ac:dyDescent="0.25">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75" hidden="1" x14ac:dyDescent="0.25">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75" hidden="1" x14ac:dyDescent="0.25">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75" hidden="1" x14ac:dyDescent="0.25">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75" hidden="1" x14ac:dyDescent="0.25">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75" hidden="1" x14ac:dyDescent="0.25">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75" hidden="1" x14ac:dyDescent="0.25">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75" hidden="1" x14ac:dyDescent="0.25">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75" hidden="1" x14ac:dyDescent="0.25">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75" hidden="1" x14ac:dyDescent="0.25">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75" hidden="1" x14ac:dyDescent="0.25">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75" hidden="1" x14ac:dyDescent="0.25">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75" hidden="1" x14ac:dyDescent="0.25">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75" hidden="1" x14ac:dyDescent="0.25">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75" hidden="1" x14ac:dyDescent="0.25">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75" hidden="1" x14ac:dyDescent="0.25">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75" hidden="1" x14ac:dyDescent="0.25">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75" hidden="1" x14ac:dyDescent="0.25">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75" hidden="1" x14ac:dyDescent="0.25">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75" hidden="1" x14ac:dyDescent="0.25">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75" hidden="1" x14ac:dyDescent="0.25">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75" hidden="1" x14ac:dyDescent="0.25">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75" hidden="1" x14ac:dyDescent="0.25">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75" hidden="1" x14ac:dyDescent="0.25">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75" hidden="1" x14ac:dyDescent="0.25">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75" hidden="1" x14ac:dyDescent="0.25">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75" hidden="1" x14ac:dyDescent="0.25">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75" hidden="1" x14ac:dyDescent="0.25">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75" hidden="1" x14ac:dyDescent="0.25">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75" hidden="1" x14ac:dyDescent="0.25">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75" hidden="1" x14ac:dyDescent="0.25">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75" hidden="1" x14ac:dyDescent="0.25">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75" hidden="1" x14ac:dyDescent="0.25">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75" hidden="1" x14ac:dyDescent="0.25">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75" hidden="1" x14ac:dyDescent="0.25">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75" hidden="1" x14ac:dyDescent="0.25">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75" hidden="1" x14ac:dyDescent="0.25">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75" hidden="1" x14ac:dyDescent="0.25">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75" hidden="1" x14ac:dyDescent="0.25">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75" hidden="1" x14ac:dyDescent="0.25">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75" hidden="1" x14ac:dyDescent="0.25">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75" hidden="1" x14ac:dyDescent="0.25">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75" hidden="1" x14ac:dyDescent="0.25">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75" hidden="1" x14ac:dyDescent="0.25">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75" hidden="1" x14ac:dyDescent="0.25">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75" hidden="1" x14ac:dyDescent="0.25">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75" hidden="1" x14ac:dyDescent="0.25">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75" hidden="1" x14ac:dyDescent="0.25">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75" hidden="1" x14ac:dyDescent="0.25">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75" hidden="1" x14ac:dyDescent="0.25">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75" hidden="1" x14ac:dyDescent="0.25">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75" hidden="1" x14ac:dyDescent="0.25">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75" hidden="1" x14ac:dyDescent="0.25">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75" hidden="1" x14ac:dyDescent="0.25">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75" hidden="1" x14ac:dyDescent="0.25">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75" hidden="1" x14ac:dyDescent="0.25">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75" hidden="1" x14ac:dyDescent="0.25">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75" hidden="1" x14ac:dyDescent="0.25">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75" hidden="1" x14ac:dyDescent="0.25">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75" hidden="1" x14ac:dyDescent="0.25">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75" hidden="1" x14ac:dyDescent="0.25">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75" hidden="1" x14ac:dyDescent="0.25">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75" hidden="1" x14ac:dyDescent="0.25">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75" hidden="1" x14ac:dyDescent="0.25">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75" hidden="1" x14ac:dyDescent="0.25">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75" hidden="1" x14ac:dyDescent="0.25">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75" hidden="1" x14ac:dyDescent="0.25">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75" hidden="1" x14ac:dyDescent="0.25">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75" hidden="1" x14ac:dyDescent="0.25">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75" hidden="1" x14ac:dyDescent="0.25">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75" hidden="1" x14ac:dyDescent="0.25">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75" hidden="1" x14ac:dyDescent="0.25">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75" hidden="1" x14ac:dyDescent="0.25">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75" hidden="1" x14ac:dyDescent="0.25">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75" hidden="1" x14ac:dyDescent="0.25">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75" hidden="1" x14ac:dyDescent="0.25">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75" hidden="1" x14ac:dyDescent="0.25">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75" hidden="1" x14ac:dyDescent="0.25">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75" hidden="1" x14ac:dyDescent="0.25">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75" hidden="1" x14ac:dyDescent="0.25">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75" hidden="1" x14ac:dyDescent="0.25">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75" hidden="1" x14ac:dyDescent="0.25">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75" hidden="1" x14ac:dyDescent="0.25">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75" hidden="1" x14ac:dyDescent="0.25">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75" hidden="1" x14ac:dyDescent="0.25">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75" hidden="1" x14ac:dyDescent="0.25">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75" hidden="1" x14ac:dyDescent="0.25">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75" hidden="1" x14ac:dyDescent="0.25">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75" hidden="1" x14ac:dyDescent="0.25">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75" hidden="1" x14ac:dyDescent="0.25">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75" hidden="1" x14ac:dyDescent="0.25">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75" hidden="1" x14ac:dyDescent="0.25">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75" hidden="1" x14ac:dyDescent="0.25">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75" hidden="1" x14ac:dyDescent="0.25">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75" hidden="1" x14ac:dyDescent="0.25">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75" hidden="1" x14ac:dyDescent="0.25">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75" hidden="1" x14ac:dyDescent="0.25">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75" hidden="1" x14ac:dyDescent="0.25">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75" hidden="1" x14ac:dyDescent="0.25">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75" hidden="1" x14ac:dyDescent="0.25">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75" hidden="1" x14ac:dyDescent="0.25">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75" hidden="1" x14ac:dyDescent="0.25">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75" hidden="1" x14ac:dyDescent="0.25">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75" hidden="1" x14ac:dyDescent="0.25">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75" hidden="1" x14ac:dyDescent="0.25">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75" hidden="1" x14ac:dyDescent="0.25">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75" hidden="1" x14ac:dyDescent="0.25">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75" hidden="1" x14ac:dyDescent="0.25">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75" hidden="1" x14ac:dyDescent="0.25">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75" hidden="1" x14ac:dyDescent="0.25">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75" hidden="1" x14ac:dyDescent="0.25">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75" hidden="1" x14ac:dyDescent="0.25">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75" hidden="1" x14ac:dyDescent="0.25">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75" hidden="1" x14ac:dyDescent="0.25">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75" hidden="1" x14ac:dyDescent="0.25">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75" hidden="1" x14ac:dyDescent="0.25">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75" hidden="1" x14ac:dyDescent="0.25">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75" hidden="1" x14ac:dyDescent="0.25">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75" hidden="1" x14ac:dyDescent="0.25">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75" hidden="1" x14ac:dyDescent="0.25">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75" hidden="1" x14ac:dyDescent="0.25">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75" hidden="1" x14ac:dyDescent="0.25">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75" hidden="1" x14ac:dyDescent="0.25">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75" hidden="1" x14ac:dyDescent="0.25">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75" hidden="1" x14ac:dyDescent="0.25">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75" hidden="1" x14ac:dyDescent="0.25">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75" hidden="1" x14ac:dyDescent="0.25">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75" hidden="1" x14ac:dyDescent="0.25">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75" hidden="1" x14ac:dyDescent="0.25">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75" hidden="1" x14ac:dyDescent="0.25">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75" hidden="1" x14ac:dyDescent="0.25">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75" hidden="1" x14ac:dyDescent="0.25">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75" hidden="1" x14ac:dyDescent="0.25">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75" hidden="1" x14ac:dyDescent="0.25">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75" hidden="1" x14ac:dyDescent="0.25">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75" hidden="1" x14ac:dyDescent="0.25">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75" hidden="1" x14ac:dyDescent="0.25">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75" hidden="1" x14ac:dyDescent="0.25">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75" hidden="1" x14ac:dyDescent="0.25">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75" hidden="1" x14ac:dyDescent="0.25">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75" hidden="1" x14ac:dyDescent="0.25">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75" hidden="1" x14ac:dyDescent="0.25">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75" hidden="1" x14ac:dyDescent="0.25">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75" hidden="1" x14ac:dyDescent="0.25">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75" hidden="1" x14ac:dyDescent="0.25">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75" hidden="1" x14ac:dyDescent="0.25">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75" hidden="1" x14ac:dyDescent="0.25">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75" hidden="1" x14ac:dyDescent="0.25">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75" hidden="1" x14ac:dyDescent="0.25">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75" hidden="1" x14ac:dyDescent="0.25">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75" hidden="1" x14ac:dyDescent="0.25">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75" hidden="1" x14ac:dyDescent="0.25">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75" hidden="1" x14ac:dyDescent="0.25">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75" hidden="1" x14ac:dyDescent="0.25">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75" hidden="1" x14ac:dyDescent="0.25">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75" hidden="1" x14ac:dyDescent="0.25">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75" hidden="1" x14ac:dyDescent="0.25">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75" hidden="1" x14ac:dyDescent="0.25">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75" hidden="1" x14ac:dyDescent="0.25">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75" hidden="1" x14ac:dyDescent="0.25">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75" hidden="1" x14ac:dyDescent="0.25">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75" hidden="1" x14ac:dyDescent="0.25">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75" hidden="1" x14ac:dyDescent="0.25">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75" hidden="1" x14ac:dyDescent="0.25">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75" hidden="1" x14ac:dyDescent="0.25">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75" hidden="1" x14ac:dyDescent="0.25">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75" hidden="1" x14ac:dyDescent="0.25">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75" hidden="1" x14ac:dyDescent="0.25">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75" hidden="1" x14ac:dyDescent="0.25">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75" hidden="1" x14ac:dyDescent="0.25">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75" hidden="1" x14ac:dyDescent="0.25">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75" hidden="1" x14ac:dyDescent="0.25">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75" hidden="1" x14ac:dyDescent="0.25">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75" hidden="1" x14ac:dyDescent="0.25">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75" hidden="1" x14ac:dyDescent="0.25">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75" hidden="1" x14ac:dyDescent="0.25">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75" hidden="1" x14ac:dyDescent="0.25">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75" hidden="1" x14ac:dyDescent="0.25">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75" hidden="1" x14ac:dyDescent="0.25">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75" hidden="1" x14ac:dyDescent="0.25">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75" hidden="1" x14ac:dyDescent="0.25">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75" hidden="1" x14ac:dyDescent="0.25">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75" hidden="1" x14ac:dyDescent="0.25">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75" hidden="1" x14ac:dyDescent="0.25">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75" hidden="1" x14ac:dyDescent="0.25">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75" hidden="1" x14ac:dyDescent="0.25">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75" hidden="1" x14ac:dyDescent="0.25">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75" hidden="1" x14ac:dyDescent="0.25">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75" hidden="1" x14ac:dyDescent="0.25">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75" hidden="1" x14ac:dyDescent="0.25">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75" hidden="1" x14ac:dyDescent="0.25">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75" hidden="1" x14ac:dyDescent="0.25">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75" hidden="1" x14ac:dyDescent="0.25">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75" hidden="1" x14ac:dyDescent="0.25">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75" hidden="1" x14ac:dyDescent="0.25">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75" hidden="1" x14ac:dyDescent="0.25">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75" hidden="1" x14ac:dyDescent="0.25">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75" hidden="1" x14ac:dyDescent="0.25">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75" hidden="1" x14ac:dyDescent="0.25">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75" hidden="1" x14ac:dyDescent="0.25">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75" hidden="1" x14ac:dyDescent="0.25">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75" hidden="1" x14ac:dyDescent="0.25">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75" hidden="1" x14ac:dyDescent="0.25">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75" hidden="1" x14ac:dyDescent="0.25">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75" hidden="1" x14ac:dyDescent="0.25">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75" hidden="1" x14ac:dyDescent="0.25">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75" hidden="1" x14ac:dyDescent="0.25">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75" hidden="1" x14ac:dyDescent="0.25">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75" hidden="1" x14ac:dyDescent="0.25">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75" hidden="1" x14ac:dyDescent="0.25">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75" hidden="1" x14ac:dyDescent="0.25">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75" hidden="1" x14ac:dyDescent="0.25">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75" hidden="1" x14ac:dyDescent="0.25">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75" hidden="1" x14ac:dyDescent="0.25">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75" hidden="1" x14ac:dyDescent="0.25">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75" hidden="1" x14ac:dyDescent="0.25">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75" hidden="1" x14ac:dyDescent="0.25">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75" hidden="1" x14ac:dyDescent="0.25">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75" hidden="1" x14ac:dyDescent="0.25">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75" hidden="1" x14ac:dyDescent="0.25">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75" hidden="1" x14ac:dyDescent="0.25">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75" hidden="1" x14ac:dyDescent="0.25">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75" hidden="1" x14ac:dyDescent="0.25">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75" hidden="1" x14ac:dyDescent="0.25">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75" hidden="1" x14ac:dyDescent="0.25">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75" hidden="1" x14ac:dyDescent="0.25">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75" hidden="1" x14ac:dyDescent="0.25">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75" hidden="1" x14ac:dyDescent="0.25">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75" hidden="1" x14ac:dyDescent="0.25">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75" hidden="1" x14ac:dyDescent="0.25">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75" hidden="1" x14ac:dyDescent="0.25">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75" hidden="1" x14ac:dyDescent="0.25">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75" hidden="1" x14ac:dyDescent="0.25">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75" hidden="1" x14ac:dyDescent="0.25">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75" hidden="1" x14ac:dyDescent="0.25">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75" hidden="1" x14ac:dyDescent="0.25">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75" hidden="1" x14ac:dyDescent="0.25">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75" hidden="1" x14ac:dyDescent="0.25">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75" hidden="1" x14ac:dyDescent="0.25">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75" hidden="1" x14ac:dyDescent="0.25">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75" hidden="1" x14ac:dyDescent="0.25">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75" hidden="1" x14ac:dyDescent="0.25">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75" hidden="1" x14ac:dyDescent="0.25">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75" hidden="1" x14ac:dyDescent="0.25">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75" hidden="1" x14ac:dyDescent="0.25">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75" hidden="1" x14ac:dyDescent="0.25">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75" x14ac:dyDescent="0.2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filterColumn colId="3">
      <filters>
        <filter val="MIWUK 1701"/>
        <filter val="MIWUK 17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selection activeCell="A9" sqref="A9"/>
    </sheetView>
  </sheetViews>
  <sheetFormatPr defaultRowHeight="15" x14ac:dyDescent="0.25"/>
  <sheetData>
    <row r="1" spans="1:72" s="34" customFormat="1" ht="63" customHeight="1" x14ac:dyDescent="0.25">
      <c r="A1" s="24" t="s">
        <v>4811</v>
      </c>
      <c r="B1" s="24" t="s">
        <v>4812</v>
      </c>
      <c r="C1" s="24" t="s">
        <v>5533</v>
      </c>
      <c r="D1" s="24" t="s">
        <v>6471</v>
      </c>
      <c r="E1" s="24" t="s">
        <v>6472</v>
      </c>
      <c r="F1" s="24" t="s">
        <v>4814</v>
      </c>
      <c r="G1" s="24" t="s">
        <v>6302</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6479</v>
      </c>
      <c r="AA1" s="24" t="s">
        <v>4832</v>
      </c>
      <c r="AB1" s="24" t="s">
        <v>4833</v>
      </c>
      <c r="AC1" s="24" t="s">
        <v>4834</v>
      </c>
      <c r="AD1" s="24" t="s">
        <v>4835</v>
      </c>
      <c r="AE1" s="24" t="s">
        <v>4836</v>
      </c>
      <c r="AF1" s="24" t="s">
        <v>4837</v>
      </c>
      <c r="AG1" s="24" t="s">
        <v>4838</v>
      </c>
      <c r="AH1" s="24" t="s">
        <v>4839</v>
      </c>
      <c r="AI1" s="24" t="s">
        <v>6473</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6447</v>
      </c>
      <c r="BC1" s="185" t="s">
        <v>6448</v>
      </c>
      <c r="BD1" s="185" t="s">
        <v>6449</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x14ac:dyDescent="0.25">
      <c r="A2" s="120">
        <v>35219265</v>
      </c>
      <c r="B2" s="215" t="s">
        <v>6651</v>
      </c>
      <c r="C2" s="183"/>
      <c r="D2" s="23" t="str" cm="1">
        <f t="array" ref="D2">IFERROR(_xlfn.IFS(U2&lt;727,"MEET", AB2="FRRB","MEET", AB2="PSPS","MEET"),"No")</f>
        <v>MEET</v>
      </c>
      <c r="E2" s="23" t="str" cm="1">
        <f t="array" ref="E2">IFERROR(_xlfn.IFS(AM2&gt;0,"MEET", AN2&gt;0,"MEET"),"No")</f>
        <v>No</v>
      </c>
      <c r="F2" s="100"/>
      <c r="G2" s="188"/>
      <c r="H2" s="37"/>
      <c r="I2" s="37">
        <f t="shared" ref="I2:I20" si="0">H2-M2</f>
        <v>0</v>
      </c>
      <c r="J2" s="183">
        <v>2021</v>
      </c>
      <c r="K2" s="182"/>
      <c r="L2" s="182"/>
      <c r="M2" s="37">
        <f t="shared" ref="M2:M9" si="1">SUM(K2:L2)</f>
        <v>0</v>
      </c>
      <c r="N2" s="21">
        <v>3843.5</v>
      </c>
      <c r="O2" s="183" t="s">
        <v>4878</v>
      </c>
      <c r="P2" s="182">
        <v>102251101</v>
      </c>
      <c r="Q2" s="182" t="s">
        <v>1045</v>
      </c>
      <c r="R2" s="183" t="s">
        <v>1046</v>
      </c>
      <c r="S2" s="38">
        <f>IFERROR(VLOOKUP(R2,[47]conductor_pz_summary_hftd_23_re!$B$2:$Q$3636,8,FALSE),0)</f>
        <v>6</v>
      </c>
      <c r="T2" s="201">
        <f>IFERROR(VLOOKUP(R2,[48]conductor_pz_summary_hftd_23_re!$B$2:$H$3636,7,0),0)/1609</f>
        <v>0.89694034829589175</v>
      </c>
      <c r="U2" s="23">
        <f>IFERROR(VLOOKUP(R2,[47]conductor_pz_summary_hftd_23_re!$B$2:$Q$3636,14,FALSE),0)</f>
        <v>33</v>
      </c>
      <c r="V2" s="37">
        <f t="shared" ref="V2:V20" si="2">IFERROR(W2*S2,0)</f>
        <v>3.017442450068418</v>
      </c>
      <c r="W2" s="202">
        <f>IFERROR(VLOOKUP(R2,[47]conductor_pz_summary_hftd_23_re!$B$2:$Q$3636,13,FALSE),0)</f>
        <v>0.50290707501140297</v>
      </c>
      <c r="X2" s="73">
        <f>IFERROR(VLOOKUP(R2,conductor_pz_summary_hftd_23_re!$B$2:$N$3636,13,FALSE),0)</f>
        <v>845</v>
      </c>
      <c r="Y2" s="203">
        <f t="shared" ref="Y2:Y8" si="3">(AL2*0.62+AM2*0.99+AN2+AO2*0.99)/(SUM(AL2:AO2))*V2*(H2/T2)</f>
        <v>0</v>
      </c>
      <c r="Z2" s="182"/>
      <c r="AA2" s="183" t="s">
        <v>5418</v>
      </c>
      <c r="AB2" s="183" t="s">
        <v>5298</v>
      </c>
      <c r="AC2" s="94" t="s">
        <v>5436</v>
      </c>
      <c r="AD2" s="182" t="s">
        <v>5215</v>
      </c>
      <c r="AE2" s="182" t="s">
        <v>5210</v>
      </c>
      <c r="AF2" s="182" t="s">
        <v>4875</v>
      </c>
      <c r="AG2" s="183">
        <v>5543353</v>
      </c>
      <c r="AH2" s="183" t="s">
        <v>5396</v>
      </c>
      <c r="AI2" s="183">
        <v>120141941</v>
      </c>
      <c r="AJ2" s="183">
        <v>35219265</v>
      </c>
      <c r="AK2" s="183" t="s">
        <v>5305</v>
      </c>
      <c r="AL2" s="205">
        <f>0.9*5280</f>
        <v>4752</v>
      </c>
      <c r="AM2" s="205">
        <v>0</v>
      </c>
      <c r="AN2" s="205">
        <v>0</v>
      </c>
      <c r="AO2" s="205">
        <v>0</v>
      </c>
      <c r="AP2" s="117"/>
      <c r="AQ2" s="48" t="s">
        <v>5592</v>
      </c>
      <c r="AR2" s="183">
        <f>AS2*5280</f>
        <v>2323.1999999999998</v>
      </c>
      <c r="AS2" s="183">
        <v>0.44</v>
      </c>
      <c r="AT2" s="92">
        <v>500000</v>
      </c>
      <c r="AU2" s="183"/>
      <c r="AV2" s="183"/>
      <c r="AW2" s="183"/>
      <c r="AX2" s="183"/>
      <c r="AY2" s="23">
        <f>AW2+AX2</f>
        <v>0</v>
      </c>
      <c r="AZ2" s="40">
        <f t="shared" ref="AZ2:AZ7" si="4">AY2/5280</f>
        <v>0</v>
      </c>
      <c r="BA2" s="173"/>
      <c r="BB2" s="188"/>
      <c r="BC2" s="189"/>
      <c r="BD2" s="191">
        <f t="shared" ref="BD2:BD8" si="5">IFERROR(BC2/BB2,0)</f>
        <v>0</v>
      </c>
      <c r="BE2" s="182"/>
      <c r="BF2" s="182"/>
      <c r="BG2" s="182"/>
      <c r="BH2" s="182"/>
      <c r="BI2" s="182"/>
      <c r="BJ2" s="182"/>
      <c r="BK2" s="182"/>
      <c r="BL2" s="182"/>
      <c r="BM2" s="182"/>
      <c r="BN2" s="182"/>
      <c r="BO2" s="182"/>
      <c r="BP2" s="182"/>
      <c r="BQ2" s="182"/>
      <c r="BR2" s="182"/>
      <c r="BS2" s="182"/>
      <c r="BT2" s="182"/>
    </row>
    <row r="3" spans="1:72" x14ac:dyDescent="0.25">
      <c r="A3" s="120">
        <v>35224320</v>
      </c>
      <c r="B3" s="166" t="s">
        <v>6652</v>
      </c>
      <c r="C3" s="23"/>
      <c r="D3" s="23" t="str" cm="1">
        <f t="array" ref="D3">IFERROR(_xlfn.IFS(U3&lt;727,"MEET", AB3="FRRB","MEET", AB3="PSPS","MEET"),"No")</f>
        <v>MEET</v>
      </c>
      <c r="E3" s="23" t="str" cm="1">
        <f t="array" ref="E3">IFERROR(_xlfn.IFS(AM3&gt;0,"MEET", AN3&gt;0,"MEET"),"No")</f>
        <v>No</v>
      </c>
      <c r="F3" s="100"/>
      <c r="G3" s="37"/>
      <c r="H3" s="37"/>
      <c r="I3" s="37">
        <f t="shared" si="0"/>
        <v>0</v>
      </c>
      <c r="J3" s="20">
        <v>2021</v>
      </c>
      <c r="K3" s="37"/>
      <c r="L3" s="37"/>
      <c r="M3" s="37">
        <f t="shared" si="1"/>
        <v>0</v>
      </c>
      <c r="N3" s="21">
        <v>0</v>
      </c>
      <c r="O3" s="23" t="s">
        <v>4878</v>
      </c>
      <c r="P3" s="22">
        <v>42301101</v>
      </c>
      <c r="Q3" s="19" t="s">
        <v>4420</v>
      </c>
      <c r="R3" s="23" t="s">
        <v>4421</v>
      </c>
      <c r="S3" s="38">
        <f>IFERROR(VLOOKUP(R3,[47]conductor_pz_summary_hftd_23_re!$B$2:$Q$3636,8,FALSE),0)</f>
        <v>98</v>
      </c>
      <c r="T3" s="201">
        <f>IFERROR(VLOOKUP(R3,[48]conductor_pz_summary_hftd_23_re!$B$2:$H$3636,7,0),0)/1609</f>
        <v>4.1725552614418646</v>
      </c>
      <c r="U3" s="23">
        <f>IFERROR(VLOOKUP(R3,[47]conductor_pz_summary_hftd_23_re!$B$2:$Q$3636,14,FALSE),0)</f>
        <v>338</v>
      </c>
      <c r="V3" s="37">
        <f t="shared" si="2"/>
        <v>19.292329346025554</v>
      </c>
      <c r="W3" s="202">
        <f>IFERROR(VLOOKUP(R3,[47]conductor_pz_summary_hftd_23_re!$B$2:$Q$3636,13,FALSE),0)</f>
        <v>0.196860503530873</v>
      </c>
      <c r="X3" s="73">
        <f>IFERROR(VLOOKUP(R3,conductor_pz_summary_hftd_23_re!$B$2:$N$3636,13,FALSE),0)</f>
        <v>448</v>
      </c>
      <c r="Y3" s="203">
        <f t="shared" si="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s="48" t="s">
        <v>5567</v>
      </c>
      <c r="AR3" s="23">
        <f>AS3*5280</f>
        <v>7391.9999999999991</v>
      </c>
      <c r="AS3" s="40">
        <v>1.4</v>
      </c>
      <c r="AT3" s="41">
        <v>2360320</v>
      </c>
      <c r="AU3" s="19"/>
      <c r="AV3" s="19"/>
      <c r="AW3" s="19"/>
      <c r="AX3" s="19"/>
      <c r="AY3" s="23">
        <f>SUM(AV3:AX3)</f>
        <v>0</v>
      </c>
      <c r="AZ3" s="40">
        <f t="shared" si="4"/>
        <v>0</v>
      </c>
      <c r="BA3" s="41"/>
      <c r="BB3" s="187"/>
      <c r="BC3" s="44"/>
      <c r="BD3" s="191">
        <f t="shared" si="5"/>
        <v>0</v>
      </c>
      <c r="BE3" s="23"/>
      <c r="BF3" s="23"/>
      <c r="BG3" s="23"/>
      <c r="BH3" s="23"/>
      <c r="BI3" s="23"/>
      <c r="BJ3" s="23"/>
      <c r="BK3" s="40"/>
      <c r="BL3" s="44"/>
      <c r="BM3" s="41"/>
      <c r="BN3" s="45"/>
      <c r="BO3" s="19"/>
      <c r="BP3" s="19"/>
      <c r="BQ3" s="19"/>
      <c r="BR3" s="19"/>
      <c r="BS3" s="19"/>
      <c r="BT3" s="19"/>
    </row>
    <row r="4" spans="1:72" s="59" customFormat="1" x14ac:dyDescent="0.25">
      <c r="A4" s="120">
        <v>35219092</v>
      </c>
      <c r="B4" s="214" t="s">
        <v>6651</v>
      </c>
      <c r="C4" s="183"/>
      <c r="D4" s="23" t="str" cm="1">
        <f t="array" ref="D4">IFERROR(_xlfn.IFS(U4&lt;727,"MEET", AB4="FRRB","MEET", AB4="PSPS","MEET"),"No")</f>
        <v>MEET</v>
      </c>
      <c r="E4" s="23" t="str" cm="1">
        <f t="array" ref="E4">IFERROR(_xlfn.IFS(AM4&gt;0,"MEET", AN4&gt;0,"MEET"),"No")</f>
        <v>No</v>
      </c>
      <c r="F4" s="100"/>
      <c r="G4" s="188"/>
      <c r="H4" s="37"/>
      <c r="I4" s="37">
        <f t="shared" si="0"/>
        <v>0</v>
      </c>
      <c r="J4" s="183">
        <v>2021</v>
      </c>
      <c r="K4" s="182"/>
      <c r="L4" s="182"/>
      <c r="M4" s="37">
        <f t="shared" si="1"/>
        <v>0</v>
      </c>
      <c r="N4" s="21">
        <v>3311.75</v>
      </c>
      <c r="O4" s="183" t="s">
        <v>4878</v>
      </c>
      <c r="P4" s="182">
        <v>253642104</v>
      </c>
      <c r="Q4" s="182" t="s">
        <v>3414</v>
      </c>
      <c r="R4" s="183" t="s">
        <v>3415</v>
      </c>
      <c r="S4" s="38">
        <f>IFERROR(VLOOKUP(R4,[47]conductor_pz_summary_hftd_23_re!$B$2:$Q$3636,8,FALSE),0)</f>
        <v>38</v>
      </c>
      <c r="T4" s="201">
        <f>IFERROR(VLOOKUP(R4,[48]conductor_pz_summary_hftd_23_re!$B$2:$H$3636,7,0),0)/1609</f>
        <v>5.3534418701324551</v>
      </c>
      <c r="U4" s="23">
        <f>IFERROR(VLOOKUP(R4,[47]conductor_pz_summary_hftd_23_re!$B$2:$Q$3636,14,FALSE),0)</f>
        <v>15</v>
      </c>
      <c r="V4" s="37">
        <f t="shared" si="2"/>
        <v>26.760697879293375</v>
      </c>
      <c r="W4" s="202">
        <f>IFERROR(VLOOKUP(R4,[47]conductor_pz_summary_hftd_23_re!$B$2:$Q$3636,13,FALSE),0)</f>
        <v>0.70422889156035196</v>
      </c>
      <c r="X4" s="183">
        <f>IFERROR(VLOOKUP(R4,conductor_pz_summary_hftd_23_re!$B$2:$N$3636,13,FALSE),0)</f>
        <v>51</v>
      </c>
      <c r="Y4" s="203">
        <f t="shared" si="3"/>
        <v>0</v>
      </c>
      <c r="Z4" s="182"/>
      <c r="AA4" s="182"/>
      <c r="AB4" s="183" t="s">
        <v>5298</v>
      </c>
      <c r="AC4" s="94" t="s">
        <v>5460</v>
      </c>
      <c r="AD4" s="182" t="s">
        <v>5461</v>
      </c>
      <c r="AE4" s="182" t="s">
        <v>5461</v>
      </c>
      <c r="AF4" s="182" t="s">
        <v>4939</v>
      </c>
      <c r="AG4" s="183">
        <v>5794539</v>
      </c>
      <c r="AH4" s="183" t="s">
        <v>5388</v>
      </c>
      <c r="AI4" s="183">
        <v>120141620</v>
      </c>
      <c r="AJ4" s="183">
        <v>35219092</v>
      </c>
      <c r="AK4" s="183" t="s">
        <v>5301</v>
      </c>
      <c r="AL4" s="205">
        <f>5.35*5280</f>
        <v>28247.999999999996</v>
      </c>
      <c r="AM4" s="93">
        <v>0</v>
      </c>
      <c r="AN4" s="205">
        <v>0</v>
      </c>
      <c r="AO4" s="205">
        <v>0</v>
      </c>
      <c r="AP4" s="182"/>
      <c r="AQ4" s="182"/>
      <c r="AR4" s="183"/>
      <c r="AS4" s="182"/>
      <c r="AT4" s="92"/>
      <c r="AU4" s="182"/>
      <c r="AV4" s="182"/>
      <c r="AW4" s="182"/>
      <c r="AX4" s="182"/>
      <c r="AY4" s="23">
        <f>AW4+AX4</f>
        <v>0</v>
      </c>
      <c r="AZ4" s="40">
        <f t="shared" si="4"/>
        <v>0</v>
      </c>
      <c r="BA4" s="173"/>
      <c r="BB4" s="188"/>
      <c r="BC4" s="189"/>
      <c r="BD4" s="191">
        <f t="shared" si="5"/>
        <v>0</v>
      </c>
      <c r="BE4" s="182"/>
      <c r="BF4" s="182"/>
      <c r="BG4" s="182"/>
      <c r="BH4" s="182"/>
      <c r="BI4" s="182"/>
      <c r="BJ4" s="182"/>
      <c r="BK4" s="182"/>
      <c r="BL4" s="182"/>
      <c r="BM4" s="182"/>
      <c r="BN4" s="182"/>
      <c r="BO4" s="182"/>
      <c r="BP4" s="182"/>
      <c r="BQ4" s="182"/>
      <c r="BR4" s="182"/>
      <c r="BS4" s="182"/>
      <c r="BT4" s="182"/>
    </row>
    <row r="5" spans="1:72" s="59" customFormat="1" ht="14.25" customHeight="1" x14ac:dyDescent="0.25">
      <c r="A5" s="120">
        <v>35219264</v>
      </c>
      <c r="B5" s="214" t="s">
        <v>6651</v>
      </c>
      <c r="C5" s="183"/>
      <c r="D5" s="23" t="str" cm="1">
        <f t="array" ref="D5">IFERROR(_xlfn.IFS(U5&lt;727,"MEET", AB5="FRRB","MEET", AB5="PSPS","MEET"),"No")</f>
        <v>MEET</v>
      </c>
      <c r="E5" s="23" t="str" cm="1">
        <f t="array" ref="E5">IFERROR(_xlfn.IFS(AM5&gt;0,"MEET", AN5&gt;0,"MEET"),"No")</f>
        <v>No</v>
      </c>
      <c r="F5" s="100"/>
      <c r="G5" s="188"/>
      <c r="H5" s="37"/>
      <c r="I5" s="37">
        <f t="shared" si="0"/>
        <v>0</v>
      </c>
      <c r="J5" s="183">
        <v>2021</v>
      </c>
      <c r="K5" s="182"/>
      <c r="L5" s="182"/>
      <c r="M5" s="37">
        <f t="shared" si="1"/>
        <v>0</v>
      </c>
      <c r="N5" s="21">
        <v>2965.22</v>
      </c>
      <c r="O5" s="183" t="s">
        <v>4878</v>
      </c>
      <c r="P5" s="182">
        <v>253642103</v>
      </c>
      <c r="Q5" s="182" t="s">
        <v>3411</v>
      </c>
      <c r="R5" s="183" t="s">
        <v>3412</v>
      </c>
      <c r="S5" s="38">
        <f>IFERROR(VLOOKUP(R5,[47]conductor_pz_summary_hftd_23_re!$B$2:$Q$3636,8,FALSE),0)</f>
        <v>10</v>
      </c>
      <c r="T5" s="201">
        <f>IFERROR(VLOOKUP(R5,[48]conductor_pz_summary_hftd_23_re!$B$2:$H$3636,7,0),0)/1609</f>
        <v>2.3287273015274268</v>
      </c>
      <c r="U5" s="23">
        <f>IFERROR(VLOOKUP(R5,[47]conductor_pz_summary_hftd_23_re!$B$2:$Q$3636,14,FALSE),0)</f>
        <v>30</v>
      </c>
      <c r="V5" s="37">
        <f t="shared" si="2"/>
        <v>5.1619382712091895</v>
      </c>
      <c r="W5" s="202">
        <f>IFERROR(VLOOKUP(R5,[47]conductor_pz_summary_hftd_23_re!$B$2:$Q$3636,13,FALSE),0)</f>
        <v>0.51619382712091899</v>
      </c>
      <c r="X5" s="183">
        <f>IFERROR(VLOOKUP(R5,conductor_pz_summary_hftd_23_re!$B$2:$N$3636,13,FALSE),0)</f>
        <v>2</v>
      </c>
      <c r="Y5" s="203">
        <f t="shared" si="3"/>
        <v>0</v>
      </c>
      <c r="Z5" s="182"/>
      <c r="AA5" s="183"/>
      <c r="AB5" s="183" t="s">
        <v>5298</v>
      </c>
      <c r="AC5" s="94" t="s">
        <v>5460</v>
      </c>
      <c r="AD5" s="182" t="s">
        <v>5461</v>
      </c>
      <c r="AE5" s="182" t="s">
        <v>5461</v>
      </c>
      <c r="AF5" s="182" t="s">
        <v>4939</v>
      </c>
      <c r="AG5" s="183">
        <v>5794550</v>
      </c>
      <c r="AH5" s="183" t="s">
        <v>5395</v>
      </c>
      <c r="AI5" s="183">
        <v>120141886</v>
      </c>
      <c r="AJ5" s="183">
        <v>35219264</v>
      </c>
      <c r="AK5" s="183" t="s">
        <v>5304</v>
      </c>
      <c r="AL5" s="205">
        <f>2.33*5280</f>
        <v>12302.4</v>
      </c>
      <c r="AM5" s="205">
        <v>0</v>
      </c>
      <c r="AN5" s="205">
        <v>0</v>
      </c>
      <c r="AO5" s="205">
        <v>0</v>
      </c>
      <c r="AP5" s="182"/>
      <c r="AQ5" s="182"/>
      <c r="AR5" s="183"/>
      <c r="AS5" s="182"/>
      <c r="AT5" s="92"/>
      <c r="AU5" s="183"/>
      <c r="AV5" s="183"/>
      <c r="AW5" s="183"/>
      <c r="AX5" s="183"/>
      <c r="AY5" s="23">
        <f>AW5+AX5</f>
        <v>0</v>
      </c>
      <c r="AZ5" s="40">
        <f t="shared" si="4"/>
        <v>0</v>
      </c>
      <c r="BA5" s="173"/>
      <c r="BB5" s="188"/>
      <c r="BC5" s="189"/>
      <c r="BD5" s="191">
        <f t="shared" si="5"/>
        <v>0</v>
      </c>
      <c r="BE5" s="182"/>
      <c r="BF5" s="182"/>
      <c r="BG5" s="182"/>
      <c r="BH5" s="182"/>
      <c r="BI5" s="182"/>
      <c r="BJ5" s="182"/>
      <c r="BK5" s="182"/>
      <c r="BL5" s="182"/>
      <c r="BM5" s="182"/>
      <c r="BN5" s="182"/>
      <c r="BO5" s="182"/>
      <c r="BP5" s="182"/>
      <c r="BQ5" s="182"/>
      <c r="BR5" s="182"/>
      <c r="BS5" s="182"/>
      <c r="BT5" s="182"/>
    </row>
    <row r="6" spans="1:72" s="59" customFormat="1" x14ac:dyDescent="0.25">
      <c r="A6" s="120">
        <v>35219282</v>
      </c>
      <c r="B6" s="215" t="s">
        <v>6651</v>
      </c>
      <c r="C6" s="183"/>
      <c r="D6" s="23" t="str" cm="1">
        <f t="array" ref="D6">IFERROR(_xlfn.IFS(U6&lt;727,"MEET", AB6="FRRB","MEET", AB6="PSPS","MEET"),"No")</f>
        <v>MEET</v>
      </c>
      <c r="E6" s="23" t="str" cm="1">
        <f t="array" ref="E6">IFERROR(_xlfn.IFS(AM6&gt;0,"MEET", AN6&gt;0,"MEET"),"No")</f>
        <v>No</v>
      </c>
      <c r="F6" s="100"/>
      <c r="G6" s="188"/>
      <c r="H6" s="37"/>
      <c r="I6" s="37">
        <f t="shared" si="0"/>
        <v>0</v>
      </c>
      <c r="J6" s="183">
        <v>2021</v>
      </c>
      <c r="K6" s="182"/>
      <c r="L6" s="182"/>
      <c r="M6" s="37">
        <f t="shared" si="1"/>
        <v>0</v>
      </c>
      <c r="N6" s="21">
        <v>1866.02</v>
      </c>
      <c r="O6" s="183" t="s">
        <v>4878</v>
      </c>
      <c r="P6" s="182">
        <v>14052101</v>
      </c>
      <c r="Q6" s="182" t="s">
        <v>2741</v>
      </c>
      <c r="R6" s="183" t="s">
        <v>2740</v>
      </c>
      <c r="S6" s="38">
        <f>IFERROR(VLOOKUP(R6,[47]conductor_pz_summary_hftd_23_re!$B$2:$Q$3636,8,FALSE),0)</f>
        <v>23</v>
      </c>
      <c r="T6" s="201">
        <f>IFERROR(VLOOKUP(R6,[48]conductor_pz_summary_hftd_23_re!$B$2:$H$3636,7,0),0)/1609</f>
        <v>1.7629499169490179</v>
      </c>
      <c r="U6" s="23">
        <f>IFERROR(VLOOKUP(R6,[47]conductor_pz_summary_hftd_23_re!$B$2:$Q$3636,14,FALSE),0)</f>
        <v>47</v>
      </c>
      <c r="V6" s="37">
        <f t="shared" si="2"/>
        <v>9.8575817238447403</v>
      </c>
      <c r="W6" s="202">
        <f>IFERROR(VLOOKUP(R6,[47]conductor_pz_summary_hftd_23_re!$B$2:$Q$3636,13,FALSE),0)</f>
        <v>0.42859050973238</v>
      </c>
      <c r="X6" s="73">
        <f>IFERROR(VLOOKUP(R6,conductor_pz_summary_hftd_23_re!$B$2:$N$3636,13,FALSE),0)</f>
        <v>388</v>
      </c>
      <c r="Y6" s="203">
        <f t="shared" si="3"/>
        <v>0</v>
      </c>
      <c r="Z6" s="182"/>
      <c r="AA6" s="183" t="s">
        <v>4903</v>
      </c>
      <c r="AB6" s="183" t="s">
        <v>5298</v>
      </c>
      <c r="AC6" s="182" t="s">
        <v>5470</v>
      </c>
      <c r="AD6" s="182" t="s">
        <v>5430</v>
      </c>
      <c r="AE6" s="182" t="s">
        <v>5471</v>
      </c>
      <c r="AF6" s="182" t="s">
        <v>5014</v>
      </c>
      <c r="AG6" s="183">
        <v>5543349</v>
      </c>
      <c r="AH6" s="183" t="s">
        <v>5405</v>
      </c>
      <c r="AI6" s="183">
        <v>120142312</v>
      </c>
      <c r="AJ6" s="183">
        <v>35219282</v>
      </c>
      <c r="AK6" s="183" t="s">
        <v>5311</v>
      </c>
      <c r="AL6" s="205">
        <f>1*5280</f>
        <v>5280</v>
      </c>
      <c r="AM6" s="205">
        <v>0</v>
      </c>
      <c r="AN6" s="205">
        <v>0</v>
      </c>
      <c r="AO6" s="205">
        <v>0</v>
      </c>
      <c r="AP6" s="117"/>
      <c r="AQ6" s="39" t="s">
        <v>5566</v>
      </c>
      <c r="AR6" s="183">
        <f>AS6*5280</f>
        <v>5280</v>
      </c>
      <c r="AS6" s="183">
        <v>1</v>
      </c>
      <c r="AT6" s="92">
        <v>1699520</v>
      </c>
      <c r="AU6" s="165" t="s">
        <v>6337</v>
      </c>
      <c r="AV6" s="182"/>
      <c r="AW6" s="182"/>
      <c r="AX6" s="182"/>
      <c r="AY6" s="23">
        <f>AW6+AX6</f>
        <v>0</v>
      </c>
      <c r="AZ6" s="40">
        <f t="shared" si="4"/>
        <v>0</v>
      </c>
      <c r="BA6" s="173"/>
      <c r="BB6" s="188"/>
      <c r="BC6" s="189"/>
      <c r="BD6" s="191">
        <f t="shared" si="5"/>
        <v>0</v>
      </c>
      <c r="BE6" s="182"/>
      <c r="BF6" s="182"/>
      <c r="BG6" s="182"/>
      <c r="BH6" s="182"/>
      <c r="BI6" s="182"/>
      <c r="BJ6" s="182"/>
      <c r="BK6" s="182"/>
      <c r="BL6" s="182"/>
      <c r="BM6" s="182"/>
      <c r="BN6" s="182"/>
      <c r="BO6" s="182"/>
      <c r="BP6" s="182"/>
      <c r="BQ6" s="182"/>
      <c r="BR6" s="182"/>
      <c r="BS6" s="182"/>
      <c r="BT6" s="182"/>
    </row>
    <row r="7" spans="1:72" s="59" customFormat="1" x14ac:dyDescent="0.25">
      <c r="A7" s="120">
        <v>35219283</v>
      </c>
      <c r="B7" s="215" t="s">
        <v>6651</v>
      </c>
      <c r="C7" s="183"/>
      <c r="D7" s="23" t="str" cm="1">
        <f t="array" ref="D7">IFERROR(_xlfn.IFS(U7&lt;727,"MEET", AB7="FRRB","MEET", AB7="PSPS","MEET"),"No")</f>
        <v>MEET</v>
      </c>
      <c r="E7" s="23" t="str" cm="1">
        <f t="array" ref="E7">IFERROR(_xlfn.IFS(AM7&gt;0,"MEET", AN7&gt;0,"MEET"),"No")</f>
        <v>No</v>
      </c>
      <c r="F7" s="100"/>
      <c r="G7" s="188"/>
      <c r="H7" s="37"/>
      <c r="I7" s="37">
        <f t="shared" si="0"/>
        <v>0</v>
      </c>
      <c r="J7" s="183">
        <v>2021</v>
      </c>
      <c r="K7" s="182"/>
      <c r="L7" s="182"/>
      <c r="M7" s="37">
        <f t="shared" si="1"/>
        <v>0</v>
      </c>
      <c r="N7" s="21">
        <v>3025.68</v>
      </c>
      <c r="O7" s="183" t="s">
        <v>4878</v>
      </c>
      <c r="P7" s="182">
        <v>14052101</v>
      </c>
      <c r="Q7" s="182" t="s">
        <v>2741</v>
      </c>
      <c r="R7" s="183" t="s">
        <v>2740</v>
      </c>
      <c r="S7" s="38">
        <f>IFERROR(VLOOKUP(R7,[47]conductor_pz_summary_hftd_23_re!$B$2:$Q$3636,8,FALSE),0)</f>
        <v>23</v>
      </c>
      <c r="T7" s="201">
        <f>IFERROR(VLOOKUP(R7,[48]conductor_pz_summary_hftd_23_re!$B$2:$H$3636,7,0),0)/1609</f>
        <v>1.7629499169490179</v>
      </c>
      <c r="U7" s="23">
        <f>IFERROR(VLOOKUP(R7,[47]conductor_pz_summary_hftd_23_re!$B$2:$Q$3636,14,FALSE),0)</f>
        <v>47</v>
      </c>
      <c r="V7" s="37">
        <f t="shared" si="2"/>
        <v>9.8575817238447403</v>
      </c>
      <c r="W7" s="202">
        <f>IFERROR(VLOOKUP(R7,[47]conductor_pz_summary_hftd_23_re!$B$2:$Q$3636,13,FALSE),0)</f>
        <v>0.42859050973238</v>
      </c>
      <c r="X7" s="73">
        <f>IFERROR(VLOOKUP(R7,conductor_pz_summary_hftd_23_re!$B$2:$N$3636,13,FALSE),0)</f>
        <v>388</v>
      </c>
      <c r="Y7" s="203">
        <f t="shared" si="3"/>
        <v>0</v>
      </c>
      <c r="Z7" s="182"/>
      <c r="AA7" s="183" t="s">
        <v>4903</v>
      </c>
      <c r="AB7" s="183" t="s">
        <v>5298</v>
      </c>
      <c r="AC7" s="182" t="s">
        <v>5472</v>
      </c>
      <c r="AD7" s="182" t="s">
        <v>4908</v>
      </c>
      <c r="AE7" s="182" t="s">
        <v>5471</v>
      </c>
      <c r="AF7" s="182" t="s">
        <v>5014</v>
      </c>
      <c r="AG7" s="183">
        <v>5543351</v>
      </c>
      <c r="AH7" s="183" t="s">
        <v>5406</v>
      </c>
      <c r="AI7" s="183">
        <v>120142316</v>
      </c>
      <c r="AJ7" s="183">
        <v>35219283</v>
      </c>
      <c r="AK7" s="183" t="s">
        <v>5311</v>
      </c>
      <c r="AL7" s="205">
        <f>0.82*5280</f>
        <v>4329.5999999999995</v>
      </c>
      <c r="AM7" s="205">
        <v>0</v>
      </c>
      <c r="AN7" s="205">
        <v>0</v>
      </c>
      <c r="AO7" s="205">
        <v>0</v>
      </c>
      <c r="AP7" s="117"/>
      <c r="AQ7" s="39" t="s">
        <v>5565</v>
      </c>
      <c r="AR7" s="183">
        <f>AS7*5280</f>
        <v>4329.5999999999995</v>
      </c>
      <c r="AS7" s="183">
        <v>0.82</v>
      </c>
      <c r="AT7" s="92">
        <v>1370560</v>
      </c>
      <c r="AU7" s="165" t="s">
        <v>6338</v>
      </c>
      <c r="AV7" s="182"/>
      <c r="AW7" s="182"/>
      <c r="AX7" s="182"/>
      <c r="AY7" s="23">
        <f>AW7+AX7</f>
        <v>0</v>
      </c>
      <c r="AZ7" s="40">
        <f t="shared" si="4"/>
        <v>0</v>
      </c>
      <c r="BA7" s="173"/>
      <c r="BB7" s="188"/>
      <c r="BC7" s="189"/>
      <c r="BD7" s="191">
        <f t="shared" si="5"/>
        <v>0</v>
      </c>
      <c r="BE7" s="182"/>
      <c r="BF7" s="182"/>
      <c r="BG7" s="182"/>
      <c r="BH7" s="182"/>
      <c r="BI7" s="182"/>
      <c r="BJ7" s="182"/>
      <c r="BK7" s="182"/>
      <c r="BL7" s="182"/>
      <c r="BM7" s="182"/>
      <c r="BN7" s="182"/>
      <c r="BO7" s="182"/>
      <c r="BP7" s="182"/>
      <c r="BQ7" s="182"/>
      <c r="BR7" s="182"/>
      <c r="BS7" s="182"/>
      <c r="BT7" s="182"/>
    </row>
    <row r="8" spans="1:72" s="59" customFormat="1" x14ac:dyDescent="0.25">
      <c r="A8" s="120">
        <v>35223061</v>
      </c>
      <c r="B8" s="209" t="s">
        <v>6651</v>
      </c>
      <c r="C8" s="23"/>
      <c r="D8" s="23" t="str" cm="1">
        <f t="array" ref="D8">IFERROR(_xlfn.IFS(U8&lt;727,"MEET", AB8="FRRB","MEET", AB8="PSPS","MEET"),"No")</f>
        <v>MEET</v>
      </c>
      <c r="E8" s="23" t="str" cm="1">
        <f t="array" ref="E8">IFERROR(_xlfn.IFS(AM8&gt;0,"MEET", AN8&gt;0,"MEET"),"No")</f>
        <v>MEET</v>
      </c>
      <c r="F8" s="100"/>
      <c r="G8" s="37"/>
      <c r="H8" s="37"/>
      <c r="I8" s="37">
        <f t="shared" si="0"/>
        <v>0</v>
      </c>
      <c r="J8" s="20">
        <v>2021</v>
      </c>
      <c r="K8" s="37"/>
      <c r="L8" s="37"/>
      <c r="M8" s="37">
        <f t="shared" si="1"/>
        <v>0</v>
      </c>
      <c r="N8" s="21">
        <v>840.53</v>
      </c>
      <c r="O8" s="23" t="s">
        <v>4878</v>
      </c>
      <c r="P8" s="22">
        <v>42711102</v>
      </c>
      <c r="Q8" s="19" t="s">
        <v>579</v>
      </c>
      <c r="R8" s="23" t="s">
        <v>581</v>
      </c>
      <c r="S8" s="38">
        <f>IFERROR(VLOOKUP(R8,[47]conductor_pz_summary_hftd_23_re!$B$2:$Q$3636,8,FALSE),0)</f>
        <v>178</v>
      </c>
      <c r="T8" s="201">
        <f>IFERROR(VLOOKUP(R8,[48]conductor_pz_summary_hftd_23_re!$B$2:$H$3636,7,0),0)/1609</f>
        <v>11.216001152655066</v>
      </c>
      <c r="U8" s="23">
        <f>IFERROR(VLOOKUP(R8,[47]conductor_pz_summary_hftd_23_re!$B$2:$Q$3636,14,FALSE),0)</f>
        <v>1477</v>
      </c>
      <c r="V8" s="37">
        <f t="shared" si="2"/>
        <v>5.2283565049877918</v>
      </c>
      <c r="W8" s="202">
        <f>IFERROR(VLOOKUP(R8,[47]conductor_pz_summary_hftd_23_re!$B$2:$Q$3636,13,FALSE),0)</f>
        <v>2.9372789353864E-2</v>
      </c>
      <c r="X8" s="73">
        <f>IFERROR(VLOOKUP(R8,conductor_pz_summary_hftd_23_re!$B$2:$N$3636,13,FALSE),0)</f>
        <v>1599</v>
      </c>
      <c r="Y8" s="203">
        <f t="shared" si="3"/>
        <v>0</v>
      </c>
      <c r="Z8" s="23"/>
      <c r="AA8" s="23"/>
      <c r="AB8" s="23" t="s">
        <v>5102</v>
      </c>
      <c r="AC8" s="19" t="s">
        <v>4935</v>
      </c>
      <c r="AD8" s="19" t="s">
        <v>4895</v>
      </c>
      <c r="AE8" s="19" t="s">
        <v>4881</v>
      </c>
      <c r="AF8" s="19" t="s">
        <v>4896</v>
      </c>
      <c r="AG8" s="23">
        <v>5794986</v>
      </c>
      <c r="AH8" s="23" t="s">
        <v>5622</v>
      </c>
      <c r="AI8" s="23">
        <v>120242677</v>
      </c>
      <c r="AJ8" s="183">
        <v>35223061</v>
      </c>
      <c r="AK8" s="23" t="s">
        <v>5551</v>
      </c>
      <c r="AL8" s="20">
        <v>0</v>
      </c>
      <c r="AM8" s="20">
        <v>4752</v>
      </c>
      <c r="AN8" s="20">
        <v>0</v>
      </c>
      <c r="AO8" s="20">
        <v>0</v>
      </c>
      <c r="AP8" s="19"/>
      <c r="AQ8" s="48" t="s">
        <v>6039</v>
      </c>
      <c r="AR8" s="23">
        <f>AS8*5280</f>
        <v>4752</v>
      </c>
      <c r="AS8" s="40">
        <v>0.9</v>
      </c>
      <c r="AT8" s="41">
        <v>711300</v>
      </c>
      <c r="AU8" s="48" t="s">
        <v>6386</v>
      </c>
      <c r="AV8" s="19"/>
      <c r="AW8" s="19"/>
      <c r="AX8" s="19"/>
      <c r="AY8" s="23">
        <f>SUM(AV8:AX8)</f>
        <v>0</v>
      </c>
      <c r="AZ8" s="40"/>
      <c r="BA8" s="172"/>
      <c r="BB8" s="190"/>
      <c r="BC8" s="191"/>
      <c r="BD8" s="191">
        <f t="shared" si="5"/>
        <v>0</v>
      </c>
      <c r="BE8" s="182"/>
      <c r="BF8" s="182"/>
      <c r="BG8" s="23"/>
      <c r="BH8" s="23"/>
      <c r="BI8" s="23"/>
      <c r="BJ8" s="23"/>
      <c r="BK8" s="40"/>
      <c r="BL8" s="44"/>
      <c r="BM8" s="41"/>
      <c r="BN8" s="45"/>
      <c r="BO8" s="19"/>
      <c r="BP8" s="19"/>
      <c r="BQ8" s="19"/>
      <c r="BR8" s="19"/>
      <c r="BS8" s="19"/>
      <c r="BT8" s="19"/>
    </row>
    <row r="9" spans="1:72" x14ac:dyDescent="0.25">
      <c r="A9" s="55">
        <v>35098621</v>
      </c>
      <c r="B9" s="99" t="s">
        <v>5512</v>
      </c>
      <c r="C9" s="23"/>
      <c r="D9" s="23" t="s">
        <v>5513</v>
      </c>
      <c r="E9" s="23"/>
      <c r="F9" s="100"/>
      <c r="G9" s="100"/>
      <c r="H9" s="23">
        <v>1.07</v>
      </c>
      <c r="I9" s="37">
        <f t="shared" si="0"/>
        <v>0</v>
      </c>
      <c r="J9" s="20">
        <v>2020</v>
      </c>
      <c r="K9" s="37">
        <v>1.07</v>
      </c>
      <c r="L9" s="37"/>
      <c r="M9" s="37">
        <f t="shared" si="1"/>
        <v>1.07</v>
      </c>
      <c r="N9" s="21">
        <v>1372204.3</v>
      </c>
      <c r="O9" s="23" t="s">
        <v>5511</v>
      </c>
      <c r="P9" s="22">
        <v>152471101</v>
      </c>
      <c r="Q9" s="19" t="s">
        <v>932</v>
      </c>
      <c r="R9" s="23" t="s">
        <v>931</v>
      </c>
      <c r="S9" s="38">
        <f>IFERROR(VLOOKUP(R9,[47]conductor_pz_summary_hftd_23_re!$B$2:$Q$3636,8,FALSE),0)</f>
        <v>76</v>
      </c>
      <c r="T9" s="38">
        <f>IFERROR(VLOOKUP(R9,[48]conductor_pz_summary_hftd_23_re!$B$2:$H$3636,7,0),0)/1609</f>
        <v>9.1336080573515233</v>
      </c>
      <c r="U9" s="23">
        <f>IFERROR(VLOOKUP(R9,[47]conductor_pz_summary_hftd_23_re!$B$2:$Q$3636,14,FALSE),0)</f>
        <v>606</v>
      </c>
      <c r="V9" s="23">
        <f t="shared" si="2"/>
        <v>9.8207301508378553</v>
      </c>
      <c r="W9" s="23">
        <f>IFERROR(VLOOKUP(R9,[47]conductor_pz_summary_hftd_23_re!$B$2:$Q$3636,13,FALSE),0)</f>
        <v>0.129220133563656</v>
      </c>
      <c r="X9" s="73">
        <f>IFERROR(VLOOKUP(R9,conductor_pz_summary_hftd_23_re!$B$2:$N$3636,13,FALSE),0)</f>
        <v>1358</v>
      </c>
      <c r="Y9" s="59">
        <f t="shared" ref="Y9:Y20" si="6">(AL9*0.67+AM9*0.99+AN9+AO9*0.99)/(SUM(AL9:AO9))*V9*(H9/T9)</f>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s="56" t="s">
        <v>4994</v>
      </c>
      <c r="AR9" s="23">
        <v>9820.8000000000011</v>
      </c>
      <c r="AS9" s="40">
        <v>1.86</v>
      </c>
      <c r="AT9" s="41">
        <v>1975040</v>
      </c>
      <c r="AU9" s="56" t="s">
        <v>4995</v>
      </c>
      <c r="AV9" s="19">
        <v>0</v>
      </c>
      <c r="AW9" s="19">
        <v>0</v>
      </c>
      <c r="AX9" s="19">
        <v>5649.6</v>
      </c>
      <c r="AY9" s="23">
        <f>SUM(AV9:AX9)</f>
        <v>5649.6</v>
      </c>
      <c r="AZ9" s="40">
        <f t="shared" ref="AZ9:AZ20" si="7">AY9/5280</f>
        <v>1.07</v>
      </c>
      <c r="BA9" s="43">
        <v>2054400.0000000002</v>
      </c>
      <c r="BB9" s="43"/>
      <c r="BC9" s="43"/>
      <c r="BD9" s="43"/>
      <c r="BE9" s="54" t="s">
        <v>4996</v>
      </c>
      <c r="BF9" s="54"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x14ac:dyDescent="0.25">
      <c r="A10" s="182"/>
      <c r="B10" s="99"/>
      <c r="C10" s="183"/>
      <c r="D10" s="183" t="s">
        <v>5429</v>
      </c>
      <c r="E10" s="183"/>
      <c r="F10" s="182"/>
      <c r="G10" s="182"/>
      <c r="H10" s="183">
        <v>0.04</v>
      </c>
      <c r="I10" s="37">
        <f t="shared" si="0"/>
        <v>0.04</v>
      </c>
      <c r="J10" s="183">
        <v>2021</v>
      </c>
      <c r="K10" s="182"/>
      <c r="L10" s="182"/>
      <c r="M10" s="182"/>
      <c r="N10" s="21">
        <v>0</v>
      </c>
      <c r="O10" s="183" t="s">
        <v>5429</v>
      </c>
      <c r="P10" s="182">
        <v>48011144</v>
      </c>
      <c r="Q10" s="182" t="s">
        <v>604</v>
      </c>
      <c r="R10" s="183" t="s">
        <v>5432</v>
      </c>
      <c r="S10" s="38">
        <f>IFERROR(VLOOKUP(R10,[47]conductor_pz_summary_hftd_23_re!$B$2:$Q$3636,8,FALSE),0)</f>
        <v>0</v>
      </c>
      <c r="T10" s="38">
        <f>IFERROR(VLOOKUP(R10,[48]conductor_pz_summary_hftd_23_re!$B$2:$H$3636,7,0),0)/1609</f>
        <v>0</v>
      </c>
      <c r="U10" s="23">
        <f>IFERROR(VLOOKUP(R10,[47]conductor_pz_summary_hftd_23_re!$B$2:$Q$3636,14,FALSE),0)</f>
        <v>0</v>
      </c>
      <c r="V10" s="23">
        <f t="shared" si="2"/>
        <v>0</v>
      </c>
      <c r="W10" s="23">
        <f>IFERROR(VLOOKUP(R10,[47]conductor_pz_summary_hftd_23_re!$B$2:$Q$3636,13,FALSE),0)</f>
        <v>0</v>
      </c>
      <c r="X10" s="73">
        <f>IFERROR(VLOOKUP(R10,conductor_pz_summary_hftd_23_re!$B$2:$N$3636,13,FALSE),0)</f>
        <v>0</v>
      </c>
      <c r="Y10" s="59" t="e">
        <f t="shared" si="6"/>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f t="shared" ref="AY10:AY20" si="8">AW10+AX10</f>
        <v>0</v>
      </c>
      <c r="AZ10" s="40">
        <f t="shared" si="7"/>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25.5" x14ac:dyDescent="0.25">
      <c r="A11" s="51">
        <v>35145522</v>
      </c>
      <c r="B11" s="36" t="s">
        <v>5508</v>
      </c>
      <c r="C11" s="23"/>
      <c r="D11" s="23" t="s">
        <v>5509</v>
      </c>
      <c r="E11" s="23"/>
      <c r="F11" s="19"/>
      <c r="G11" s="19"/>
      <c r="H11" s="37">
        <v>3.95</v>
      </c>
      <c r="I11" s="37">
        <f t="shared" si="0"/>
        <v>3.95</v>
      </c>
      <c r="J11" s="20">
        <v>2021</v>
      </c>
      <c r="K11" s="37"/>
      <c r="L11" s="37"/>
      <c r="M11" s="23"/>
      <c r="N11" s="21">
        <v>142609.46</v>
      </c>
      <c r="O11" s="23" t="s">
        <v>5103</v>
      </c>
      <c r="P11" s="22">
        <v>153612104</v>
      </c>
      <c r="Q11" s="19" t="s">
        <v>811</v>
      </c>
      <c r="R11" s="23" t="s">
        <v>814</v>
      </c>
      <c r="S11" s="38">
        <f>IFERROR(VLOOKUP(R11,[47]conductor_pz_summary_hftd_23_re!$B$2:$Q$3636,8,FALSE),0)</f>
        <v>107</v>
      </c>
      <c r="T11" s="38">
        <f>IFERROR(VLOOKUP(R11,[48]conductor_pz_summary_hftd_23_re!$B$2:$H$3636,7,0),0)/1609</f>
        <v>8.8028340656195159</v>
      </c>
      <c r="U11" s="23">
        <f>IFERROR(VLOOKUP(R11,[47]conductor_pz_summary_hftd_23_re!$B$2:$Q$3636,14,FALSE),0)</f>
        <v>134</v>
      </c>
      <c r="V11" s="23">
        <f t="shared" si="2"/>
        <v>32.51871125378176</v>
      </c>
      <c r="W11" s="23">
        <f>IFERROR(VLOOKUP(R11,[47]conductor_pz_summary_hftd_23_re!$B$2:$Q$3636,13,FALSE),0)</f>
        <v>0.30391318928768002</v>
      </c>
      <c r="X11" s="73">
        <f>IFERROR(VLOOKUP(R11,conductor_pz_summary_hftd_23_re!$B$2:$N$3636,13,FALSE),0)</f>
        <v>385</v>
      </c>
      <c r="Y11" s="59">
        <f t="shared" si="6"/>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s="58" t="s">
        <v>5107</v>
      </c>
      <c r="AR11" s="23">
        <v>13463.999999999998</v>
      </c>
      <c r="AS11" s="40">
        <v>2.5499999999999998</v>
      </c>
      <c r="AT11" s="41">
        <v>23720000</v>
      </c>
      <c r="AU11" s="23" t="s">
        <v>4988</v>
      </c>
      <c r="AV11" s="19">
        <v>0</v>
      </c>
      <c r="AW11" s="19">
        <v>13463.999999999998</v>
      </c>
      <c r="AX11" s="19">
        <v>0</v>
      </c>
      <c r="AY11" s="23">
        <f t="shared" si="8"/>
        <v>13463.999999999998</v>
      </c>
      <c r="AZ11" s="40">
        <f t="shared" si="7"/>
        <v>2.5499999999999998</v>
      </c>
      <c r="BA11" s="43">
        <v>10710000</v>
      </c>
      <c r="BB11" s="43"/>
      <c r="BC11" s="43"/>
      <c r="BD11" s="43"/>
      <c r="BE11" s="54" t="s">
        <v>5108</v>
      </c>
      <c r="BF11" s="183"/>
      <c r="BG11" s="23"/>
      <c r="BH11" s="23"/>
      <c r="BI11" s="23"/>
      <c r="BJ11" s="23"/>
      <c r="BK11" s="40"/>
      <c r="BL11" s="44"/>
      <c r="BM11" s="41"/>
      <c r="BN11" s="45"/>
      <c r="BO11" s="19"/>
      <c r="BP11" s="19"/>
      <c r="BQ11" s="19"/>
      <c r="BR11" s="19"/>
      <c r="BS11" s="19"/>
      <c r="BT11" s="19"/>
    </row>
    <row r="12" spans="1:72" ht="25.5" x14ac:dyDescent="0.25">
      <c r="A12" s="51">
        <v>35145001</v>
      </c>
      <c r="B12" s="36" t="s">
        <v>5508</v>
      </c>
      <c r="C12" s="23"/>
      <c r="D12" s="23" t="s">
        <v>5509</v>
      </c>
      <c r="E12" s="23"/>
      <c r="F12" s="19"/>
      <c r="G12" s="19"/>
      <c r="H12" s="37">
        <v>1.6</v>
      </c>
      <c r="I12" s="37">
        <f t="shared" si="0"/>
        <v>1.6</v>
      </c>
      <c r="J12" s="20">
        <v>2021</v>
      </c>
      <c r="K12" s="37"/>
      <c r="L12" s="37"/>
      <c r="M12" s="23"/>
      <c r="N12" s="21">
        <v>146558.54999999999</v>
      </c>
      <c r="O12" s="23" t="s">
        <v>5103</v>
      </c>
      <c r="P12" s="22">
        <v>12022215</v>
      </c>
      <c r="Q12" s="19" t="s">
        <v>858</v>
      </c>
      <c r="R12" s="23" t="s">
        <v>857</v>
      </c>
      <c r="S12" s="38">
        <f>IFERROR(VLOOKUP(R12,[47]conductor_pz_summary_hftd_23_re!$B$2:$Q$3636,8,FALSE),0)</f>
        <v>106</v>
      </c>
      <c r="T12" s="38">
        <f>IFERROR(VLOOKUP(R12,[48]conductor_pz_summary_hftd_23_re!$B$2:$H$3636,7,0),0)/1609</f>
        <v>2.0890566730285953</v>
      </c>
      <c r="U12" s="23">
        <f>IFERROR(VLOOKUP(R12,[47]conductor_pz_summary_hftd_23_re!$B$2:$Q$3636,14,FALSE),0)</f>
        <v>1739</v>
      </c>
      <c r="V12" s="23">
        <f t="shared" si="2"/>
        <v>1.7951073585415118</v>
      </c>
      <c r="W12" s="23">
        <f>IFERROR(VLOOKUP(R12,[47]conductor_pz_summary_hftd_23_re!$B$2:$Q$3636,13,FALSE),0)</f>
        <v>1.6934975080580301E-2</v>
      </c>
      <c r="X12" s="73">
        <f>IFERROR(VLOOKUP(R12,conductor_pz_summary_hftd_23_re!$B$2:$N$3636,13,FALSE),0)</f>
        <v>1716</v>
      </c>
      <c r="Y12" s="59">
        <f t="shared" si="6"/>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v>
      </c>
      <c r="AM12" s="23">
        <v>20592</v>
      </c>
      <c r="AN12" s="23">
        <v>0</v>
      </c>
      <c r="AO12" s="23">
        <v>0</v>
      </c>
      <c r="AP12" s="19"/>
      <c r="AQ12" s="58" t="s">
        <v>5117</v>
      </c>
      <c r="AR12" s="23">
        <v>11616.000000000002</v>
      </c>
      <c r="AS12" s="40">
        <v>2.2000000000000002</v>
      </c>
      <c r="AT12" s="41">
        <v>19530000</v>
      </c>
      <c r="AU12" s="23" t="s">
        <v>4988</v>
      </c>
      <c r="AV12" s="19">
        <v>0</v>
      </c>
      <c r="AW12" s="19">
        <v>20592</v>
      </c>
      <c r="AX12" s="19">
        <v>475.2</v>
      </c>
      <c r="AY12" s="23">
        <f t="shared" si="8"/>
        <v>21067.200000000001</v>
      </c>
      <c r="AZ12" s="40">
        <f t="shared" si="7"/>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x14ac:dyDescent="0.25">
      <c r="A13" s="51">
        <v>35145002</v>
      </c>
      <c r="B13" s="36" t="s">
        <v>5508</v>
      </c>
      <c r="C13" s="23"/>
      <c r="D13" s="23" t="s">
        <v>5509</v>
      </c>
      <c r="E13" s="23"/>
      <c r="F13" s="19"/>
      <c r="G13" s="19"/>
      <c r="H13" s="37">
        <v>0.68</v>
      </c>
      <c r="I13" s="37">
        <f t="shared" si="0"/>
        <v>0.68</v>
      </c>
      <c r="J13" s="20">
        <v>2021</v>
      </c>
      <c r="K13" s="37"/>
      <c r="L13" s="37"/>
      <c r="M13" s="23"/>
      <c r="N13" s="21">
        <v>115275.8</v>
      </c>
      <c r="O13" s="23" t="s">
        <v>5129</v>
      </c>
      <c r="P13" s="22">
        <v>42481101</v>
      </c>
      <c r="Q13" s="19" t="s">
        <v>1950</v>
      </c>
      <c r="R13" s="23" t="s">
        <v>1953</v>
      </c>
      <c r="S13" s="38">
        <f>IFERROR(VLOOKUP(R13,[47]conductor_pz_summary_hftd_23_re!$B$2:$Q$3636,8,FALSE),0)</f>
        <v>19</v>
      </c>
      <c r="T13" s="38">
        <f>IFERROR(VLOOKUP(R13,[48]conductor_pz_summary_hftd_23_re!$B$2:$H$3636,7,0),0)/1609</f>
        <v>1.6721950997086015</v>
      </c>
      <c r="U13" s="23">
        <f>IFERROR(VLOOKUP(R13,[47]conductor_pz_summary_hftd_23_re!$B$2:$Q$3636,14,FALSE),0)</f>
        <v>2448</v>
      </c>
      <c r="V13" s="23">
        <f t="shared" si="2"/>
        <v>4.2330898779185631E-2</v>
      </c>
      <c r="W13" s="23">
        <f>IFERROR(VLOOKUP(R13,[47]conductor_pz_summary_hftd_23_re!$B$2:$Q$3636,13,FALSE),0)</f>
        <v>2.2279420410097699E-3</v>
      </c>
      <c r="X13" s="73">
        <f>IFERROR(VLOOKUP(R13,conductor_pz_summary_hftd_23_re!$B$2:$N$3636,13,FALSE),0)</f>
        <v>2447</v>
      </c>
      <c r="Y13" s="59">
        <f t="shared" si="6"/>
        <v>1.7041768070671728E-2</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v>
      </c>
      <c r="AN13" s="23">
        <v>0</v>
      </c>
      <c r="AO13" s="23">
        <v>0</v>
      </c>
      <c r="AP13" s="19"/>
      <c r="AQ13" s="56" t="s">
        <v>5135</v>
      </c>
      <c r="AR13" s="23">
        <v>3585.1200000000003</v>
      </c>
      <c r="AS13" s="40">
        <v>0.67900000000000005</v>
      </c>
      <c r="AT13" s="41">
        <v>2194800</v>
      </c>
      <c r="AU13" s="23" t="s">
        <v>4988</v>
      </c>
      <c r="AV13" s="19">
        <v>0</v>
      </c>
      <c r="AW13" s="19">
        <v>3590.4</v>
      </c>
      <c r="AX13" s="19">
        <v>0</v>
      </c>
      <c r="AY13" s="23">
        <f t="shared" si="8"/>
        <v>3590.4</v>
      </c>
      <c r="AZ13" s="40">
        <f t="shared" si="7"/>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x14ac:dyDescent="0.25">
      <c r="A14" s="51">
        <v>35145003</v>
      </c>
      <c r="B14" s="36" t="s">
        <v>5508</v>
      </c>
      <c r="C14" s="23"/>
      <c r="D14" s="23" t="s">
        <v>5509</v>
      </c>
      <c r="E14" s="23"/>
      <c r="F14" s="19"/>
      <c r="G14" s="19"/>
      <c r="H14" s="37">
        <v>0.28000000000000003</v>
      </c>
      <c r="I14" s="37">
        <f t="shared" si="0"/>
        <v>0.28000000000000003</v>
      </c>
      <c r="J14" s="20">
        <v>2021</v>
      </c>
      <c r="K14" s="37"/>
      <c r="L14" s="37"/>
      <c r="M14" s="23"/>
      <c r="N14" s="21">
        <v>92273.67</v>
      </c>
      <c r="O14" s="23" t="s">
        <v>5103</v>
      </c>
      <c r="P14" s="22">
        <v>13801103</v>
      </c>
      <c r="Q14" s="19" t="s">
        <v>2600</v>
      </c>
      <c r="R14" s="23" t="s">
        <v>2601</v>
      </c>
      <c r="S14" s="38">
        <f>IFERROR(VLOOKUP(R14,[47]conductor_pz_summary_hftd_23_re!$B$2:$Q$3636,8,FALSE),0)</f>
        <v>82</v>
      </c>
      <c r="T14" s="38">
        <f>IFERROR(VLOOKUP(R14,[48]conductor_pz_summary_hftd_23_re!$B$2:$H$3636,7,0),0)/1609</f>
        <v>1.3308706298340647</v>
      </c>
      <c r="U14" s="23">
        <f>IFERROR(VLOOKUP(R14,[47]conductor_pz_summary_hftd_23_re!$B$2:$Q$3636,14,FALSE),0)</f>
        <v>2631</v>
      </c>
      <c r="V14" s="23">
        <f t="shared" si="2"/>
        <v>8.2475969260846924E-2</v>
      </c>
      <c r="W14" s="23">
        <f>IFERROR(VLOOKUP(R14,[47]conductor_pz_summary_hftd_23_re!$B$2:$Q$3636,13,FALSE),0)</f>
        <v>1.0058045031810601E-3</v>
      </c>
      <c r="X14" s="73">
        <f>IFERROR(VLOOKUP(R14,conductor_pz_summary_hftd_23_re!$B$2:$N$3636,13,FALSE),0)</f>
        <v>2698</v>
      </c>
      <c r="Y14" s="59">
        <f t="shared" si="6"/>
        <v>1.7178483142239968E-2</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s="58" t="s">
        <v>5139</v>
      </c>
      <c r="AR14" s="23">
        <v>1161.5999999999999</v>
      </c>
      <c r="AS14" s="40">
        <v>0.22</v>
      </c>
      <c r="AT14" s="41">
        <v>2050000</v>
      </c>
      <c r="AU14" s="23" t="s">
        <v>4988</v>
      </c>
      <c r="AV14" s="19">
        <v>0</v>
      </c>
      <c r="AW14" s="19">
        <v>1161.5999999999999</v>
      </c>
      <c r="AX14" s="19">
        <v>0</v>
      </c>
      <c r="AY14" s="23">
        <f t="shared" si="8"/>
        <v>1161.5999999999999</v>
      </c>
      <c r="AZ14" s="40">
        <f t="shared" si="7"/>
        <v>0.21999999999999997</v>
      </c>
      <c r="BA14" s="43">
        <v>923999.99999999988</v>
      </c>
      <c r="BB14" s="43"/>
      <c r="BC14" s="43"/>
      <c r="BD14" s="43"/>
      <c r="BE14" s="54" t="s">
        <v>5140</v>
      </c>
      <c r="BF14" s="23"/>
      <c r="BG14" s="23"/>
      <c r="BH14" s="23"/>
      <c r="BI14" s="23"/>
      <c r="BJ14" s="23"/>
      <c r="BK14" s="40"/>
      <c r="BL14" s="44"/>
      <c r="BM14" s="41"/>
      <c r="BN14" s="45"/>
      <c r="BO14" s="19"/>
      <c r="BP14" s="19"/>
      <c r="BQ14" s="19"/>
      <c r="BR14" s="19"/>
      <c r="BS14" s="19"/>
      <c r="BT14" s="19"/>
    </row>
    <row r="15" spans="1:72" x14ac:dyDescent="0.25">
      <c r="A15" s="51">
        <v>35144941</v>
      </c>
      <c r="B15" s="36" t="s">
        <v>5508</v>
      </c>
      <c r="C15" s="23"/>
      <c r="D15" s="23" t="s">
        <v>5509</v>
      </c>
      <c r="E15" s="23"/>
      <c r="F15" s="19"/>
      <c r="G15" s="19"/>
      <c r="H15" s="37">
        <v>2.59</v>
      </c>
      <c r="I15" s="37">
        <f t="shared" si="0"/>
        <v>2.59</v>
      </c>
      <c r="J15" s="20">
        <v>2021</v>
      </c>
      <c r="K15" s="37"/>
      <c r="L15" s="37"/>
      <c r="M15" s="23"/>
      <c r="N15" s="21">
        <v>180088.06</v>
      </c>
      <c r="O15" s="23" t="s">
        <v>5118</v>
      </c>
      <c r="P15" s="22">
        <v>83252105</v>
      </c>
      <c r="Q15" s="19" t="s">
        <v>3145</v>
      </c>
      <c r="R15" s="23" t="s">
        <v>3144</v>
      </c>
      <c r="S15" s="38">
        <f>IFERROR(VLOOKUP(R15,[47]conductor_pz_summary_hftd_23_re!$B$2:$Q$3636,8,FALSE),0)</f>
        <v>86</v>
      </c>
      <c r="T15" s="38">
        <f>IFERROR(VLOOKUP(R15,[48]conductor_pz_summary_hftd_23_re!$B$2:$H$3636,7,0),0)/1609</f>
        <v>7.4461169791348043</v>
      </c>
      <c r="U15" s="23">
        <f>IFERROR(VLOOKUP(R15,[47]conductor_pz_summary_hftd_23_re!$B$2:$Q$3636,14,FALSE),0)</f>
        <v>2633</v>
      </c>
      <c r="V15" s="23">
        <f t="shared" si="2"/>
        <v>8.6208333797444789E-2</v>
      </c>
      <c r="W15" s="23">
        <f>IFERROR(VLOOKUP(R15,[47]conductor_pz_summary_hftd_23_re!$B$2:$Q$3636,13,FALSE),0)</f>
        <v>1.0024224860167999E-3</v>
      </c>
      <c r="X15" s="73">
        <f>IFERROR(VLOOKUP(R15,conductor_pz_summary_hftd_23_re!$B$2:$N$3636,13,FALSE),0)</f>
        <v>2727</v>
      </c>
      <c r="Y15" s="59">
        <f t="shared" si="6"/>
        <v>2.0645303997595062E-2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v>
      </c>
      <c r="AM15" s="23">
        <v>1056</v>
      </c>
      <c r="AN15" s="23">
        <v>0</v>
      </c>
      <c r="AO15" s="23">
        <v>0</v>
      </c>
      <c r="AP15" s="19"/>
      <c r="AQ15" s="53" t="s">
        <v>5144</v>
      </c>
      <c r="AR15" s="23">
        <v>16737.599999999999</v>
      </c>
      <c r="AS15" s="40">
        <v>3.17</v>
      </c>
      <c r="AT15" s="41">
        <v>4786588</v>
      </c>
      <c r="AU15" s="23" t="s">
        <v>4988</v>
      </c>
      <c r="AV15" s="19">
        <v>0</v>
      </c>
      <c r="AW15" s="19">
        <v>1056</v>
      </c>
      <c r="AX15" s="19">
        <v>17212.8</v>
      </c>
      <c r="AY15" s="23">
        <f t="shared" si="8"/>
        <v>18268.8</v>
      </c>
      <c r="AZ15" s="40">
        <f t="shared" si="7"/>
        <v>3.46</v>
      </c>
      <c r="BA15" s="43">
        <v>14532000</v>
      </c>
      <c r="BB15" s="43"/>
      <c r="BC15" s="43"/>
      <c r="BD15" s="43"/>
      <c r="BE15" s="56" t="s">
        <v>5145</v>
      </c>
      <c r="BF15" s="23"/>
      <c r="BG15" s="23"/>
      <c r="BH15" s="23"/>
      <c r="BI15" s="23"/>
      <c r="BJ15" s="23"/>
      <c r="BK15" s="40"/>
      <c r="BL15" s="44"/>
      <c r="BM15" s="41"/>
      <c r="BN15" s="45"/>
      <c r="BO15" s="19"/>
      <c r="BP15" s="19"/>
      <c r="BQ15" s="19"/>
      <c r="BR15" s="19"/>
      <c r="BS15" s="19"/>
      <c r="BT15" s="19"/>
    </row>
    <row r="16" spans="1:72" s="159" customFormat="1" x14ac:dyDescent="0.25">
      <c r="A16" s="51">
        <v>35144943</v>
      </c>
      <c r="B16" s="36" t="s">
        <v>5508</v>
      </c>
      <c r="C16" s="23"/>
      <c r="D16" s="23" t="s">
        <v>5509</v>
      </c>
      <c r="E16" s="23"/>
      <c r="F16" s="19"/>
      <c r="G16" s="19"/>
      <c r="H16" s="37">
        <v>0.63</v>
      </c>
      <c r="I16" s="37">
        <f t="shared" si="0"/>
        <v>0.63</v>
      </c>
      <c r="J16" s="20">
        <v>2021</v>
      </c>
      <c r="K16" s="37"/>
      <c r="L16" s="37"/>
      <c r="M16" s="23"/>
      <c r="N16" s="21">
        <v>95498.4</v>
      </c>
      <c r="O16" s="23" t="s">
        <v>4870</v>
      </c>
      <c r="P16" s="22">
        <v>83692105</v>
      </c>
      <c r="Q16" s="19" t="s">
        <v>3614</v>
      </c>
      <c r="R16" s="23" t="s">
        <v>3621</v>
      </c>
      <c r="S16" s="38">
        <f>IFERROR(VLOOKUP(R16,[47]conductor_pz_summary_hftd_23_re!$B$2:$Q$3636,8,FALSE),0)</f>
        <v>17</v>
      </c>
      <c r="T16" s="38">
        <f>IFERROR(VLOOKUP(R16,[48]conductor_pz_summary_hftd_23_re!$B$2:$H$3636,7,0),0)/1609</f>
        <v>0.73407339631656932</v>
      </c>
      <c r="U16" s="23">
        <f>IFERROR(VLOOKUP(R16,[47]conductor_pz_summary_hftd_23_re!$B$2:$Q$3636,14,FALSE),0)</f>
        <v>2781</v>
      </c>
      <c r="V16" s="23">
        <f t="shared" si="2"/>
        <v>5.8961084218290549E-3</v>
      </c>
      <c r="W16" s="23">
        <f>IFERROR(VLOOKUP(R16,[47]conductor_pz_summary_hftd_23_re!$B$2:$Q$3636,13,FALSE),0)</f>
        <v>3.4682990716641501E-4</v>
      </c>
      <c r="X16" s="160">
        <f>IFERROR(VLOOKUP(R16,conductor_pz_summary_hftd_23_re!$B$2:$N$3636,13,FALSE),0)</f>
        <v>2817</v>
      </c>
      <c r="Y16" s="182">
        <f t="shared" si="6"/>
        <v>5.009584656176398E-3</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v>
      </c>
      <c r="AN16" s="23">
        <v>0</v>
      </c>
      <c r="AO16" s="23">
        <v>0</v>
      </c>
      <c r="AP16" s="19"/>
      <c r="AQ16" s="53" t="s">
        <v>5149</v>
      </c>
      <c r="AR16" s="23">
        <v>3326.4</v>
      </c>
      <c r="AS16" s="40">
        <v>0.63</v>
      </c>
      <c r="AT16" s="41">
        <v>1574100</v>
      </c>
      <c r="AU16" s="23" t="s">
        <v>4988</v>
      </c>
      <c r="AV16" s="19">
        <v>0</v>
      </c>
      <c r="AW16" s="19">
        <v>2851.2000000000003</v>
      </c>
      <c r="AX16" s="19">
        <v>0</v>
      </c>
      <c r="AY16" s="23">
        <f t="shared" si="8"/>
        <v>2851.2000000000003</v>
      </c>
      <c r="AZ16" s="40">
        <f t="shared" si="7"/>
        <v>0.54</v>
      </c>
      <c r="BA16" s="43">
        <v>2268000</v>
      </c>
      <c r="BB16" s="43"/>
      <c r="BC16" s="43"/>
      <c r="BD16" s="43"/>
      <c r="BE16" s="23"/>
      <c r="BF16" s="23"/>
      <c r="BG16" s="23"/>
      <c r="BH16" s="23"/>
      <c r="BI16" s="23"/>
      <c r="BJ16" s="23"/>
      <c r="BK16" s="40"/>
      <c r="BL16" s="44"/>
      <c r="BM16" s="41"/>
      <c r="BN16" s="45"/>
      <c r="BO16" s="19"/>
      <c r="BP16" s="19"/>
      <c r="BQ16" s="19"/>
      <c r="BR16" s="19"/>
      <c r="BS16" s="19"/>
      <c r="BT16" s="19"/>
    </row>
    <row r="17" spans="1:16383" ht="25.5" x14ac:dyDescent="0.25">
      <c r="A17" s="51">
        <v>35145004</v>
      </c>
      <c r="B17" s="36" t="s">
        <v>5508</v>
      </c>
      <c r="C17" s="23"/>
      <c r="D17" s="23" t="s">
        <v>5509</v>
      </c>
      <c r="E17" s="23"/>
      <c r="F17" s="19"/>
      <c r="G17" s="19"/>
      <c r="H17" s="37">
        <v>0.62</v>
      </c>
      <c r="I17" s="37">
        <f t="shared" si="0"/>
        <v>0.62</v>
      </c>
      <c r="J17" s="20">
        <v>2021</v>
      </c>
      <c r="K17" s="37"/>
      <c r="L17" s="37"/>
      <c r="M17" s="23"/>
      <c r="N17" s="21">
        <v>86709.38</v>
      </c>
      <c r="O17" s="23" t="s">
        <v>5103</v>
      </c>
      <c r="P17" s="22">
        <v>14161106</v>
      </c>
      <c r="Q17" s="19" t="s">
        <v>3635</v>
      </c>
      <c r="R17" s="23" t="s">
        <v>3637</v>
      </c>
      <c r="S17" s="38">
        <f>IFERROR(VLOOKUP(R17,[47]conductor_pz_summary_hftd_23_re!$B$2:$Q$3636,8,FALSE),0)</f>
        <v>60</v>
      </c>
      <c r="T17" s="38">
        <f>IFERROR(VLOOKUP(R17,[48]conductor_pz_summary_hftd_23_re!$B$2:$H$3636,7,0),0)/1609</f>
        <v>1.8254453338489123</v>
      </c>
      <c r="U17" s="23">
        <f>IFERROR(VLOOKUP(R17,[47]conductor_pz_summary_hftd_23_re!$B$2:$Q$3636,14,FALSE),0)</f>
        <v>3259</v>
      </c>
      <c r="V17" s="23">
        <f t="shared" si="2"/>
        <v>3.0956651635938721E-4</v>
      </c>
      <c r="W17" s="23">
        <f>IFERROR(VLOOKUP(R17,[47]conductor_pz_summary_hftd_23_re!$B$2:$Q$3636,13,FALSE),0)</f>
        <v>5.1594419393231201E-6</v>
      </c>
      <c r="X17" s="183">
        <f>IFERROR(VLOOKUP(R17,conductor_pz_summary_hftd_23_re!$B$2:$N$3636,13,FALSE),0)</f>
        <v>2856</v>
      </c>
      <c r="Y17" s="182">
        <f t="shared" si="6"/>
        <v>1.0409072472236448E-4</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v>
      </c>
      <c r="AN17" s="23">
        <v>0</v>
      </c>
      <c r="AO17" s="23">
        <v>0</v>
      </c>
      <c r="AP17" s="19"/>
      <c r="AQ17" s="58" t="s">
        <v>5153</v>
      </c>
      <c r="AR17" s="23">
        <v>2112</v>
      </c>
      <c r="AS17" s="40">
        <v>0.4</v>
      </c>
      <c r="AT17" s="41">
        <v>3720000</v>
      </c>
      <c r="AU17" s="23" t="s">
        <v>4988</v>
      </c>
      <c r="AV17" s="19">
        <v>0</v>
      </c>
      <c r="AW17" s="19">
        <v>4171.2</v>
      </c>
      <c r="AX17" s="19">
        <v>0</v>
      </c>
      <c r="AY17" s="23">
        <f t="shared" si="8"/>
        <v>4171.2</v>
      </c>
      <c r="AZ17" s="40">
        <f t="shared" si="7"/>
        <v>0.78999999999999992</v>
      </c>
      <c r="BA17" s="43">
        <v>3317999.9999999995</v>
      </c>
      <c r="BB17" s="43"/>
      <c r="BC17" s="43"/>
      <c r="BD17" s="43"/>
      <c r="BE17" s="54" t="s">
        <v>5154</v>
      </c>
      <c r="BF17" s="23"/>
      <c r="BG17" s="23"/>
      <c r="BH17" s="23"/>
      <c r="BI17" s="23"/>
      <c r="BJ17" s="23"/>
      <c r="BK17" s="40"/>
      <c r="BL17" s="44"/>
      <c r="BM17" s="41"/>
      <c r="BN17" s="45"/>
      <c r="BO17" s="19"/>
      <c r="BP17" s="19"/>
      <c r="BQ17" s="19"/>
      <c r="BR17" s="19"/>
      <c r="BS17" s="19"/>
      <c r="BT17" s="19"/>
    </row>
    <row r="18" spans="1:16383" x14ac:dyDescent="0.25">
      <c r="A18" s="55">
        <v>35072360</v>
      </c>
      <c r="B18" s="51" t="s">
        <v>5510</v>
      </c>
      <c r="C18" s="23"/>
      <c r="D18" s="23" t="s">
        <v>5509</v>
      </c>
      <c r="E18" s="23"/>
      <c r="F18" s="19"/>
      <c r="G18" s="19"/>
      <c r="H18" s="23">
        <v>1.05</v>
      </c>
      <c r="I18" s="37">
        <f t="shared" si="0"/>
        <v>1.05</v>
      </c>
      <c r="J18" s="20">
        <v>2021</v>
      </c>
      <c r="K18" s="37"/>
      <c r="L18" s="37"/>
      <c r="M18" s="23"/>
      <c r="N18" s="21">
        <v>718998.64</v>
      </c>
      <c r="O18" s="23" t="s">
        <v>4941</v>
      </c>
      <c r="P18" s="22">
        <v>163692102</v>
      </c>
      <c r="Q18" s="19" t="s">
        <v>3663</v>
      </c>
      <c r="R18" s="23" t="s">
        <v>3664</v>
      </c>
      <c r="S18" s="38">
        <f>IFERROR(VLOOKUP(R18,[47]conductor_pz_summary_hftd_23_re!$B$2:$Q$3636,8,FALSE),0)</f>
        <v>256</v>
      </c>
      <c r="T18" s="38">
        <f>IFERROR(VLOOKUP(R18,[48]conductor_pz_summary_hftd_23_re!$B$2:$H$3636,7,0),0)/1609</f>
        <v>17.962540891696708</v>
      </c>
      <c r="U18" s="23">
        <f>IFERROR(VLOOKUP(R18,[47]conductor_pz_summary_hftd_23_re!$B$2:$Q$3636,14,FALSE),0)</f>
        <v>2659</v>
      </c>
      <c r="V18" s="23">
        <f t="shared" si="2"/>
        <v>0.22060872270922624</v>
      </c>
      <c r="W18" s="23">
        <f>IFERROR(VLOOKUP(R18,[47]conductor_pz_summary_hftd_23_re!$B$2:$Q$3636,13,FALSE),0)</f>
        <v>8.61752823082915E-4</v>
      </c>
      <c r="X18" s="183">
        <f>IFERROR(VLOOKUP(R18,conductor_pz_summary_hftd_23_re!$B$2:$N$3636,13,FALSE),0)</f>
        <v>2600</v>
      </c>
      <c r="Y18" s="182">
        <f t="shared" si="6"/>
        <v>8.6401048360414297E-3</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s="56" t="s">
        <v>4980</v>
      </c>
      <c r="AR18" s="23">
        <v>7708.8</v>
      </c>
      <c r="AS18" s="40">
        <v>1.46</v>
      </c>
      <c r="AT18" s="41">
        <v>1574171</v>
      </c>
      <c r="AU18" s="56" t="s">
        <v>4981</v>
      </c>
      <c r="AV18" s="19">
        <v>0</v>
      </c>
      <c r="AW18" s="19">
        <v>0</v>
      </c>
      <c r="AX18" s="19">
        <v>5305</v>
      </c>
      <c r="AY18" s="23">
        <f t="shared" si="8"/>
        <v>5305</v>
      </c>
      <c r="AZ18" s="40">
        <f t="shared" si="7"/>
        <v>1.0047348484848484</v>
      </c>
      <c r="BA18" s="43">
        <v>1929090.9090909089</v>
      </c>
      <c r="BB18" s="190"/>
      <c r="BC18" s="194"/>
      <c r="BD18" s="191">
        <f>IFERROR(BC18/BB18,0)</f>
        <v>0</v>
      </c>
      <c r="BE18" s="54" t="s">
        <v>4982</v>
      </c>
      <c r="BF18" s="54"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16383" ht="25.5" x14ac:dyDescent="0.25">
      <c r="A19" s="51">
        <v>35144944</v>
      </c>
      <c r="B19" s="36" t="s">
        <v>5508</v>
      </c>
      <c r="C19" s="23"/>
      <c r="D19" s="23" t="s">
        <v>5509</v>
      </c>
      <c r="E19" s="23"/>
      <c r="F19" s="19"/>
      <c r="G19" s="19"/>
      <c r="H19" s="37">
        <v>0.26</v>
      </c>
      <c r="I19" s="37">
        <f t="shared" si="0"/>
        <v>0.26</v>
      </c>
      <c r="J19" s="20">
        <v>2021</v>
      </c>
      <c r="K19" s="37"/>
      <c r="L19" s="37"/>
      <c r="M19" s="23"/>
      <c r="N19" s="21">
        <v>118187.81</v>
      </c>
      <c r="O19" s="23" t="s">
        <v>5103</v>
      </c>
      <c r="P19" s="22">
        <v>22721107</v>
      </c>
      <c r="Q19" s="19" t="s">
        <v>4106</v>
      </c>
      <c r="R19" s="23" t="s">
        <v>4109</v>
      </c>
      <c r="S19" s="38">
        <f>IFERROR(VLOOKUP(R19,[47]conductor_pz_summary_hftd_23_re!$B$2:$Q$3636,8,FALSE),0)</f>
        <v>45</v>
      </c>
      <c r="T19" s="38">
        <f>IFERROR(VLOOKUP(R19,[48]conductor_pz_summary_hftd_23_re!$B$2:$H$3636,7,0),0)/1609</f>
        <v>1.0037640759405717</v>
      </c>
      <c r="U19" s="23">
        <f>IFERROR(VLOOKUP(R19,[47]conductor_pz_summary_hftd_23_re!$B$2:$Q$3636,14,FALSE),0)</f>
        <v>2336</v>
      </c>
      <c r="V19" s="23">
        <f t="shared" si="2"/>
        <v>0.14044579007855446</v>
      </c>
      <c r="W19" s="23">
        <f>IFERROR(VLOOKUP(R19,[47]conductor_pz_summary_hftd_23_re!$B$2:$Q$3636,13,FALSE),0)</f>
        <v>3.1210175573012102E-3</v>
      </c>
      <c r="X19" s="183">
        <f>IFERROR(VLOOKUP(R19,conductor_pz_summary_hftd_23_re!$B$2:$N$3636,13,FALSE),0)</f>
        <v>2144</v>
      </c>
      <c r="Y19" s="182">
        <f t="shared" si="6"/>
        <v>3.6015182484335329E-2</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v>
      </c>
      <c r="AN19" s="23">
        <v>0</v>
      </c>
      <c r="AO19" s="23">
        <v>0</v>
      </c>
      <c r="AP19" s="19"/>
      <c r="AQ19" s="58" t="s">
        <v>5127</v>
      </c>
      <c r="AR19" s="23">
        <v>739.2</v>
      </c>
      <c r="AS19" s="40">
        <v>0.14000000000000001</v>
      </c>
      <c r="AT19" s="41">
        <v>738936</v>
      </c>
      <c r="AU19" s="23" t="s">
        <v>4988</v>
      </c>
      <c r="AV19" s="19">
        <v>0</v>
      </c>
      <c r="AW19" s="19">
        <v>739.2</v>
      </c>
      <c r="AX19" s="19">
        <v>0</v>
      </c>
      <c r="AY19" s="23">
        <f t="shared" si="8"/>
        <v>739.2</v>
      </c>
      <c r="AZ19" s="40">
        <f t="shared" si="7"/>
        <v>0.14000000000000001</v>
      </c>
      <c r="BA19" s="43">
        <v>588000</v>
      </c>
      <c r="BB19" s="43"/>
      <c r="BC19" s="43"/>
      <c r="BD19" s="43"/>
      <c r="BE19" s="54" t="s">
        <v>5128</v>
      </c>
      <c r="BF19" s="23"/>
      <c r="BG19" s="23"/>
      <c r="BH19" s="23"/>
      <c r="BI19" s="23"/>
      <c r="BJ19" s="23"/>
      <c r="BK19" s="40"/>
      <c r="BL19" s="44"/>
      <c r="BM19" s="41"/>
      <c r="BN19" s="45"/>
      <c r="BO19" s="19"/>
      <c r="BP19" s="19"/>
      <c r="BQ19" s="19"/>
      <c r="BR19" s="19"/>
      <c r="BS19" s="19"/>
      <c r="BT19" s="19"/>
    </row>
    <row r="20" spans="1:16383" x14ac:dyDescent="0.25">
      <c r="A20" s="51">
        <v>35145006</v>
      </c>
      <c r="B20" s="36" t="s">
        <v>5508</v>
      </c>
      <c r="C20" s="23"/>
      <c r="D20" s="23" t="s">
        <v>5509</v>
      </c>
      <c r="E20" s="23"/>
      <c r="F20" s="19"/>
      <c r="G20" s="19"/>
      <c r="H20" s="37">
        <v>0.27</v>
      </c>
      <c r="I20" s="37">
        <f t="shared" si="0"/>
        <v>0.27</v>
      </c>
      <c r="J20" s="20">
        <v>2021</v>
      </c>
      <c r="K20" s="37"/>
      <c r="L20" s="37"/>
      <c r="M20" s="23"/>
      <c r="N20" s="21">
        <v>126808.89</v>
      </c>
      <c r="O20" s="23" t="s">
        <v>4870</v>
      </c>
      <c r="P20" s="22">
        <v>43201101</v>
      </c>
      <c r="Q20" s="19" t="s">
        <v>4190</v>
      </c>
      <c r="R20" s="23" t="s">
        <v>4194</v>
      </c>
      <c r="S20" s="38">
        <f>IFERROR(VLOOKUP(R20,[47]conductor_pz_summary_hftd_23_re!$B$2:$Q$3636,8,FALSE),0)</f>
        <v>81</v>
      </c>
      <c r="T20" s="38">
        <f>IFERROR(VLOOKUP(R20,[48]conductor_pz_summary_hftd_23_re!$B$2:$H$3636,7,0),0)/1609</f>
        <v>1.0766241037077999</v>
      </c>
      <c r="U20" s="23">
        <f>IFERROR(VLOOKUP(R20,[47]conductor_pz_summary_hftd_23_re!$B$2:$Q$3636,14,FALSE),0)</f>
        <v>3483</v>
      </c>
      <c r="V20" s="23">
        <f t="shared" si="2"/>
        <v>1.8614694351852494E-4</v>
      </c>
      <c r="W20" s="23">
        <f>IFERROR(VLOOKUP(R20,[47]conductor_pz_summary_hftd_23_re!$B$2:$Q$3636,13,FALSE),0)</f>
        <v>2.29811041380895E-6</v>
      </c>
      <c r="X20" s="183">
        <f>IFERROR(VLOOKUP(R20,conductor_pz_summary_hftd_23_re!$B$2:$N$3636,13,FALSE),0)</f>
        <v>3428</v>
      </c>
      <c r="Y20" s="182">
        <f t="shared" si="6"/>
        <v>4.6215831348325444E-5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v>
      </c>
      <c r="AN20" s="23">
        <v>0</v>
      </c>
      <c r="AO20" s="23">
        <v>0</v>
      </c>
      <c r="AP20" s="19"/>
      <c r="AQ20" s="57" t="s">
        <v>5169</v>
      </c>
      <c r="AR20" s="23">
        <v>1425.6000000000001</v>
      </c>
      <c r="AS20" s="40">
        <v>0.27</v>
      </c>
      <c r="AT20" s="41">
        <v>2500000</v>
      </c>
      <c r="AU20" s="23" t="s">
        <v>4988</v>
      </c>
      <c r="AV20" s="19">
        <v>0</v>
      </c>
      <c r="AW20" s="19">
        <v>1425.6000000000001</v>
      </c>
      <c r="AX20" s="19">
        <v>0</v>
      </c>
      <c r="AY20" s="23">
        <f t="shared" si="8"/>
        <v>1425.6000000000001</v>
      </c>
      <c r="AZ20" s="40">
        <f t="shared" si="7"/>
        <v>0.27</v>
      </c>
      <c r="BA20" s="43">
        <v>1134000</v>
      </c>
      <c r="BB20" s="43"/>
      <c r="BC20" s="43"/>
      <c r="BD20" s="43"/>
      <c r="BE20" s="53" t="s">
        <v>5170</v>
      </c>
      <c r="BF20" s="23"/>
      <c r="BG20" s="23"/>
      <c r="BH20" s="23"/>
      <c r="BI20" s="23"/>
      <c r="BJ20" s="23"/>
      <c r="BK20" s="40"/>
      <c r="BL20" s="44"/>
      <c r="BM20" s="41"/>
      <c r="BN20" s="45"/>
      <c r="BO20" s="19"/>
      <c r="BP20" s="19"/>
      <c r="BQ20" s="19"/>
      <c r="BR20" s="19"/>
      <c r="BS20" s="19"/>
      <c r="BT20" s="19"/>
    </row>
  </sheetData>
  <conditionalFormatting sqref="A9">
    <cfRule type="duplicateValues" dxfId="30" priority="28"/>
  </conditionalFormatting>
  <conditionalFormatting sqref="A9">
    <cfRule type="duplicateValues" dxfId="29" priority="29"/>
  </conditionalFormatting>
  <conditionalFormatting sqref="A9">
    <cfRule type="duplicateValues" dxfId="28" priority="30"/>
  </conditionalFormatting>
  <conditionalFormatting sqref="A9">
    <cfRule type="duplicateValues" dxfId="27" priority="31"/>
  </conditionalFormatting>
  <conditionalFormatting sqref="AJ9">
    <cfRule type="duplicateValues" dxfId="26" priority="25"/>
  </conditionalFormatting>
  <conditionalFormatting sqref="AJ9">
    <cfRule type="duplicateValues" dxfId="25" priority="26"/>
  </conditionalFormatting>
  <conditionalFormatting sqref="AJ9">
    <cfRule type="duplicateValues" dxfId="24" priority="27"/>
  </conditionalFormatting>
  <conditionalFormatting sqref="A10">
    <cfRule type="duplicateValues" dxfId="23" priority="21"/>
  </conditionalFormatting>
  <conditionalFormatting sqref="A10">
    <cfRule type="duplicateValues" dxfId="22" priority="22"/>
  </conditionalFormatting>
  <conditionalFormatting sqref="A10">
    <cfRule type="duplicateValues" dxfId="21" priority="23"/>
  </conditionalFormatting>
  <conditionalFormatting sqref="A10">
    <cfRule type="duplicateValues" dxfId="20" priority="24"/>
  </conditionalFormatting>
  <conditionalFormatting sqref="AJ10">
    <cfRule type="duplicateValues" dxfId="19" priority="18"/>
  </conditionalFormatting>
  <conditionalFormatting sqref="AJ10">
    <cfRule type="duplicateValues" dxfId="18" priority="19"/>
  </conditionalFormatting>
  <conditionalFormatting sqref="AJ10">
    <cfRule type="duplicateValues" dxfId="17" priority="20"/>
  </conditionalFormatting>
  <conditionalFormatting sqref="A11">
    <cfRule type="duplicateValues" dxfId="16" priority="14"/>
  </conditionalFormatting>
  <conditionalFormatting sqref="A11">
    <cfRule type="duplicateValues" dxfId="15" priority="15"/>
  </conditionalFormatting>
  <conditionalFormatting sqref="A11">
    <cfRule type="duplicateValues" dxfId="14" priority="16"/>
  </conditionalFormatting>
  <conditionalFormatting sqref="A11">
    <cfRule type="duplicateValues" dxfId="13" priority="17"/>
  </conditionalFormatting>
  <conditionalFormatting sqref="AJ11">
    <cfRule type="duplicateValues" dxfId="12" priority="11"/>
  </conditionalFormatting>
  <conditionalFormatting sqref="AJ11">
    <cfRule type="duplicateValues" dxfId="11" priority="12"/>
  </conditionalFormatting>
  <conditionalFormatting sqref="AJ11">
    <cfRule type="duplicateValues" dxfId="10" priority="13"/>
  </conditionalFormatting>
  <conditionalFormatting sqref="A17 A19:A20 A2">
    <cfRule type="duplicateValues" dxfId="9" priority="9"/>
  </conditionalFormatting>
  <conditionalFormatting sqref="A17 A19:A20 A2">
    <cfRule type="duplicateValues" dxfId="8" priority="10"/>
  </conditionalFormatting>
  <conditionalFormatting sqref="AJ17 AL17 AJ2">
    <cfRule type="duplicateValues" dxfId="7" priority="7"/>
  </conditionalFormatting>
  <conditionalFormatting sqref="AJ17 AL17 AJ2">
    <cfRule type="duplicateValues" dxfId="6" priority="8"/>
  </conditionalFormatting>
  <conditionalFormatting sqref="AJ19">
    <cfRule type="duplicateValues" dxfId="5" priority="5"/>
  </conditionalFormatting>
  <conditionalFormatting sqref="AJ19">
    <cfRule type="duplicateValues" dxfId="4" priority="6"/>
  </conditionalFormatting>
  <conditionalFormatting sqref="A18">
    <cfRule type="duplicateValues" dxfId="3" priority="3"/>
  </conditionalFormatting>
  <conditionalFormatting sqref="A18">
    <cfRule type="duplicateValues" dxfId="2" priority="4"/>
  </conditionalFormatting>
  <conditionalFormatting sqref="AH18 AJ18">
    <cfRule type="duplicateValues" dxfId="1" priority="1"/>
  </conditionalFormatting>
  <conditionalFormatting sqref="AH18 AJ18">
    <cfRule type="duplicateValues" dxfId="0" priority="2"/>
  </conditionalFormatting>
  <hyperlinks>
    <hyperlink ref="AQ18" r:id="rId1" display="http://www/edrs/pr/DisplayPRRef.asp?idEDR=1018937&amp;refDoc=2019-35904" xr:uid="{4A4A8EB3-CB2E-4DC8-8AE4-18C79D82AFA7}"/>
    <hyperlink ref="AU18" r:id="rId2" display="http://www/edrs/pr/DisplayPR.asp?idEDR=1094076" xr:uid="{BB33F473-A7F6-432E-AEFB-73B0E7F26E6C}"/>
    <hyperlink ref="BE18" r:id="rId3" display="http://www/edrs/pr/DisplayPR.asp?idEDR=1122550" xr:uid="{53AD185C-239F-4484-BF46-AC0EE6CA393C}"/>
    <hyperlink ref="BF18" r:id="rId4" display="http://www/edrs/pr/DisplayPR.asp?idEDR=1186278" xr:uid="{266B5148-4A06-4E2A-AF55-B68B666C7351}"/>
    <hyperlink ref="AQ9" r:id="rId5" display="http://www/edrs/pr/DisplayPR.asp?idEDR=1015664" xr:uid="{F989A57E-29B5-4C40-895B-1C97A93708F8}"/>
    <hyperlink ref="AU9" r:id="rId6" display="http://www/edrs/pr/DisplayPR.asp?idEDR=1086933" xr:uid="{1357B8BE-344F-4CFE-8EFA-F70CECC04FF0}"/>
    <hyperlink ref="BE9" r:id="rId7" display="http://www/edrs/pr/DisplayPR.asp?idEDR=1097546" xr:uid="{6C5DA4DB-D8F8-40B6-BFB4-004028DB1669}"/>
    <hyperlink ref="BF9" r:id="rId8" display="http://www/edrs/pr/DisplayPR.asp?idEDR=1166495" xr:uid="{E37D0D5C-9D63-4ED5-B0BD-570928DB95C1}"/>
    <hyperlink ref="AQ11" r:id="rId9" display="http://www/edrs/pr/DisplayPR.asp?idEDR=1138843" xr:uid="{599E9042-5805-453C-9724-61E0895338C7}"/>
    <hyperlink ref="BE11" r:id="rId10" display="http://www/edrs/pr/DisplayPR.asp?idEDR=1179183" xr:uid="{68A66F67-4B93-408E-9F70-041675DC2F09}"/>
    <hyperlink ref="AQ12" r:id="rId11" display="http://www/edrs/pr/DisplayPR.asp?idEDR=1137321" xr:uid="{D3F336AD-4569-457D-BC90-668F2D5F1440}"/>
    <hyperlink ref="AQ19" r:id="rId12" display="http://www/edrs/pr/DisplayPR.asp?idEDR=1137049" xr:uid="{D1370E8D-07B6-46B2-8AFF-053A292D2D3A}"/>
    <hyperlink ref="BE19" r:id="rId13" display="http://www/edrs/pr/DisplayPR.asp?idEDR=1159397" xr:uid="{67961924-4B9F-499A-B795-F2A9831885F4}"/>
    <hyperlink ref="AQ13" r:id="rId14" display="http://www/edrs/pr/DisplayPR.asp?idEDR=1137124" xr:uid="{F33C7062-B653-42C0-9BE4-9D31FDA717CD}"/>
    <hyperlink ref="AQ14" r:id="rId15" display="http://www/edrs/pr/DisplayPR.asp?idEDR=1137132" xr:uid="{25890000-BDD4-4268-881F-FBEEB235C2F1}"/>
    <hyperlink ref="BE14" r:id="rId16" display="http://www/edrs/pr/DisplayPR.asp?idEDR=1174199" xr:uid="{2149980E-FA1F-4614-B5F5-56BD579DF1E5}"/>
    <hyperlink ref="AQ15" r:id="rId17" display="http://www/edrs/pr/DisplayPR.asp?idEDR=1147914" xr:uid="{A33197CC-C1D1-45C1-A35F-0B6644A27FB5}"/>
    <hyperlink ref="BE15" r:id="rId18" display="http://www/edrs/pr/DisplayPR.asp?idEDR=1186444" xr:uid="{9DF8D9CA-A457-4147-933C-FD5099E3B4C3}"/>
    <hyperlink ref="AQ16" r:id="rId19" display="http://www/edrs/pr/DisplayPR.asp?idEDR=1144134" xr:uid="{E21F3D23-D8A9-45E0-B305-FC86ADC9A53F}"/>
    <hyperlink ref="AQ17" r:id="rId20" display="http://www/edrs/pr/DisplayPR.asp?idEDR=1137194" xr:uid="{ADE41341-43F5-4529-85DC-D0007FD90E60}"/>
    <hyperlink ref="BE17" r:id="rId21" display="http://www/edrs/pr/DisplayPR.asp?idEDR=1171859" xr:uid="{D19100D4-215D-44A0-B7FD-050E337D88E5}"/>
    <hyperlink ref="AQ20" r:id="rId22" display="http://www/edrs/pr/DisplayPR.asp?idEDR=1137214" xr:uid="{C4D5FA2F-152B-4833-8783-161CB0488EC2}"/>
    <hyperlink ref="BE20" r:id="rId23" display="http://www/edrs/pr/DisplayPR.asp?idEDR=1191717" xr:uid="{A704A8E3-D838-4397-AB9E-3532A015B3DB}"/>
    <hyperlink ref="AQ7" r:id="rId24" display="http://www/edrs/pr/DisplayPR.asp?idEDR=1228894" xr:uid="{FAD680FD-9D60-40B4-A8BB-E8D579C7D1B3}"/>
    <hyperlink ref="AQ6" r:id="rId25" display="http://www/edrs/pr/DisplayPR.asp?idEDR=1228904" xr:uid="{948858E6-09BD-432F-9457-2A5ACFB3D84E}"/>
    <hyperlink ref="AQ3" r:id="rId26" display="http://www/edrs/pr/DisplayPR.asp?idEDR=1228916" xr:uid="{7996D50B-4145-44FA-B70D-9D2AF52D8F95}"/>
    <hyperlink ref="AQ2" r:id="rId27" display="http://www.utility.pge.com/edrs/pr/DisplayPR.asp?idEDR=1229869" xr:uid="{C4DBBD19-711E-4673-B008-8AE795EE462E}"/>
    <hyperlink ref="AQ8" r:id="rId28" display="http://www/edrs/pr/DisplayPR.asp?idEDR=1230541" xr:uid="{0FAA4862-1D18-4A1E-AF26-507337DEA67B}"/>
    <hyperlink ref="AU6" r:id="rId29" display="http://www.utility.pge.com/edrs/pr/DisplayPR.asp?idEDR=1233267" xr:uid="{3FE02141-3675-4C76-BDB0-6DA7DBBA4986}"/>
    <hyperlink ref="AU7" r:id="rId30" display="http://www.utility.pge.com/edrs/pr/DisplayPR.asp?idEDR=1233274" xr:uid="{9ECFED17-9283-4597-9ADE-22C1E7D2D6EE}"/>
    <hyperlink ref="AU8" r:id="rId31" display="http://www/edrs/pr/DisplayPR.asp?idEDR=1236691" xr:uid="{8A84F390-92BD-4CC5-8C4A-1F1DFF64D17C}"/>
  </hyperlinks>
  <pageMargins left="0.7" right="0.7" top="0.75" bottom="0.75" header="0.3" footer="0.3"/>
  <legacyDrawing r:id="rId3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5546875" defaultRowHeight="12" outlineLevelCol="1" x14ac:dyDescent="0.2"/>
  <cols>
    <col min="1" max="1" width="10.5703125" style="122" customWidth="1"/>
    <col min="2" max="2" width="8.85546875" style="122" customWidth="1"/>
    <col min="3" max="3" width="10.5703125" style="122" hidden="1" customWidth="1" outlineLevel="1"/>
    <col min="4" max="4" width="34.140625" style="122" customWidth="1" collapsed="1"/>
    <col min="5" max="5" width="12.85546875" style="123" bestFit="1" customWidth="1"/>
    <col min="6" max="6" width="11.7109375" style="122" customWidth="1"/>
    <col min="7" max="7" width="8" style="122" customWidth="1"/>
    <col min="8" max="8" width="10.7109375" style="122" customWidth="1"/>
    <col min="9" max="9" width="16.7109375" style="122" customWidth="1"/>
    <col min="10" max="10" width="10.28515625" style="122" customWidth="1"/>
    <col min="11" max="11" width="7.28515625" style="122" customWidth="1"/>
    <col min="12" max="12" width="10.7109375" style="125" customWidth="1"/>
    <col min="13" max="13" width="10.42578125" style="123" customWidth="1"/>
    <col min="14" max="14" width="14" style="125" customWidth="1"/>
    <col min="15" max="15" width="42.7109375" style="126" customWidth="1"/>
    <col min="16" max="16" width="40.7109375" style="122" customWidth="1"/>
    <col min="17" max="17" width="17.28515625" style="126" customWidth="1" collapsed="1"/>
    <col min="18" max="18" width="9.7109375" style="123" customWidth="1"/>
    <col min="19" max="19" width="31.5703125" style="122" customWidth="1"/>
    <col min="20" max="16384" width="8.85546875" style="122"/>
  </cols>
  <sheetData>
    <row r="1" spans="1:19" ht="22.9" customHeight="1" x14ac:dyDescent="0.2">
      <c r="A1" s="121" t="s">
        <v>5642</v>
      </c>
      <c r="B1" s="121"/>
      <c r="L1" s="124"/>
    </row>
    <row r="2" spans="1:19" ht="52.9" customHeight="1" x14ac:dyDescent="0.2">
      <c r="A2" s="127" t="s">
        <v>5643</v>
      </c>
      <c r="B2" s="128" t="s">
        <v>5644</v>
      </c>
      <c r="C2" s="128" t="s">
        <v>5645</v>
      </c>
      <c r="D2" s="128" t="s">
        <v>5646</v>
      </c>
      <c r="E2" s="129" t="s">
        <v>5647</v>
      </c>
      <c r="F2" s="128" t="s">
        <v>5623</v>
      </c>
      <c r="G2" s="128" t="s">
        <v>5648</v>
      </c>
      <c r="H2" s="128" t="s">
        <v>5649</v>
      </c>
      <c r="I2" s="128" t="s">
        <v>4824</v>
      </c>
      <c r="J2" s="128" t="s">
        <v>5650</v>
      </c>
      <c r="K2" s="130" t="s">
        <v>5651</v>
      </c>
      <c r="L2" s="131" t="s">
        <v>5652</v>
      </c>
      <c r="M2" s="129" t="s">
        <v>5653</v>
      </c>
      <c r="N2" s="129" t="s">
        <v>5654</v>
      </c>
      <c r="O2" s="127" t="s">
        <v>5655</v>
      </c>
      <c r="P2" s="127" t="s">
        <v>5656</v>
      </c>
      <c r="Q2" s="127" t="s">
        <v>5657</v>
      </c>
      <c r="R2" s="129" t="s">
        <v>5658</v>
      </c>
      <c r="S2" s="127" t="s">
        <v>5659</v>
      </c>
    </row>
    <row r="3" spans="1:19" s="142" customFormat="1" ht="72" customHeight="1" x14ac:dyDescent="0.25">
      <c r="A3" s="132">
        <v>3</v>
      </c>
      <c r="B3" s="132" t="s">
        <v>5660</v>
      </c>
      <c r="C3" s="132" t="s">
        <v>5661</v>
      </c>
      <c r="D3" s="133" t="s">
        <v>5662</v>
      </c>
      <c r="E3" s="134">
        <v>3</v>
      </c>
      <c r="F3" s="135" t="s">
        <v>4887</v>
      </c>
      <c r="G3" s="135" t="s">
        <v>4903</v>
      </c>
      <c r="H3" s="135" t="s">
        <v>5663</v>
      </c>
      <c r="I3" s="135" t="s">
        <v>3366</v>
      </c>
      <c r="J3" s="135"/>
      <c r="K3" s="136">
        <v>0.14204539979753789</v>
      </c>
      <c r="L3" s="137" t="s">
        <v>5664</v>
      </c>
      <c r="M3" s="138" t="s">
        <v>5665</v>
      </c>
      <c r="N3" s="134"/>
      <c r="O3" s="133" t="s">
        <v>5666</v>
      </c>
      <c r="P3" s="139" t="s">
        <v>5667</v>
      </c>
      <c r="Q3" s="139" t="s">
        <v>5668</v>
      </c>
      <c r="R3" s="140"/>
      <c r="S3" s="141" t="s">
        <v>5669</v>
      </c>
    </row>
    <row r="4" spans="1:19" s="142" customFormat="1" ht="111.6" customHeight="1" x14ac:dyDescent="0.25">
      <c r="A4" s="132">
        <v>3</v>
      </c>
      <c r="B4" s="132" t="s">
        <v>5670</v>
      </c>
      <c r="C4" s="135" t="s">
        <v>5671</v>
      </c>
      <c r="D4" s="135" t="s">
        <v>5672</v>
      </c>
      <c r="E4" s="138">
        <v>1</v>
      </c>
      <c r="F4" s="135" t="s">
        <v>5210</v>
      </c>
      <c r="G4" s="135" t="s">
        <v>4871</v>
      </c>
      <c r="H4" s="135" t="s">
        <v>5673</v>
      </c>
      <c r="I4" s="135" t="s">
        <v>4762</v>
      </c>
      <c r="J4" s="135"/>
      <c r="K4" s="136">
        <v>0.29042154513446972</v>
      </c>
      <c r="L4" s="143" t="s">
        <v>5664</v>
      </c>
      <c r="M4" s="138" t="s">
        <v>5665</v>
      </c>
      <c r="N4" s="134"/>
      <c r="O4" s="133" t="s">
        <v>5674</v>
      </c>
      <c r="P4" s="139" t="s">
        <v>5675</v>
      </c>
      <c r="Q4" s="139" t="s">
        <v>5668</v>
      </c>
      <c r="R4" s="140"/>
      <c r="S4" s="141" t="s">
        <v>5676</v>
      </c>
    </row>
    <row r="5" spans="1:19" s="142" customFormat="1" ht="72" customHeight="1" x14ac:dyDescent="0.25">
      <c r="A5" s="132">
        <v>3</v>
      </c>
      <c r="B5" s="132" t="s">
        <v>5677</v>
      </c>
      <c r="C5" s="135" t="s">
        <v>5678</v>
      </c>
      <c r="D5" s="135" t="s">
        <v>5679</v>
      </c>
      <c r="E5" s="138">
        <v>1</v>
      </c>
      <c r="F5" s="135" t="s">
        <v>5210</v>
      </c>
      <c r="G5" s="135" t="s">
        <v>4903</v>
      </c>
      <c r="H5" s="135" t="s">
        <v>5680</v>
      </c>
      <c r="I5" s="135" t="s">
        <v>1013</v>
      </c>
      <c r="J5" s="135"/>
      <c r="K5" s="136">
        <v>0.26682571005681821</v>
      </c>
      <c r="L5" s="143" t="s">
        <v>5664</v>
      </c>
      <c r="M5" s="138" t="s">
        <v>5665</v>
      </c>
      <c r="N5" s="134"/>
      <c r="O5" s="133" t="s">
        <v>5681</v>
      </c>
      <c r="P5" s="139" t="s">
        <v>5682</v>
      </c>
      <c r="Q5" s="139" t="s">
        <v>5668</v>
      </c>
      <c r="R5" s="140"/>
      <c r="S5" s="141" t="s">
        <v>5683</v>
      </c>
    </row>
    <row r="6" spans="1:19" s="142" customFormat="1" ht="72" customHeight="1" x14ac:dyDescent="0.25">
      <c r="A6" s="132">
        <v>3</v>
      </c>
      <c r="B6" s="132" t="s">
        <v>5684</v>
      </c>
      <c r="C6" s="135" t="s">
        <v>5685</v>
      </c>
      <c r="D6" s="135" t="s">
        <v>5686</v>
      </c>
      <c r="E6" s="138">
        <v>1</v>
      </c>
      <c r="F6" s="135" t="s">
        <v>5210</v>
      </c>
      <c r="G6" s="135" t="s">
        <v>4903</v>
      </c>
      <c r="H6" s="135" t="s">
        <v>5687</v>
      </c>
      <c r="I6" s="135" t="s">
        <v>762</v>
      </c>
      <c r="J6" s="135"/>
      <c r="K6" s="136">
        <v>0.13742677698352274</v>
      </c>
      <c r="L6" s="143" t="s">
        <v>5664</v>
      </c>
      <c r="M6" s="138" t="s">
        <v>5665</v>
      </c>
      <c r="N6" s="134"/>
      <c r="O6" s="133" t="s">
        <v>5688</v>
      </c>
      <c r="P6" s="139" t="s">
        <v>5689</v>
      </c>
      <c r="Q6" s="139" t="s">
        <v>5668</v>
      </c>
      <c r="R6" s="140"/>
      <c r="S6" s="141" t="s">
        <v>5690</v>
      </c>
    </row>
    <row r="7" spans="1:19" s="142" customFormat="1" ht="78.599999999999994" customHeight="1" x14ac:dyDescent="0.25">
      <c r="A7" s="132">
        <v>3</v>
      </c>
      <c r="B7" s="132" t="s">
        <v>5691</v>
      </c>
      <c r="C7" s="135" t="s">
        <v>5692</v>
      </c>
      <c r="D7" s="135" t="s">
        <v>5693</v>
      </c>
      <c r="E7" s="138">
        <v>1</v>
      </c>
      <c r="F7" s="135" t="s">
        <v>5210</v>
      </c>
      <c r="G7" s="135" t="s">
        <v>4903</v>
      </c>
      <c r="H7" s="135" t="s">
        <v>5687</v>
      </c>
      <c r="I7" s="135" t="s">
        <v>762</v>
      </c>
      <c r="J7" s="135"/>
      <c r="K7" s="136">
        <v>0.10501611966723486</v>
      </c>
      <c r="L7" s="143" t="s">
        <v>5664</v>
      </c>
      <c r="M7" s="138" t="s">
        <v>5665</v>
      </c>
      <c r="N7" s="134"/>
      <c r="O7" s="133" t="s">
        <v>5694</v>
      </c>
      <c r="P7" s="139" t="s">
        <v>5695</v>
      </c>
      <c r="Q7" s="139" t="s">
        <v>5668</v>
      </c>
      <c r="R7" s="140"/>
      <c r="S7" s="141" t="s">
        <v>5696</v>
      </c>
    </row>
    <row r="8" spans="1:19" s="142" customFormat="1" ht="60" x14ac:dyDescent="0.25">
      <c r="A8" s="132">
        <v>4</v>
      </c>
      <c r="B8" s="132" t="s">
        <v>5697</v>
      </c>
      <c r="C8" s="135" t="s">
        <v>5698</v>
      </c>
      <c r="D8" s="135" t="s">
        <v>5699</v>
      </c>
      <c r="E8" s="138">
        <v>1</v>
      </c>
      <c r="F8" s="135" t="s">
        <v>5210</v>
      </c>
      <c r="G8" s="135" t="s">
        <v>4903</v>
      </c>
      <c r="H8" s="135" t="s">
        <v>5700</v>
      </c>
      <c r="I8" s="135" t="s">
        <v>1119</v>
      </c>
      <c r="J8" s="135"/>
      <c r="K8" s="136">
        <v>9.6354929379166676E-2</v>
      </c>
      <c r="L8" s="143" t="s">
        <v>5664</v>
      </c>
      <c r="M8" s="138" t="s">
        <v>5665</v>
      </c>
      <c r="N8" s="134"/>
      <c r="O8" s="133" t="s">
        <v>5701</v>
      </c>
      <c r="P8" s="139" t="s">
        <v>5702</v>
      </c>
      <c r="Q8" s="139" t="s">
        <v>5668</v>
      </c>
      <c r="R8" s="140"/>
      <c r="S8" s="141" t="s">
        <v>5703</v>
      </c>
    </row>
    <row r="9" spans="1:19" s="142" customFormat="1" ht="50.45" customHeight="1" x14ac:dyDescent="0.25">
      <c r="A9" s="132">
        <v>3</v>
      </c>
      <c r="B9" s="132" t="s">
        <v>5704</v>
      </c>
      <c r="C9" s="135" t="s">
        <v>5705</v>
      </c>
      <c r="D9" s="135" t="s">
        <v>5706</v>
      </c>
      <c r="E9" s="138">
        <v>1</v>
      </c>
      <c r="F9" s="135" t="s">
        <v>5210</v>
      </c>
      <c r="G9" s="135" t="s">
        <v>4871</v>
      </c>
      <c r="H9" s="135" t="s">
        <v>5700</v>
      </c>
      <c r="I9" s="135" t="s">
        <v>1119</v>
      </c>
      <c r="J9" s="135"/>
      <c r="K9" s="136">
        <v>4.5926753051515154E-2</v>
      </c>
      <c r="L9" s="143" t="s">
        <v>5664</v>
      </c>
      <c r="M9" s="138" t="s">
        <v>5665</v>
      </c>
      <c r="N9" s="134"/>
      <c r="O9" s="133" t="s">
        <v>5707</v>
      </c>
      <c r="P9" s="139" t="s">
        <v>5708</v>
      </c>
      <c r="Q9" s="139" t="s">
        <v>5668</v>
      </c>
      <c r="R9" s="140"/>
      <c r="S9" s="141" t="s">
        <v>5709</v>
      </c>
    </row>
    <row r="10" spans="1:19" s="142" customFormat="1" ht="72" customHeight="1" x14ac:dyDescent="0.25">
      <c r="A10" s="132">
        <v>2</v>
      </c>
      <c r="B10" s="132" t="s">
        <v>5710</v>
      </c>
      <c r="C10" s="135" t="s">
        <v>5711</v>
      </c>
      <c r="D10" s="135" t="s">
        <v>5712</v>
      </c>
      <c r="E10" s="138">
        <v>1</v>
      </c>
      <c r="F10" s="135" t="s">
        <v>5210</v>
      </c>
      <c r="G10" s="135" t="s">
        <v>4903</v>
      </c>
      <c r="H10" s="135" t="s">
        <v>5700</v>
      </c>
      <c r="I10" s="135" t="s">
        <v>1119</v>
      </c>
      <c r="J10" s="135"/>
      <c r="K10" s="136">
        <v>0.18721347803219698</v>
      </c>
      <c r="L10" s="144" t="s">
        <v>5664</v>
      </c>
      <c r="M10" s="138" t="s">
        <v>5665</v>
      </c>
      <c r="N10" s="134"/>
      <c r="O10" s="133" t="s">
        <v>5713</v>
      </c>
      <c r="P10" s="139" t="s">
        <v>5714</v>
      </c>
      <c r="Q10" s="139" t="s">
        <v>5715</v>
      </c>
      <c r="R10" s="140" t="s">
        <v>5716</v>
      </c>
      <c r="S10" s="139" t="s">
        <v>5716</v>
      </c>
    </row>
    <row r="11" spans="1:19" s="142" customFormat="1" ht="72" customHeight="1" x14ac:dyDescent="0.25">
      <c r="A11" s="132">
        <v>3</v>
      </c>
      <c r="B11" s="132" t="s">
        <v>5717</v>
      </c>
      <c r="C11" s="135" t="s">
        <v>5718</v>
      </c>
      <c r="D11" s="135" t="s">
        <v>5719</v>
      </c>
      <c r="E11" s="138">
        <v>1</v>
      </c>
      <c r="F11" s="135" t="s">
        <v>5210</v>
      </c>
      <c r="G11" s="135" t="s">
        <v>4903</v>
      </c>
      <c r="H11" s="135" t="s">
        <v>5700</v>
      </c>
      <c r="I11" s="135" t="s">
        <v>1119</v>
      </c>
      <c r="J11" s="135"/>
      <c r="K11" s="136">
        <v>0.12203942298901514</v>
      </c>
      <c r="L11" s="143" t="s">
        <v>5664</v>
      </c>
      <c r="M11" s="138" t="s">
        <v>5665</v>
      </c>
      <c r="N11" s="134"/>
      <c r="O11" s="133" t="s">
        <v>5720</v>
      </c>
      <c r="P11" s="139" t="s">
        <v>5721</v>
      </c>
      <c r="Q11" s="139" t="s">
        <v>5668</v>
      </c>
      <c r="R11" s="140"/>
      <c r="S11" s="139" t="s">
        <v>5722</v>
      </c>
    </row>
    <row r="12" spans="1:19" s="142" customFormat="1" ht="72" customHeight="1" x14ac:dyDescent="0.25">
      <c r="A12" s="132">
        <v>2</v>
      </c>
      <c r="B12" s="132" t="s">
        <v>5723</v>
      </c>
      <c r="C12" s="135" t="s">
        <v>5724</v>
      </c>
      <c r="D12" s="135" t="s">
        <v>5725</v>
      </c>
      <c r="E12" s="138">
        <v>1</v>
      </c>
      <c r="F12" s="135" t="s">
        <v>5210</v>
      </c>
      <c r="G12" s="135" t="s">
        <v>4903</v>
      </c>
      <c r="H12" s="135" t="s">
        <v>5726</v>
      </c>
      <c r="I12" s="135" t="s">
        <v>1126</v>
      </c>
      <c r="J12" s="135"/>
      <c r="K12" s="136">
        <v>4.1877898800378788E-2</v>
      </c>
      <c r="L12" s="143" t="s">
        <v>5664</v>
      </c>
      <c r="M12" s="138" t="s">
        <v>5665</v>
      </c>
      <c r="N12" s="134"/>
      <c r="O12" s="133" t="s">
        <v>5727</v>
      </c>
      <c r="P12" s="139" t="s">
        <v>5728</v>
      </c>
      <c r="Q12" s="139" t="s">
        <v>5729</v>
      </c>
      <c r="R12" s="140" t="s">
        <v>5716</v>
      </c>
      <c r="S12" s="139" t="s">
        <v>5716</v>
      </c>
    </row>
    <row r="13" spans="1:19" s="142" customFormat="1" ht="72" customHeight="1" x14ac:dyDescent="0.25">
      <c r="A13" s="132">
        <v>3</v>
      </c>
      <c r="B13" s="132" t="s">
        <v>5730</v>
      </c>
      <c r="C13" s="135" t="s">
        <v>5731</v>
      </c>
      <c r="D13" s="135" t="s">
        <v>5732</v>
      </c>
      <c r="E13" s="138">
        <v>1</v>
      </c>
      <c r="F13" s="135" t="s">
        <v>5210</v>
      </c>
      <c r="G13" s="135" t="s">
        <v>4903</v>
      </c>
      <c r="H13" s="135" t="s">
        <v>5726</v>
      </c>
      <c r="I13" s="135" t="s">
        <v>1126</v>
      </c>
      <c r="J13" s="135"/>
      <c r="K13" s="136">
        <v>4.5970566171022728E-2</v>
      </c>
      <c r="L13" s="143" t="s">
        <v>5664</v>
      </c>
      <c r="M13" s="138" t="s">
        <v>5665</v>
      </c>
      <c r="N13" s="134"/>
      <c r="O13" s="133" t="s">
        <v>5733</v>
      </c>
      <c r="P13" s="139" t="s">
        <v>5734</v>
      </c>
      <c r="Q13" s="139" t="s">
        <v>5668</v>
      </c>
      <c r="R13" s="140"/>
      <c r="S13" s="139" t="s">
        <v>5735</v>
      </c>
    </row>
    <row r="14" spans="1:19" s="142" customFormat="1" ht="60" x14ac:dyDescent="0.25">
      <c r="A14" s="132">
        <v>4</v>
      </c>
      <c r="B14" s="132" t="s">
        <v>5736</v>
      </c>
      <c r="C14" s="135" t="s">
        <v>5737</v>
      </c>
      <c r="D14" s="133" t="s">
        <v>5738</v>
      </c>
      <c r="E14" s="134">
        <v>3</v>
      </c>
      <c r="F14" s="135" t="s">
        <v>5014</v>
      </c>
      <c r="G14" s="135" t="s">
        <v>4903</v>
      </c>
      <c r="H14" s="135" t="s">
        <v>5739</v>
      </c>
      <c r="I14" s="135" t="s">
        <v>2025</v>
      </c>
      <c r="J14" s="135" t="s">
        <v>5740</v>
      </c>
      <c r="K14" s="136">
        <v>8.6583055589242425E-2</v>
      </c>
      <c r="L14" s="143" t="s">
        <v>5664</v>
      </c>
      <c r="M14" s="138" t="s">
        <v>5665</v>
      </c>
      <c r="N14" s="134"/>
      <c r="O14" s="133" t="s">
        <v>5741</v>
      </c>
      <c r="P14" s="139" t="s">
        <v>5742</v>
      </c>
      <c r="Q14" s="139" t="s">
        <v>5668</v>
      </c>
      <c r="R14" s="140"/>
      <c r="S14" s="141" t="s">
        <v>5743</v>
      </c>
    </row>
    <row r="15" spans="1:19" s="142" customFormat="1" ht="87" customHeight="1" x14ac:dyDescent="0.25">
      <c r="A15" s="132">
        <v>3</v>
      </c>
      <c r="B15" s="132" t="s">
        <v>5744</v>
      </c>
      <c r="C15" s="135" t="s">
        <v>5745</v>
      </c>
      <c r="D15" s="135" t="s">
        <v>5746</v>
      </c>
      <c r="E15" s="138">
        <v>1</v>
      </c>
      <c r="F15" s="135" t="s">
        <v>5210</v>
      </c>
      <c r="G15" s="135" t="s">
        <v>4903</v>
      </c>
      <c r="H15" s="135" t="s">
        <v>5726</v>
      </c>
      <c r="I15" s="135" t="s">
        <v>1126</v>
      </c>
      <c r="J15" s="135"/>
      <c r="K15" s="136">
        <v>3.0087127930681818E-2</v>
      </c>
      <c r="L15" s="143" t="s">
        <v>5664</v>
      </c>
      <c r="M15" s="138" t="s">
        <v>5665</v>
      </c>
      <c r="N15" s="134"/>
      <c r="O15" s="133" t="s">
        <v>5747</v>
      </c>
      <c r="P15" s="139" t="s">
        <v>5748</v>
      </c>
      <c r="Q15" s="139" t="s">
        <v>5729</v>
      </c>
      <c r="R15" s="140"/>
      <c r="S15" s="141" t="s">
        <v>5749</v>
      </c>
    </row>
    <row r="16" spans="1:19" s="142" customFormat="1" ht="50.45" customHeight="1" x14ac:dyDescent="0.25">
      <c r="A16" s="132">
        <v>4</v>
      </c>
      <c r="B16" s="132" t="s">
        <v>5750</v>
      </c>
      <c r="C16" s="135" t="s">
        <v>5751</v>
      </c>
      <c r="D16" s="135" t="s">
        <v>5752</v>
      </c>
      <c r="E16" s="138">
        <v>1</v>
      </c>
      <c r="F16" s="135" t="s">
        <v>5210</v>
      </c>
      <c r="G16" s="135" t="s">
        <v>4903</v>
      </c>
      <c r="H16" s="135" t="s">
        <v>5726</v>
      </c>
      <c r="I16" s="135" t="s">
        <v>1126</v>
      </c>
      <c r="J16" s="135"/>
      <c r="K16" s="136">
        <v>0.18779328269791667</v>
      </c>
      <c r="L16" s="143" t="s">
        <v>5664</v>
      </c>
      <c r="M16" s="138" t="s">
        <v>5665</v>
      </c>
      <c r="N16" s="134"/>
      <c r="O16" s="133" t="s">
        <v>5753</v>
      </c>
      <c r="P16" s="139" t="s">
        <v>5754</v>
      </c>
      <c r="Q16" s="139" t="s">
        <v>5668</v>
      </c>
      <c r="R16" s="140"/>
      <c r="S16" s="141" t="s">
        <v>5755</v>
      </c>
    </row>
    <row r="17" spans="1:19" s="142" customFormat="1" ht="43.15" customHeight="1" x14ac:dyDescent="0.25">
      <c r="A17" s="132">
        <v>3</v>
      </c>
      <c r="B17" s="132" t="s">
        <v>5756</v>
      </c>
      <c r="C17" s="135" t="s">
        <v>5757</v>
      </c>
      <c r="D17" s="135" t="s">
        <v>5758</v>
      </c>
      <c r="E17" s="138">
        <v>1</v>
      </c>
      <c r="F17" s="135" t="s">
        <v>5210</v>
      </c>
      <c r="G17" s="135" t="s">
        <v>4903</v>
      </c>
      <c r="H17" s="135" t="s">
        <v>5726</v>
      </c>
      <c r="I17" s="135" t="s">
        <v>1126</v>
      </c>
      <c r="J17" s="135"/>
      <c r="K17" s="136">
        <v>1.5090747168920454E-2</v>
      </c>
      <c r="L17" s="143" t="s">
        <v>5664</v>
      </c>
      <c r="M17" s="138" t="s">
        <v>5665</v>
      </c>
      <c r="N17" s="134"/>
      <c r="O17" s="133" t="s">
        <v>5759</v>
      </c>
      <c r="P17" s="139" t="s">
        <v>5760</v>
      </c>
      <c r="Q17" s="139" t="s">
        <v>5668</v>
      </c>
      <c r="R17" s="140"/>
      <c r="S17" s="141" t="s">
        <v>5761</v>
      </c>
    </row>
    <row r="18" spans="1:19" s="142" customFormat="1" ht="72" customHeight="1" x14ac:dyDescent="0.25">
      <c r="A18" s="132">
        <v>4</v>
      </c>
      <c r="B18" s="132" t="s">
        <v>5762</v>
      </c>
      <c r="C18" s="135" t="s">
        <v>5763</v>
      </c>
      <c r="D18" s="135" t="s">
        <v>5764</v>
      </c>
      <c r="E18" s="138">
        <v>1</v>
      </c>
      <c r="F18" s="135" t="s">
        <v>5210</v>
      </c>
      <c r="G18" s="135" t="s">
        <v>4903</v>
      </c>
      <c r="H18" s="135" t="s">
        <v>5765</v>
      </c>
      <c r="I18" s="135" t="s">
        <v>2011</v>
      </c>
      <c r="J18" s="135"/>
      <c r="K18" s="136">
        <v>5.5564981468371209E-2</v>
      </c>
      <c r="L18" s="143" t="s">
        <v>5664</v>
      </c>
      <c r="M18" s="138" t="s">
        <v>5665</v>
      </c>
      <c r="N18" s="134"/>
      <c r="O18" s="133" t="s">
        <v>5766</v>
      </c>
      <c r="P18" s="139" t="s">
        <v>5767</v>
      </c>
      <c r="Q18" s="139" t="s">
        <v>5668</v>
      </c>
      <c r="R18" s="140"/>
      <c r="S18" s="141" t="s">
        <v>5768</v>
      </c>
    </row>
    <row r="19" spans="1:19" s="142" customFormat="1" ht="72" customHeight="1" x14ac:dyDescent="0.25">
      <c r="A19" s="132">
        <v>3</v>
      </c>
      <c r="B19" s="132" t="s">
        <v>5769</v>
      </c>
      <c r="C19" s="135" t="s">
        <v>5770</v>
      </c>
      <c r="D19" s="135" t="s">
        <v>5771</v>
      </c>
      <c r="E19" s="138">
        <v>1</v>
      </c>
      <c r="F19" s="135" t="s">
        <v>5210</v>
      </c>
      <c r="G19" s="135" t="s">
        <v>4903</v>
      </c>
      <c r="H19" s="135" t="s">
        <v>5765</v>
      </c>
      <c r="I19" s="135" t="s">
        <v>2011</v>
      </c>
      <c r="J19" s="135"/>
      <c r="K19" s="136">
        <v>0.10463203971590909</v>
      </c>
      <c r="L19" s="143" t="s">
        <v>5664</v>
      </c>
      <c r="M19" s="138" t="s">
        <v>5665</v>
      </c>
      <c r="N19" s="134"/>
      <c r="O19" s="133" t="s">
        <v>5772</v>
      </c>
      <c r="P19" s="139" t="s">
        <v>5773</v>
      </c>
      <c r="Q19" s="139" t="s">
        <v>5668</v>
      </c>
      <c r="R19" s="140"/>
      <c r="S19" s="141" t="s">
        <v>5774</v>
      </c>
    </row>
    <row r="20" spans="1:19" s="142" customFormat="1" ht="72" customHeight="1" x14ac:dyDescent="0.25">
      <c r="A20" s="132">
        <v>3</v>
      </c>
      <c r="B20" s="132" t="s">
        <v>5775</v>
      </c>
      <c r="C20" s="135" t="s">
        <v>5776</v>
      </c>
      <c r="D20" s="135" t="s">
        <v>5777</v>
      </c>
      <c r="E20" s="138">
        <v>1</v>
      </c>
      <c r="F20" s="135" t="s">
        <v>5210</v>
      </c>
      <c r="G20" s="135" t="s">
        <v>4903</v>
      </c>
      <c r="H20" s="135" t="s">
        <v>5765</v>
      </c>
      <c r="I20" s="135" t="s">
        <v>2011</v>
      </c>
      <c r="J20" s="135" t="s">
        <v>5778</v>
      </c>
      <c r="K20" s="136">
        <v>7.1985356305492423E-2</v>
      </c>
      <c r="L20" s="143" t="s">
        <v>5664</v>
      </c>
      <c r="M20" s="138" t="s">
        <v>5665</v>
      </c>
      <c r="N20" s="134"/>
      <c r="O20" s="133" t="s">
        <v>5779</v>
      </c>
      <c r="P20" s="139" t="s">
        <v>5780</v>
      </c>
      <c r="Q20" s="139" t="s">
        <v>5668</v>
      </c>
      <c r="R20" s="140"/>
      <c r="S20" s="141" t="s">
        <v>5781</v>
      </c>
    </row>
    <row r="21" spans="1:19" s="142" customFormat="1" ht="72" customHeight="1" x14ac:dyDescent="0.25">
      <c r="A21" s="132">
        <v>4</v>
      </c>
      <c r="B21" s="132" t="s">
        <v>5782</v>
      </c>
      <c r="C21" s="135" t="s">
        <v>5783</v>
      </c>
      <c r="D21" s="135" t="s">
        <v>5784</v>
      </c>
      <c r="E21" s="138">
        <v>1</v>
      </c>
      <c r="F21" s="135" t="s">
        <v>5210</v>
      </c>
      <c r="G21" s="135" t="s">
        <v>4903</v>
      </c>
      <c r="H21" s="135" t="s">
        <v>5765</v>
      </c>
      <c r="I21" s="135" t="s">
        <v>2011</v>
      </c>
      <c r="J21" s="135"/>
      <c r="K21" s="136">
        <v>9.1224994084469699E-2</v>
      </c>
      <c r="L21" s="143" t="s">
        <v>5664</v>
      </c>
      <c r="M21" s="138" t="s">
        <v>5665</v>
      </c>
      <c r="N21" s="134"/>
      <c r="O21" s="133" t="s">
        <v>5785</v>
      </c>
      <c r="P21" s="139" t="s">
        <v>5786</v>
      </c>
      <c r="Q21" s="139" t="s">
        <v>5668</v>
      </c>
      <c r="R21" s="140"/>
      <c r="S21" s="141" t="s">
        <v>5787</v>
      </c>
    </row>
    <row r="22" spans="1:19" s="142" customFormat="1" ht="72" customHeight="1" x14ac:dyDescent="0.25">
      <c r="A22" s="132">
        <v>4</v>
      </c>
      <c r="B22" s="132" t="s">
        <v>5788</v>
      </c>
      <c r="C22" s="135" t="s">
        <v>5789</v>
      </c>
      <c r="D22" s="135" t="s">
        <v>5790</v>
      </c>
      <c r="E22" s="138">
        <v>1</v>
      </c>
      <c r="F22" s="135" t="s">
        <v>5210</v>
      </c>
      <c r="G22" s="135" t="s">
        <v>4903</v>
      </c>
      <c r="H22" s="135" t="s">
        <v>5791</v>
      </c>
      <c r="I22" s="135" t="s">
        <v>4639</v>
      </c>
      <c r="J22" s="135"/>
      <c r="K22" s="136">
        <v>6.0437444685227271E-2</v>
      </c>
      <c r="L22" s="143" t="s">
        <v>5664</v>
      </c>
      <c r="M22" s="138" t="s">
        <v>5665</v>
      </c>
      <c r="N22" s="134"/>
      <c r="O22" s="133" t="s">
        <v>5792</v>
      </c>
      <c r="P22" s="139" t="s">
        <v>5793</v>
      </c>
      <c r="Q22" s="139" t="s">
        <v>5668</v>
      </c>
      <c r="R22" s="140"/>
      <c r="S22" s="141" t="s">
        <v>5794</v>
      </c>
    </row>
    <row r="23" spans="1:19" s="142" customFormat="1" ht="72" customHeight="1" x14ac:dyDescent="0.25">
      <c r="A23" s="132">
        <v>4</v>
      </c>
      <c r="B23" s="132" t="s">
        <v>5795</v>
      </c>
      <c r="C23" s="135" t="s">
        <v>5796</v>
      </c>
      <c r="D23" s="135" t="s">
        <v>5797</v>
      </c>
      <c r="E23" s="138">
        <v>1</v>
      </c>
      <c r="F23" s="135" t="s">
        <v>5210</v>
      </c>
      <c r="G23" s="135" t="s">
        <v>4871</v>
      </c>
      <c r="H23" s="135" t="s">
        <v>5791</v>
      </c>
      <c r="I23" s="135" t="s">
        <v>4639</v>
      </c>
      <c r="J23" s="135"/>
      <c r="K23" s="136">
        <v>4.019641272992424E-2</v>
      </c>
      <c r="L23" s="143" t="s">
        <v>5664</v>
      </c>
      <c r="M23" s="138" t="s">
        <v>5665</v>
      </c>
      <c r="N23" s="134"/>
      <c r="O23" s="133" t="s">
        <v>5798</v>
      </c>
      <c r="P23" s="139" t="s">
        <v>5799</v>
      </c>
      <c r="Q23" s="139" t="s">
        <v>5668</v>
      </c>
      <c r="R23" s="140"/>
      <c r="S23" s="141" t="s">
        <v>5800</v>
      </c>
    </row>
    <row r="24" spans="1:19" s="142" customFormat="1" ht="72" customHeight="1" x14ac:dyDescent="0.25">
      <c r="A24" s="132">
        <v>4</v>
      </c>
      <c r="B24" s="132" t="s">
        <v>5801</v>
      </c>
      <c r="C24" s="135" t="s">
        <v>5802</v>
      </c>
      <c r="D24" s="135" t="s">
        <v>5803</v>
      </c>
      <c r="E24" s="138">
        <v>1</v>
      </c>
      <c r="F24" s="135" t="s">
        <v>5210</v>
      </c>
      <c r="G24" s="135" t="s">
        <v>4903</v>
      </c>
      <c r="H24" s="135" t="s">
        <v>5791</v>
      </c>
      <c r="I24" s="135" t="s">
        <v>4639</v>
      </c>
      <c r="J24" s="135"/>
      <c r="K24" s="136">
        <v>4.177530403409091E-2</v>
      </c>
      <c r="L24" s="143" t="s">
        <v>5664</v>
      </c>
      <c r="M24" s="138" t="s">
        <v>5665</v>
      </c>
      <c r="N24" s="134"/>
      <c r="O24" s="133" t="s">
        <v>5804</v>
      </c>
      <c r="P24" s="139" t="s">
        <v>5805</v>
      </c>
      <c r="Q24" s="139" t="s">
        <v>5668</v>
      </c>
      <c r="R24" s="140"/>
      <c r="S24" s="141" t="s">
        <v>5806</v>
      </c>
    </row>
    <row r="25" spans="1:19" s="142" customFormat="1" ht="72" customHeight="1" x14ac:dyDescent="0.25">
      <c r="A25" s="132">
        <v>4</v>
      </c>
      <c r="B25" s="132" t="s">
        <v>5807</v>
      </c>
      <c r="C25" s="135" t="s">
        <v>5808</v>
      </c>
      <c r="D25" s="135" t="s">
        <v>5809</v>
      </c>
      <c r="E25" s="138">
        <v>1</v>
      </c>
      <c r="F25" s="135" t="s">
        <v>4881</v>
      </c>
      <c r="G25" s="135" t="s">
        <v>4903</v>
      </c>
      <c r="H25" s="135" t="s">
        <v>5810</v>
      </c>
      <c r="I25" s="135" t="s">
        <v>2578</v>
      </c>
      <c r="J25" s="135"/>
      <c r="K25" s="136">
        <v>9.1755812893181812E-2</v>
      </c>
      <c r="L25" s="145" t="s">
        <v>5664</v>
      </c>
      <c r="M25" s="138" t="s">
        <v>5665</v>
      </c>
      <c r="N25" s="134"/>
      <c r="O25" s="133" t="s">
        <v>5811</v>
      </c>
      <c r="P25" s="139" t="s">
        <v>5812</v>
      </c>
      <c r="Q25" s="139" t="s">
        <v>5668</v>
      </c>
      <c r="R25" s="140"/>
      <c r="S25" s="141" t="s">
        <v>5813</v>
      </c>
    </row>
    <row r="26" spans="1:19" s="142" customFormat="1" ht="262.89999999999998" customHeight="1" x14ac:dyDescent="0.25">
      <c r="A26" s="132">
        <v>4</v>
      </c>
      <c r="B26" s="132" t="s">
        <v>5814</v>
      </c>
      <c r="C26" s="135" t="s">
        <v>5815</v>
      </c>
      <c r="D26" s="133" t="s">
        <v>5816</v>
      </c>
      <c r="E26" s="134">
        <v>11</v>
      </c>
      <c r="F26" s="135" t="s">
        <v>4881</v>
      </c>
      <c r="G26" s="135" t="s">
        <v>4903</v>
      </c>
      <c r="H26" s="135" t="s">
        <v>5810</v>
      </c>
      <c r="I26" s="135" t="s">
        <v>2578</v>
      </c>
      <c r="J26" s="135"/>
      <c r="K26" s="136">
        <v>0.77058907235890151</v>
      </c>
      <c r="L26" s="145" t="s">
        <v>5664</v>
      </c>
      <c r="M26" s="138" t="s">
        <v>5665</v>
      </c>
      <c r="N26" s="134"/>
      <c r="O26" s="133" t="s">
        <v>5817</v>
      </c>
      <c r="P26" s="139" t="s">
        <v>5812</v>
      </c>
      <c r="Q26" s="139" t="s">
        <v>5668</v>
      </c>
      <c r="R26" s="140"/>
      <c r="S26" s="141" t="s">
        <v>5818</v>
      </c>
    </row>
    <row r="27" spans="1:19" s="142" customFormat="1" ht="72" customHeight="1" x14ac:dyDescent="0.25">
      <c r="A27" s="132">
        <v>4</v>
      </c>
      <c r="B27" s="132" t="s">
        <v>5819</v>
      </c>
      <c r="C27" s="135" t="s">
        <v>5820</v>
      </c>
      <c r="D27" s="133" t="s">
        <v>5821</v>
      </c>
      <c r="E27" s="134">
        <v>2</v>
      </c>
      <c r="F27" s="135" t="s">
        <v>4881</v>
      </c>
      <c r="G27" s="135" t="s">
        <v>4903</v>
      </c>
      <c r="H27" s="135" t="s">
        <v>5810</v>
      </c>
      <c r="I27" s="135" t="s">
        <v>2578</v>
      </c>
      <c r="J27" s="135"/>
      <c r="K27" s="136">
        <v>0.16417951991553031</v>
      </c>
      <c r="L27" s="146" t="s">
        <v>5664</v>
      </c>
      <c r="M27" s="138" t="s">
        <v>5665</v>
      </c>
      <c r="N27" s="134"/>
      <c r="O27" s="133" t="s">
        <v>5822</v>
      </c>
      <c r="P27" s="139" t="s">
        <v>5812</v>
      </c>
      <c r="Q27" s="139" t="s">
        <v>5668</v>
      </c>
      <c r="R27" s="140"/>
      <c r="S27" s="141" t="s">
        <v>5806</v>
      </c>
    </row>
    <row r="28" spans="1:19" s="142" customFormat="1" ht="97.15" customHeight="1" x14ac:dyDescent="0.25">
      <c r="A28" s="132">
        <v>4</v>
      </c>
      <c r="B28" s="132" t="s">
        <v>5823</v>
      </c>
      <c r="C28" s="135" t="s">
        <v>5824</v>
      </c>
      <c r="D28" s="133" t="s">
        <v>5825</v>
      </c>
      <c r="E28" s="134">
        <v>2</v>
      </c>
      <c r="F28" s="135" t="s">
        <v>5210</v>
      </c>
      <c r="G28" s="135" t="s">
        <v>4871</v>
      </c>
      <c r="H28" s="135" t="s">
        <v>5791</v>
      </c>
      <c r="I28" s="135" t="s">
        <v>4639</v>
      </c>
      <c r="J28" s="135" t="s">
        <v>5826</v>
      </c>
      <c r="K28" s="136">
        <v>0.30180175551420457</v>
      </c>
      <c r="L28" s="143" t="s">
        <v>5664</v>
      </c>
      <c r="M28" s="138" t="s">
        <v>5664</v>
      </c>
      <c r="N28" s="134" t="s">
        <v>5827</v>
      </c>
      <c r="O28" s="133" t="s">
        <v>5828</v>
      </c>
      <c r="P28" s="139" t="s">
        <v>5829</v>
      </c>
      <c r="Q28" s="139" t="s">
        <v>5668</v>
      </c>
      <c r="R28" s="140"/>
      <c r="S28" s="141" t="s">
        <v>5830</v>
      </c>
    </row>
    <row r="29" spans="1:19" s="142" customFormat="1" ht="72" customHeight="1" x14ac:dyDescent="0.25">
      <c r="A29" s="132">
        <v>3</v>
      </c>
      <c r="B29" s="132" t="s">
        <v>5831</v>
      </c>
      <c r="C29" s="135" t="s">
        <v>5832</v>
      </c>
      <c r="D29" s="135" t="s">
        <v>5833</v>
      </c>
      <c r="E29" s="138">
        <v>1</v>
      </c>
      <c r="F29" s="135" t="s">
        <v>5210</v>
      </c>
      <c r="G29" s="135" t="s">
        <v>4871</v>
      </c>
      <c r="H29" s="135" t="s">
        <v>5791</v>
      </c>
      <c r="I29" s="135" t="s">
        <v>4639</v>
      </c>
      <c r="J29" s="135"/>
      <c r="K29" s="136">
        <v>0.21042268221590907</v>
      </c>
      <c r="L29" s="143" t="s">
        <v>5664</v>
      </c>
      <c r="M29" s="138" t="s">
        <v>5665</v>
      </c>
      <c r="N29" s="134"/>
      <c r="O29" s="133" t="s">
        <v>5834</v>
      </c>
      <c r="P29" s="139" t="s">
        <v>5834</v>
      </c>
      <c r="Q29" s="139" t="s">
        <v>5715</v>
      </c>
      <c r="R29" s="140"/>
      <c r="S29" s="141" t="s">
        <v>5835</v>
      </c>
    </row>
    <row r="30" spans="1:19" s="142" customFormat="1" ht="72" customHeight="1" x14ac:dyDescent="0.25">
      <c r="A30" s="132">
        <v>3</v>
      </c>
      <c r="B30" s="132" t="s">
        <v>5836</v>
      </c>
      <c r="C30" s="135" t="s">
        <v>5837</v>
      </c>
      <c r="D30" s="135" t="s">
        <v>5838</v>
      </c>
      <c r="E30" s="138">
        <v>1</v>
      </c>
      <c r="F30" s="135" t="s">
        <v>5210</v>
      </c>
      <c r="G30" s="135" t="s">
        <v>4903</v>
      </c>
      <c r="H30" s="135" t="s">
        <v>5791</v>
      </c>
      <c r="I30" s="135" t="s">
        <v>4639</v>
      </c>
      <c r="J30" s="135"/>
      <c r="K30" s="136">
        <v>0.14499788914412878</v>
      </c>
      <c r="L30" s="143" t="s">
        <v>5664</v>
      </c>
      <c r="M30" s="138" t="s">
        <v>5665</v>
      </c>
      <c r="N30" s="134"/>
      <c r="O30" s="133" t="s">
        <v>5839</v>
      </c>
      <c r="P30" s="139" t="s">
        <v>5840</v>
      </c>
      <c r="Q30" s="139" t="s">
        <v>5668</v>
      </c>
      <c r="R30" s="140"/>
      <c r="S30" s="141" t="s">
        <v>5841</v>
      </c>
    </row>
    <row r="31" spans="1:19" s="142" customFormat="1" ht="72" customHeight="1" x14ac:dyDescent="0.25">
      <c r="A31" s="132">
        <v>4</v>
      </c>
      <c r="B31" s="132" t="s">
        <v>5842</v>
      </c>
      <c r="C31" s="135" t="s">
        <v>5843</v>
      </c>
      <c r="D31" s="135" t="s">
        <v>5844</v>
      </c>
      <c r="E31" s="138">
        <v>1</v>
      </c>
      <c r="F31" s="135" t="s">
        <v>5210</v>
      </c>
      <c r="G31" s="135" t="s">
        <v>4871</v>
      </c>
      <c r="H31" s="135" t="s">
        <v>5791</v>
      </c>
      <c r="I31" s="135" t="s">
        <v>4639</v>
      </c>
      <c r="J31" s="135"/>
      <c r="K31" s="136">
        <v>6.8763719657386368E-2</v>
      </c>
      <c r="L31" s="143" t="s">
        <v>5664</v>
      </c>
      <c r="M31" s="138" t="s">
        <v>5665</v>
      </c>
      <c r="N31" s="134"/>
      <c r="O31" s="133" t="s">
        <v>5845</v>
      </c>
      <c r="P31" s="139" t="s">
        <v>5846</v>
      </c>
      <c r="Q31" s="139" t="s">
        <v>5668</v>
      </c>
      <c r="R31" s="140"/>
      <c r="S31" s="141" t="s">
        <v>5847</v>
      </c>
    </row>
    <row r="32" spans="1:19" s="142" customFormat="1" ht="72" customHeight="1" x14ac:dyDescent="0.25">
      <c r="A32" s="132">
        <v>4</v>
      </c>
      <c r="B32" s="132" t="s">
        <v>5848</v>
      </c>
      <c r="C32" s="135" t="s">
        <v>5849</v>
      </c>
      <c r="D32" s="133" t="s">
        <v>5850</v>
      </c>
      <c r="E32" s="134">
        <v>2</v>
      </c>
      <c r="F32" s="135" t="s">
        <v>5851</v>
      </c>
      <c r="G32" s="135" t="s">
        <v>4903</v>
      </c>
      <c r="H32" s="135" t="s">
        <v>5852</v>
      </c>
      <c r="I32" s="135" t="s">
        <v>3110</v>
      </c>
      <c r="J32" s="135"/>
      <c r="K32" s="136">
        <v>0.75402146709433715</v>
      </c>
      <c r="L32" s="143" t="s">
        <v>5664</v>
      </c>
      <c r="M32" s="138" t="s">
        <v>5665</v>
      </c>
      <c r="N32" s="134"/>
      <c r="O32" s="133" t="s">
        <v>5853</v>
      </c>
      <c r="P32" s="139" t="s">
        <v>5854</v>
      </c>
      <c r="Q32" s="139" t="s">
        <v>5855</v>
      </c>
      <c r="R32" s="140"/>
      <c r="S32" s="141" t="s">
        <v>5856</v>
      </c>
    </row>
    <row r="33" spans="1:19" s="142" customFormat="1" ht="72" customHeight="1" x14ac:dyDescent="0.25">
      <c r="A33" s="132">
        <v>3</v>
      </c>
      <c r="B33" s="132" t="s">
        <v>5857</v>
      </c>
      <c r="C33" s="135" t="s">
        <v>5858</v>
      </c>
      <c r="D33" s="133" t="s">
        <v>5859</v>
      </c>
      <c r="E33" s="134">
        <v>5</v>
      </c>
      <c r="F33" s="135" t="s">
        <v>4944</v>
      </c>
      <c r="G33" s="135" t="s">
        <v>4903</v>
      </c>
      <c r="H33" s="135" t="s">
        <v>5860</v>
      </c>
      <c r="I33" s="135" t="s">
        <v>250</v>
      </c>
      <c r="J33" s="135" t="s">
        <v>5861</v>
      </c>
      <c r="K33" s="136">
        <v>1.3626745535505682</v>
      </c>
      <c r="L33" s="143" t="s">
        <v>5664</v>
      </c>
      <c r="M33" s="138" t="s">
        <v>5665</v>
      </c>
      <c r="N33" s="134"/>
      <c r="O33" s="133" t="s">
        <v>5862</v>
      </c>
      <c r="P33" s="139" t="s">
        <v>5863</v>
      </c>
      <c r="Q33" s="139" t="s">
        <v>5864</v>
      </c>
      <c r="R33" s="140"/>
      <c r="S33" s="141" t="s">
        <v>5865</v>
      </c>
    </row>
    <row r="34" spans="1:19" s="142" customFormat="1" ht="72" customHeight="1" x14ac:dyDescent="0.25">
      <c r="A34" s="132">
        <v>4</v>
      </c>
      <c r="B34" s="132" t="s">
        <v>5866</v>
      </c>
      <c r="C34" s="135" t="s">
        <v>5867</v>
      </c>
      <c r="D34" s="135" t="s">
        <v>5868</v>
      </c>
      <c r="E34" s="138">
        <v>1</v>
      </c>
      <c r="F34" s="135" t="s">
        <v>4881</v>
      </c>
      <c r="G34" s="135" t="s">
        <v>4903</v>
      </c>
      <c r="H34" s="135" t="s">
        <v>5810</v>
      </c>
      <c r="I34" s="135" t="s">
        <v>2578</v>
      </c>
      <c r="J34" s="135"/>
      <c r="K34" s="136">
        <v>0.61669057166287877</v>
      </c>
      <c r="L34" s="143" t="s">
        <v>5664</v>
      </c>
      <c r="M34" s="138" t="s">
        <v>5665</v>
      </c>
      <c r="N34" s="134"/>
      <c r="O34" s="133" t="s">
        <v>5869</v>
      </c>
      <c r="P34" s="139" t="s">
        <v>5870</v>
      </c>
      <c r="Q34" s="139" t="s">
        <v>5668</v>
      </c>
      <c r="R34" s="140"/>
      <c r="S34" s="141" t="s">
        <v>5871</v>
      </c>
    </row>
    <row r="35" spans="1:19" s="142" customFormat="1" ht="87.6" customHeight="1" x14ac:dyDescent="0.25">
      <c r="A35" s="132">
        <v>1</v>
      </c>
      <c r="B35" s="132" t="s">
        <v>5872</v>
      </c>
      <c r="C35" s="135" t="s">
        <v>5873</v>
      </c>
      <c r="D35" s="135" t="s">
        <v>5874</v>
      </c>
      <c r="E35" s="138">
        <v>1</v>
      </c>
      <c r="F35" s="135" t="s">
        <v>4881</v>
      </c>
      <c r="G35" s="135" t="s">
        <v>4903</v>
      </c>
      <c r="H35" s="135" t="s">
        <v>5810</v>
      </c>
      <c r="I35" s="135" t="s">
        <v>2578</v>
      </c>
      <c r="J35" s="135"/>
      <c r="K35" s="136">
        <v>0.14237116250246212</v>
      </c>
      <c r="L35" s="144" t="s">
        <v>5664</v>
      </c>
      <c r="M35" s="138" t="s">
        <v>5665</v>
      </c>
      <c r="N35" s="134"/>
      <c r="O35" s="133" t="s">
        <v>5875</v>
      </c>
      <c r="P35" s="139" t="s">
        <v>5876</v>
      </c>
      <c r="Q35" s="139" t="s">
        <v>5877</v>
      </c>
      <c r="R35" s="140" t="s">
        <v>5878</v>
      </c>
      <c r="S35" s="139" t="s">
        <v>5879</v>
      </c>
    </row>
    <row r="36" spans="1:19" s="142" customFormat="1" ht="75.599999999999994" customHeight="1" x14ac:dyDescent="0.25">
      <c r="A36" s="132">
        <v>4</v>
      </c>
      <c r="B36" s="132" t="s">
        <v>5880</v>
      </c>
      <c r="C36" s="135" t="s">
        <v>5881</v>
      </c>
      <c r="D36" s="135" t="s">
        <v>5882</v>
      </c>
      <c r="E36" s="138">
        <v>1</v>
      </c>
      <c r="F36" s="135" t="s">
        <v>4874</v>
      </c>
      <c r="G36" s="135" t="s">
        <v>4903</v>
      </c>
      <c r="H36" s="135" t="s">
        <v>5883</v>
      </c>
      <c r="I36" s="135" t="s">
        <v>2433</v>
      </c>
      <c r="J36" s="135"/>
      <c r="K36" s="136">
        <v>0.43373711814015153</v>
      </c>
      <c r="L36" s="144" t="s">
        <v>5664</v>
      </c>
      <c r="M36" s="138" t="s">
        <v>5665</v>
      </c>
      <c r="N36" s="134"/>
      <c r="O36" s="133" t="s">
        <v>5884</v>
      </c>
      <c r="P36" s="139" t="s">
        <v>5885</v>
      </c>
      <c r="Q36" s="139" t="s">
        <v>5668</v>
      </c>
      <c r="R36" s="140"/>
      <c r="S36" s="141" t="s">
        <v>5886</v>
      </c>
    </row>
    <row r="37" spans="1:19" s="142" customFormat="1" ht="72" customHeight="1" x14ac:dyDescent="0.25">
      <c r="A37" s="132">
        <v>3</v>
      </c>
      <c r="B37" s="132" t="s">
        <v>5887</v>
      </c>
      <c r="C37" s="135" t="s">
        <v>5888</v>
      </c>
      <c r="D37" s="135" t="s">
        <v>5889</v>
      </c>
      <c r="E37" s="138">
        <v>1</v>
      </c>
      <c r="F37" s="135" t="s">
        <v>4874</v>
      </c>
      <c r="G37" s="135" t="s">
        <v>4903</v>
      </c>
      <c r="H37" s="135" t="s">
        <v>5890</v>
      </c>
      <c r="I37" s="135" t="s">
        <v>1891</v>
      </c>
      <c r="J37" s="135"/>
      <c r="K37" s="136">
        <v>8.3583778962689384E-2</v>
      </c>
      <c r="L37" s="143" t="s">
        <v>5664</v>
      </c>
      <c r="M37" s="138" t="s">
        <v>5665</v>
      </c>
      <c r="N37" s="134"/>
      <c r="O37" s="133" t="s">
        <v>5891</v>
      </c>
      <c r="P37" s="139" t="s">
        <v>5892</v>
      </c>
      <c r="Q37" s="139" t="s">
        <v>5668</v>
      </c>
      <c r="R37" s="140"/>
      <c r="S37" s="139" t="s">
        <v>5893</v>
      </c>
    </row>
    <row r="38" spans="1:19" s="142" customFormat="1" ht="72" customHeight="1" x14ac:dyDescent="0.25">
      <c r="A38" s="132">
        <v>4</v>
      </c>
      <c r="B38" s="132" t="s">
        <v>5894</v>
      </c>
      <c r="C38" s="135" t="s">
        <v>5895</v>
      </c>
      <c r="D38" s="133" t="s">
        <v>5896</v>
      </c>
      <c r="E38" s="134">
        <v>3</v>
      </c>
      <c r="F38" s="135" t="s">
        <v>5210</v>
      </c>
      <c r="G38" s="135" t="s">
        <v>4903</v>
      </c>
      <c r="H38" s="135" t="s">
        <v>5897</v>
      </c>
      <c r="I38" s="135" t="s">
        <v>357</v>
      </c>
      <c r="J38" s="135"/>
      <c r="K38" s="136">
        <v>3.5012007377344694</v>
      </c>
      <c r="L38" s="143" t="s">
        <v>5664</v>
      </c>
      <c r="M38" s="138" t="s">
        <v>5665</v>
      </c>
      <c r="N38" s="134"/>
      <c r="O38" s="133" t="s">
        <v>5898</v>
      </c>
      <c r="P38" s="139" t="s">
        <v>5899</v>
      </c>
      <c r="Q38" s="139" t="s">
        <v>5900</v>
      </c>
      <c r="R38" s="140"/>
      <c r="S38" s="141" t="s">
        <v>5806</v>
      </c>
    </row>
    <row r="39" spans="1:19" s="142" customFormat="1" ht="72" customHeight="1" x14ac:dyDescent="0.25">
      <c r="A39" s="132">
        <v>4</v>
      </c>
      <c r="B39" s="132" t="s">
        <v>5901</v>
      </c>
      <c r="C39" s="135" t="s">
        <v>5902</v>
      </c>
      <c r="D39" s="135" t="s">
        <v>5903</v>
      </c>
      <c r="E39" s="138">
        <v>1</v>
      </c>
      <c r="F39" s="135" t="s">
        <v>4944</v>
      </c>
      <c r="G39" s="135" t="s">
        <v>4903</v>
      </c>
      <c r="H39" s="135" t="s">
        <v>5904</v>
      </c>
      <c r="I39" s="135" t="s">
        <v>2304</v>
      </c>
      <c r="J39" s="135"/>
      <c r="K39" s="136">
        <v>4.829190179886364E-2</v>
      </c>
      <c r="L39" s="143" t="s">
        <v>5664</v>
      </c>
      <c r="M39" s="138" t="s">
        <v>5665</v>
      </c>
      <c r="N39" s="134"/>
      <c r="O39" s="133" t="s">
        <v>5905</v>
      </c>
      <c r="P39" s="139" t="s">
        <v>5906</v>
      </c>
      <c r="Q39" s="139" t="s">
        <v>5715</v>
      </c>
      <c r="R39" s="140"/>
      <c r="S39" s="141" t="s">
        <v>5907</v>
      </c>
    </row>
    <row r="40" spans="1:19" s="142" customFormat="1" ht="72" customHeight="1" x14ac:dyDescent="0.25">
      <c r="A40" s="132">
        <v>3</v>
      </c>
      <c r="B40" s="132" t="s">
        <v>5908</v>
      </c>
      <c r="C40" s="135" t="s">
        <v>5909</v>
      </c>
      <c r="D40" s="135" t="s">
        <v>5910</v>
      </c>
      <c r="E40" s="138">
        <v>1</v>
      </c>
      <c r="F40" s="135" t="s">
        <v>5210</v>
      </c>
      <c r="G40" s="135" t="s">
        <v>4903</v>
      </c>
      <c r="H40" s="135" t="s">
        <v>5687</v>
      </c>
      <c r="I40" s="135" t="s">
        <v>762</v>
      </c>
      <c r="J40" s="135"/>
      <c r="K40" s="136">
        <v>0.16171770592178031</v>
      </c>
      <c r="L40" s="143" t="s">
        <v>5664</v>
      </c>
      <c r="M40" s="138" t="s">
        <v>5664</v>
      </c>
      <c r="N40" s="134" t="s">
        <v>5827</v>
      </c>
      <c r="O40" s="133" t="s">
        <v>5911</v>
      </c>
      <c r="P40" s="139" t="s">
        <v>5912</v>
      </c>
      <c r="Q40" s="139" t="s">
        <v>5668</v>
      </c>
      <c r="R40" s="140"/>
      <c r="S40" s="141" t="s">
        <v>5913</v>
      </c>
    </row>
    <row r="41" spans="1:19" s="142" customFormat="1" ht="72" customHeight="1" x14ac:dyDescent="0.25">
      <c r="A41" s="132">
        <v>4</v>
      </c>
      <c r="B41" s="132" t="s">
        <v>5914</v>
      </c>
      <c r="C41" s="135" t="s">
        <v>5915</v>
      </c>
      <c r="D41" s="135" t="s">
        <v>5916</v>
      </c>
      <c r="E41" s="138">
        <v>1</v>
      </c>
      <c r="F41" s="135" t="s">
        <v>5210</v>
      </c>
      <c r="G41" s="135" t="s">
        <v>4903</v>
      </c>
      <c r="H41" s="135" t="s">
        <v>5687</v>
      </c>
      <c r="I41" s="135" t="s">
        <v>762</v>
      </c>
      <c r="J41" s="135"/>
      <c r="K41" s="136">
        <v>6.3231046643371216E-2</v>
      </c>
      <c r="L41" s="144" t="s">
        <v>5664</v>
      </c>
      <c r="M41" s="138" t="s">
        <v>5665</v>
      </c>
      <c r="N41" s="134"/>
      <c r="O41" s="133" t="s">
        <v>5917</v>
      </c>
      <c r="P41" s="139" t="s">
        <v>5918</v>
      </c>
      <c r="Q41" s="139" t="s">
        <v>5668</v>
      </c>
      <c r="R41" s="140"/>
      <c r="S41" s="141" t="s">
        <v>5919</v>
      </c>
    </row>
    <row r="42" spans="1:19" s="142" customFormat="1" ht="72" customHeight="1" x14ac:dyDescent="0.25">
      <c r="A42" s="132">
        <v>1</v>
      </c>
      <c r="B42" s="132" t="s">
        <v>5920</v>
      </c>
      <c r="C42" s="135" t="s">
        <v>5921</v>
      </c>
      <c r="D42" s="135" t="s">
        <v>5922</v>
      </c>
      <c r="E42" s="138">
        <v>1</v>
      </c>
      <c r="F42" s="135" t="s">
        <v>5210</v>
      </c>
      <c r="G42" s="135" t="s">
        <v>4871</v>
      </c>
      <c r="H42" s="135" t="s">
        <v>5923</v>
      </c>
      <c r="I42" s="135" t="s">
        <v>354</v>
      </c>
      <c r="J42" s="135"/>
      <c r="K42" s="136">
        <v>0.20373929799053028</v>
      </c>
      <c r="L42" s="144" t="s">
        <v>5664</v>
      </c>
      <c r="M42" s="138" t="s">
        <v>5665</v>
      </c>
      <c r="N42" s="134"/>
      <c r="O42" s="133" t="s">
        <v>5924</v>
      </c>
      <c r="P42" s="139" t="s">
        <v>5925</v>
      </c>
      <c r="Q42" s="139" t="s">
        <v>5668</v>
      </c>
      <c r="R42" s="140" t="s">
        <v>5878</v>
      </c>
      <c r="S42" s="139" t="s">
        <v>5878</v>
      </c>
    </row>
    <row r="43" spans="1:19" s="142" customFormat="1" ht="72" customHeight="1" x14ac:dyDescent="0.25">
      <c r="A43" s="132">
        <v>1</v>
      </c>
      <c r="B43" s="132" t="s">
        <v>5926</v>
      </c>
      <c r="C43" s="135" t="s">
        <v>5927</v>
      </c>
      <c r="D43" s="135" t="s">
        <v>5928</v>
      </c>
      <c r="E43" s="138">
        <v>1</v>
      </c>
      <c r="F43" s="135" t="s">
        <v>5210</v>
      </c>
      <c r="G43" s="135" t="s">
        <v>4871</v>
      </c>
      <c r="H43" s="135" t="s">
        <v>5673</v>
      </c>
      <c r="I43" s="135" t="s">
        <v>4762</v>
      </c>
      <c r="J43" s="135"/>
      <c r="K43" s="136">
        <v>0.18668028202518938</v>
      </c>
      <c r="L43" s="144" t="s">
        <v>5664</v>
      </c>
      <c r="M43" s="138" t="s">
        <v>5665</v>
      </c>
      <c r="N43" s="134"/>
      <c r="O43" s="133" t="s">
        <v>5929</v>
      </c>
      <c r="P43" s="139" t="s">
        <v>5925</v>
      </c>
      <c r="Q43" s="139" t="s">
        <v>5668</v>
      </c>
      <c r="R43" s="140" t="s">
        <v>5878</v>
      </c>
      <c r="S43" s="139" t="s">
        <v>5878</v>
      </c>
    </row>
    <row r="44" spans="1:19" s="142" customFormat="1" ht="72" customHeight="1" x14ac:dyDescent="0.25">
      <c r="A44" s="132">
        <v>4</v>
      </c>
      <c r="B44" s="132" t="s">
        <v>5930</v>
      </c>
      <c r="C44" s="135" t="s">
        <v>5931</v>
      </c>
      <c r="D44" s="135" t="s">
        <v>5932</v>
      </c>
      <c r="E44" s="138">
        <v>1</v>
      </c>
      <c r="F44" s="135" t="s">
        <v>5210</v>
      </c>
      <c r="G44" s="135" t="s">
        <v>4903</v>
      </c>
      <c r="H44" s="135" t="s">
        <v>5897</v>
      </c>
      <c r="I44" s="135" t="s">
        <v>357</v>
      </c>
      <c r="J44" s="135" t="s">
        <v>5933</v>
      </c>
      <c r="K44" s="136">
        <v>5.4208220214393942E-3</v>
      </c>
      <c r="L44" s="144" t="s">
        <v>5664</v>
      </c>
      <c r="M44" s="138" t="s">
        <v>5665</v>
      </c>
      <c r="N44" s="134"/>
      <c r="O44" s="133" t="s">
        <v>5934</v>
      </c>
      <c r="P44" s="139" t="s">
        <v>5935</v>
      </c>
      <c r="Q44" s="139" t="s">
        <v>5668</v>
      </c>
      <c r="R44" s="140"/>
      <c r="S44" s="141" t="s">
        <v>5806</v>
      </c>
    </row>
    <row r="45" spans="1:19" s="142" customFormat="1" ht="72" customHeight="1" x14ac:dyDescent="0.25">
      <c r="A45" s="132">
        <v>4</v>
      </c>
      <c r="B45" s="132" t="s">
        <v>5936</v>
      </c>
      <c r="C45" s="135" t="s">
        <v>5937</v>
      </c>
      <c r="D45" s="135" t="s">
        <v>5938</v>
      </c>
      <c r="E45" s="138">
        <v>1</v>
      </c>
      <c r="F45" s="135" t="s">
        <v>5210</v>
      </c>
      <c r="G45" s="135" t="s">
        <v>4903</v>
      </c>
      <c r="H45" s="135" t="s">
        <v>5939</v>
      </c>
      <c r="I45" s="135" t="s">
        <v>4559</v>
      </c>
      <c r="J45" s="135"/>
      <c r="K45" s="136">
        <v>0.26395843939772728</v>
      </c>
      <c r="L45" s="144" t="s">
        <v>5664</v>
      </c>
      <c r="M45" s="138" t="s">
        <v>5665</v>
      </c>
      <c r="N45" s="134"/>
      <c r="O45" s="133" t="s">
        <v>5940</v>
      </c>
      <c r="P45" s="139" t="s">
        <v>5941</v>
      </c>
      <c r="Q45" s="139" t="s">
        <v>5668</v>
      </c>
      <c r="R45" s="140"/>
      <c r="S45" s="141" t="s">
        <v>5806</v>
      </c>
    </row>
    <row r="46" spans="1:19" s="142" customFormat="1" ht="81" customHeight="1" x14ac:dyDescent="0.25">
      <c r="A46" s="132">
        <v>3</v>
      </c>
      <c r="B46" s="132" t="s">
        <v>5942</v>
      </c>
      <c r="C46" s="135" t="s">
        <v>5943</v>
      </c>
      <c r="D46" s="133" t="s">
        <v>5944</v>
      </c>
      <c r="E46" s="134">
        <v>2</v>
      </c>
      <c r="F46" s="135" t="s">
        <v>4874</v>
      </c>
      <c r="G46" s="135" t="s">
        <v>4903</v>
      </c>
      <c r="H46" s="135" t="s">
        <v>5890</v>
      </c>
      <c r="I46" s="135" t="s">
        <v>1891</v>
      </c>
      <c r="J46" s="135" t="s">
        <v>5945</v>
      </c>
      <c r="K46" s="136">
        <v>0.49347666835662879</v>
      </c>
      <c r="L46" s="144" t="s">
        <v>5664</v>
      </c>
      <c r="M46" s="138" t="s">
        <v>5664</v>
      </c>
      <c r="N46" s="134" t="s">
        <v>5946</v>
      </c>
      <c r="O46" s="133" t="s">
        <v>5947</v>
      </c>
      <c r="P46" s="139" t="s">
        <v>5948</v>
      </c>
      <c r="Q46" s="139" t="s">
        <v>5668</v>
      </c>
      <c r="R46" s="140"/>
      <c r="S46" s="141" t="s">
        <v>5949</v>
      </c>
    </row>
    <row r="47" spans="1:19" s="142" customFormat="1" ht="72" customHeight="1" x14ac:dyDescent="0.25">
      <c r="A47" s="132">
        <v>4</v>
      </c>
      <c r="B47" s="132" t="s">
        <v>5950</v>
      </c>
      <c r="C47" s="135" t="s">
        <v>5951</v>
      </c>
      <c r="D47" s="135" t="s">
        <v>5952</v>
      </c>
      <c r="E47" s="138">
        <v>1</v>
      </c>
      <c r="F47" s="135" t="s">
        <v>4874</v>
      </c>
      <c r="G47" s="135" t="s">
        <v>4871</v>
      </c>
      <c r="H47" s="135" t="s">
        <v>5953</v>
      </c>
      <c r="I47" s="135" t="s">
        <v>3525</v>
      </c>
      <c r="J47" s="135"/>
      <c r="K47" s="136">
        <v>4.2690074447348479E-2</v>
      </c>
      <c r="L47" s="144" t="s">
        <v>5664</v>
      </c>
      <c r="M47" s="138" t="s">
        <v>5665</v>
      </c>
      <c r="N47" s="134"/>
      <c r="O47" s="133" t="s">
        <v>5954</v>
      </c>
      <c r="P47" s="139" t="s">
        <v>5812</v>
      </c>
      <c r="Q47" s="139" t="s">
        <v>5668</v>
      </c>
      <c r="R47" s="140"/>
      <c r="S47" s="141" t="s">
        <v>5955</v>
      </c>
    </row>
    <row r="48" spans="1:19" s="142" customFormat="1" ht="72" customHeight="1" x14ac:dyDescent="0.25">
      <c r="A48" s="132">
        <v>4</v>
      </c>
      <c r="B48" s="132" t="s">
        <v>5956</v>
      </c>
      <c r="C48" s="135" t="s">
        <v>5957</v>
      </c>
      <c r="D48" s="133" t="s">
        <v>5958</v>
      </c>
      <c r="E48" s="134">
        <v>3</v>
      </c>
      <c r="F48" s="135" t="s">
        <v>4944</v>
      </c>
      <c r="G48" s="135" t="s">
        <v>4903</v>
      </c>
      <c r="H48" s="135" t="s">
        <v>5904</v>
      </c>
      <c r="I48" s="135" t="s">
        <v>2304</v>
      </c>
      <c r="J48" s="135" t="s">
        <v>5959</v>
      </c>
      <c r="K48" s="136">
        <v>0.18739932425700759</v>
      </c>
      <c r="L48" s="143" t="s">
        <v>5664</v>
      </c>
      <c r="M48" s="138" t="s">
        <v>5665</v>
      </c>
      <c r="N48" s="134"/>
      <c r="O48" s="133" t="s">
        <v>5960</v>
      </c>
      <c r="P48" s="139" t="s">
        <v>5961</v>
      </c>
      <c r="Q48" s="139" t="s">
        <v>5715</v>
      </c>
      <c r="R48" s="140"/>
      <c r="S48" s="141" t="s">
        <v>5962</v>
      </c>
    </row>
    <row r="49" spans="1:19" s="142" customFormat="1" ht="72" customHeight="1" x14ac:dyDescent="0.25">
      <c r="A49" s="132">
        <v>4</v>
      </c>
      <c r="B49" s="132" t="s">
        <v>5963</v>
      </c>
      <c r="C49" s="135" t="s">
        <v>5964</v>
      </c>
      <c r="D49" s="135" t="s">
        <v>5965</v>
      </c>
      <c r="E49" s="138">
        <v>1</v>
      </c>
      <c r="F49" s="135" t="s">
        <v>5851</v>
      </c>
      <c r="G49" s="135" t="s">
        <v>4903</v>
      </c>
      <c r="H49" s="147">
        <v>182721104</v>
      </c>
      <c r="I49" s="135" t="s">
        <v>3928</v>
      </c>
      <c r="J49" s="135"/>
      <c r="K49" s="136">
        <v>0.11163181999564394</v>
      </c>
      <c r="L49" s="143" t="s">
        <v>5664</v>
      </c>
      <c r="M49" s="138" t="s">
        <v>5665</v>
      </c>
      <c r="N49" s="134"/>
      <c r="O49" s="133" t="s">
        <v>5966</v>
      </c>
      <c r="P49" s="139" t="s">
        <v>5967</v>
      </c>
      <c r="Q49" s="139" t="s">
        <v>5900</v>
      </c>
      <c r="R49" s="140"/>
      <c r="S49" s="141" t="s">
        <v>5968</v>
      </c>
    </row>
    <row r="50" spans="1:19" s="142" customFormat="1" ht="72" customHeight="1" x14ac:dyDescent="0.25">
      <c r="A50" s="132">
        <v>4</v>
      </c>
      <c r="B50" s="132" t="s">
        <v>5969</v>
      </c>
      <c r="C50" s="135" t="s">
        <v>5970</v>
      </c>
      <c r="D50" s="135" t="s">
        <v>5971</v>
      </c>
      <c r="E50" s="138">
        <v>1</v>
      </c>
      <c r="F50" s="135" t="s">
        <v>5210</v>
      </c>
      <c r="G50" s="135" t="s">
        <v>4903</v>
      </c>
      <c r="H50" s="135" t="s">
        <v>5897</v>
      </c>
      <c r="I50" s="135" t="s">
        <v>357</v>
      </c>
      <c r="J50" s="135" t="s">
        <v>5972</v>
      </c>
      <c r="K50" s="136">
        <v>8.4040873973295453E-3</v>
      </c>
      <c r="L50" s="144" t="s">
        <v>5664</v>
      </c>
      <c r="M50" s="138" t="s">
        <v>5664</v>
      </c>
      <c r="N50" s="134" t="s">
        <v>5973</v>
      </c>
      <c r="O50" s="133" t="s">
        <v>5974</v>
      </c>
      <c r="P50" s="139" t="s">
        <v>5975</v>
      </c>
      <c r="Q50" s="139" t="s">
        <v>5668</v>
      </c>
      <c r="R50" s="140"/>
      <c r="S50" s="141" t="s">
        <v>5806</v>
      </c>
    </row>
    <row r="51" spans="1:19" s="142" customFormat="1" ht="72" customHeight="1" x14ac:dyDescent="0.25">
      <c r="A51" s="132">
        <v>4</v>
      </c>
      <c r="B51" s="132" t="s">
        <v>5976</v>
      </c>
      <c r="C51" s="135" t="s">
        <v>5977</v>
      </c>
      <c r="D51" s="133" t="s">
        <v>5978</v>
      </c>
      <c r="E51" s="134">
        <v>2</v>
      </c>
      <c r="F51" s="135" t="s">
        <v>4944</v>
      </c>
      <c r="G51" s="135" t="s">
        <v>4903</v>
      </c>
      <c r="H51" s="135" t="s">
        <v>5904</v>
      </c>
      <c r="I51" s="135" t="s">
        <v>2304</v>
      </c>
      <c r="J51" s="135" t="s">
        <v>5979</v>
      </c>
      <c r="K51" s="136">
        <v>7.8543333232765147E-2</v>
      </c>
      <c r="L51" s="144" t="s">
        <v>5664</v>
      </c>
      <c r="M51" s="138" t="s">
        <v>5665</v>
      </c>
      <c r="N51" s="134"/>
      <c r="O51" s="133" t="s">
        <v>5980</v>
      </c>
      <c r="P51" s="139" t="s">
        <v>5981</v>
      </c>
      <c r="Q51" s="139" t="s">
        <v>5715</v>
      </c>
      <c r="R51" s="140"/>
      <c r="S51" s="141" t="s">
        <v>5806</v>
      </c>
    </row>
    <row r="52" spans="1:19" s="142" customFormat="1" ht="72" customHeight="1" x14ac:dyDescent="0.25">
      <c r="A52" s="132">
        <v>4</v>
      </c>
      <c r="B52" s="132" t="s">
        <v>5982</v>
      </c>
      <c r="C52" s="135" t="s">
        <v>5983</v>
      </c>
      <c r="D52" s="135" t="s">
        <v>5984</v>
      </c>
      <c r="E52" s="138">
        <v>1</v>
      </c>
      <c r="F52" s="135" t="s">
        <v>4944</v>
      </c>
      <c r="G52" s="135" t="s">
        <v>4903</v>
      </c>
      <c r="H52" s="135" t="s">
        <v>5860</v>
      </c>
      <c r="I52" s="135"/>
      <c r="J52" s="135"/>
      <c r="K52" s="136">
        <v>0.41252310875189396</v>
      </c>
      <c r="L52" s="144" t="s">
        <v>5664</v>
      </c>
      <c r="M52" s="138" t="s">
        <v>5665</v>
      </c>
      <c r="N52" s="134"/>
      <c r="O52" s="133" t="s">
        <v>5985</v>
      </c>
      <c r="P52" s="139" t="s">
        <v>5986</v>
      </c>
      <c r="Q52" s="139" t="s">
        <v>5900</v>
      </c>
      <c r="R52" s="140"/>
      <c r="S52" s="141" t="s">
        <v>5987</v>
      </c>
    </row>
    <row r="53" spans="1:19" s="142" customFormat="1" ht="72" customHeight="1" x14ac:dyDescent="0.25">
      <c r="A53" s="132">
        <v>3</v>
      </c>
      <c r="B53" s="132" t="s">
        <v>5988</v>
      </c>
      <c r="C53" s="135" t="s">
        <v>5989</v>
      </c>
      <c r="D53" s="135" t="s">
        <v>5990</v>
      </c>
      <c r="E53" s="138">
        <v>1</v>
      </c>
      <c r="F53" s="135" t="s">
        <v>5210</v>
      </c>
      <c r="G53" s="135" t="s">
        <v>4903</v>
      </c>
      <c r="H53" s="135" t="s">
        <v>5791</v>
      </c>
      <c r="I53" s="135" t="s">
        <v>4639</v>
      </c>
      <c r="J53" s="135"/>
      <c r="K53" s="136">
        <v>9.3921649403977264E-2</v>
      </c>
      <c r="L53" s="144" t="s">
        <v>5664</v>
      </c>
      <c r="M53" s="138" t="s">
        <v>5665</v>
      </c>
      <c r="N53" s="134"/>
      <c r="O53" s="133" t="s">
        <v>5991</v>
      </c>
      <c r="P53" s="139" t="s">
        <v>5992</v>
      </c>
      <c r="Q53" s="139" t="s">
        <v>5668</v>
      </c>
      <c r="R53" s="140"/>
      <c r="S53" s="141" t="s">
        <v>5993</v>
      </c>
    </row>
    <row r="54" spans="1:19" s="142" customFormat="1" ht="72" customHeight="1" x14ac:dyDescent="0.25">
      <c r="A54" s="132">
        <v>4</v>
      </c>
      <c r="B54" s="132" t="s">
        <v>5994</v>
      </c>
      <c r="C54" s="135" t="s">
        <v>5995</v>
      </c>
      <c r="D54" s="135" t="s">
        <v>5996</v>
      </c>
      <c r="E54" s="138">
        <v>1</v>
      </c>
      <c r="F54" s="135" t="s">
        <v>5210</v>
      </c>
      <c r="G54" s="135" t="s">
        <v>4903</v>
      </c>
      <c r="H54" s="135" t="s">
        <v>5700</v>
      </c>
      <c r="I54" s="135" t="s">
        <v>1119</v>
      </c>
      <c r="J54" s="135" t="s">
        <v>5997</v>
      </c>
      <c r="K54" s="136">
        <v>0.25900338633712122</v>
      </c>
      <c r="L54" s="143" t="s">
        <v>5664</v>
      </c>
      <c r="M54" s="138" t="s">
        <v>5664</v>
      </c>
      <c r="N54" s="134" t="s">
        <v>5998</v>
      </c>
      <c r="O54" s="133" t="s">
        <v>5999</v>
      </c>
      <c r="P54" s="139" t="s">
        <v>6000</v>
      </c>
      <c r="Q54" s="139" t="s">
        <v>5668</v>
      </c>
      <c r="R54" s="140"/>
      <c r="S54" s="141" t="s">
        <v>5806</v>
      </c>
    </row>
    <row r="55" spans="1:19" s="142" customFormat="1" ht="72" customHeight="1" x14ac:dyDescent="0.25">
      <c r="A55" s="132">
        <v>4</v>
      </c>
      <c r="B55" s="132" t="s">
        <v>6001</v>
      </c>
      <c r="C55" s="135" t="s">
        <v>6002</v>
      </c>
      <c r="D55" s="135" t="s">
        <v>6003</v>
      </c>
      <c r="E55" s="138">
        <v>1</v>
      </c>
      <c r="F55" s="135" t="s">
        <v>5210</v>
      </c>
      <c r="G55" s="135" t="s">
        <v>4871</v>
      </c>
      <c r="H55" s="135" t="s">
        <v>5700</v>
      </c>
      <c r="I55" s="135" t="s">
        <v>1119</v>
      </c>
      <c r="J55" s="135"/>
      <c r="K55" s="136">
        <v>0.19099086787121214</v>
      </c>
      <c r="L55" s="143" t="s">
        <v>5664</v>
      </c>
      <c r="M55" s="138" t="s">
        <v>5665</v>
      </c>
      <c r="N55" s="134"/>
      <c r="O55" s="133" t="s">
        <v>6004</v>
      </c>
      <c r="P55" s="139" t="s">
        <v>6005</v>
      </c>
      <c r="Q55" s="139" t="s">
        <v>5668</v>
      </c>
      <c r="R55" s="140"/>
      <c r="S55" s="141" t="s">
        <v>6006</v>
      </c>
    </row>
    <row r="56" spans="1:19" s="142" customFormat="1" ht="72" customHeight="1" x14ac:dyDescent="0.25">
      <c r="A56" s="132">
        <v>4</v>
      </c>
      <c r="B56" s="132" t="s">
        <v>6007</v>
      </c>
      <c r="C56" s="135" t="s">
        <v>6008</v>
      </c>
      <c r="D56" s="135" t="s">
        <v>6009</v>
      </c>
      <c r="E56" s="138">
        <v>1</v>
      </c>
      <c r="F56" s="135" t="s">
        <v>5210</v>
      </c>
      <c r="G56" s="135" t="s">
        <v>4903</v>
      </c>
      <c r="H56" s="135" t="s">
        <v>5687</v>
      </c>
      <c r="I56" s="135" t="s">
        <v>762</v>
      </c>
      <c r="J56" s="135"/>
      <c r="K56" s="136">
        <v>0.14633719742196968</v>
      </c>
      <c r="L56" s="143" t="s">
        <v>5664</v>
      </c>
      <c r="M56" s="138" t="s">
        <v>5665</v>
      </c>
      <c r="N56" s="134"/>
      <c r="O56" s="133" t="s">
        <v>6010</v>
      </c>
      <c r="P56" s="139" t="s">
        <v>6011</v>
      </c>
      <c r="Q56" s="139" t="s">
        <v>5668</v>
      </c>
      <c r="R56" s="140"/>
      <c r="S56" s="141" t="s">
        <v>6012</v>
      </c>
    </row>
    <row r="57" spans="1:19" s="142" customFormat="1" ht="72" customHeight="1" x14ac:dyDescent="0.25">
      <c r="A57" s="132">
        <v>4</v>
      </c>
      <c r="B57" s="132" t="s">
        <v>6013</v>
      </c>
      <c r="C57" s="135" t="s">
        <v>6014</v>
      </c>
      <c r="D57" s="135" t="s">
        <v>6015</v>
      </c>
      <c r="E57" s="138">
        <v>1</v>
      </c>
      <c r="F57" s="135" t="s">
        <v>4881</v>
      </c>
      <c r="G57" s="135" t="s">
        <v>4871</v>
      </c>
      <c r="H57" s="135" t="s">
        <v>6016</v>
      </c>
      <c r="I57" s="135" t="s">
        <v>3441</v>
      </c>
      <c r="J57" s="135"/>
      <c r="K57" s="136">
        <v>4.5894360611742423E-2</v>
      </c>
      <c r="L57" s="143" t="s">
        <v>5664</v>
      </c>
      <c r="M57" s="138" t="s">
        <v>5665</v>
      </c>
      <c r="N57" s="134"/>
      <c r="O57" s="133" t="s">
        <v>6017</v>
      </c>
      <c r="P57" s="139" t="s">
        <v>6018</v>
      </c>
      <c r="Q57" s="139" t="s">
        <v>5668</v>
      </c>
      <c r="R57" s="140"/>
      <c r="S57" s="141" t="s">
        <v>6019</v>
      </c>
    </row>
    <row r="58" spans="1:19" s="142" customFormat="1" ht="72" customHeight="1" x14ac:dyDescent="0.25">
      <c r="A58" s="132">
        <v>3</v>
      </c>
      <c r="B58" s="132" t="s">
        <v>6020</v>
      </c>
      <c r="C58" s="135" t="s">
        <v>6021</v>
      </c>
      <c r="D58" s="135" t="s">
        <v>6022</v>
      </c>
      <c r="E58" s="138">
        <v>1</v>
      </c>
      <c r="F58" s="135" t="s">
        <v>5125</v>
      </c>
      <c r="G58" s="135" t="s">
        <v>4903</v>
      </c>
      <c r="H58" s="135" t="s">
        <v>6023</v>
      </c>
      <c r="I58" s="135" t="s">
        <v>2379</v>
      </c>
      <c r="J58" s="135"/>
      <c r="K58" s="136">
        <v>7.2260338668181823E-2</v>
      </c>
      <c r="L58" s="143" t="s">
        <v>5664</v>
      </c>
      <c r="M58" s="138" t="s">
        <v>5665</v>
      </c>
      <c r="N58" s="134"/>
      <c r="O58" s="133" t="s">
        <v>6024</v>
      </c>
      <c r="P58" s="139" t="s">
        <v>6025</v>
      </c>
      <c r="Q58" s="139" t="s">
        <v>5900</v>
      </c>
      <c r="R58" s="140"/>
      <c r="S58" s="139" t="s">
        <v>6026</v>
      </c>
    </row>
    <row r="59" spans="1:19" s="142" customFormat="1" ht="32.450000000000003" customHeight="1" x14ac:dyDescent="0.25">
      <c r="A59" s="135"/>
      <c r="B59" s="135"/>
      <c r="C59" s="135"/>
      <c r="D59" s="148" t="s">
        <v>6027</v>
      </c>
      <c r="E59" s="149">
        <f>SUM(E3:E58)</f>
        <v>83</v>
      </c>
      <c r="F59" s="135"/>
      <c r="G59" s="135"/>
      <c r="H59" s="135"/>
      <c r="I59" s="135"/>
      <c r="J59" s="148" t="s">
        <v>6028</v>
      </c>
      <c r="K59" s="150">
        <f>SUM(K3:K58)</f>
        <v>13.98939490037165</v>
      </c>
      <c r="L59" s="144"/>
      <c r="M59" s="138"/>
      <c r="N59" s="134"/>
      <c r="O59" s="133"/>
      <c r="P59" s="139"/>
      <c r="Q59" s="139"/>
      <c r="R59" s="140"/>
      <c r="S59" s="140"/>
    </row>
    <row r="61" spans="1:19" x14ac:dyDescent="0.2">
      <c r="K61" s="151"/>
    </row>
    <row r="62" spans="1:19" x14ac:dyDescent="0.2">
      <c r="F62" s="123"/>
      <c r="G62" s="123"/>
      <c r="H62" s="123"/>
      <c r="I62" s="123"/>
      <c r="J62" s="123"/>
      <c r="K62" s="152"/>
      <c r="L62" s="122"/>
      <c r="M62" s="122"/>
      <c r="N62" s="122"/>
      <c r="O62" s="122"/>
      <c r="Q62" s="122"/>
    </row>
    <row r="63" spans="1:19" x14ac:dyDescent="0.2">
      <c r="K63" s="151"/>
    </row>
    <row r="65" spans="1:10" x14ac:dyDescent="0.2">
      <c r="A65" s="153">
        <v>44176</v>
      </c>
    </row>
    <row r="66" spans="1:10" x14ac:dyDescent="0.2">
      <c r="A66" s="121" t="s">
        <v>5643</v>
      </c>
      <c r="D66" s="121" t="s">
        <v>6029</v>
      </c>
      <c r="E66" s="154" t="s">
        <v>6030</v>
      </c>
      <c r="F66" s="121" t="s">
        <v>6031</v>
      </c>
      <c r="G66" s="121"/>
    </row>
    <row r="67" spans="1:10" x14ac:dyDescent="0.2">
      <c r="A67" s="155">
        <v>1</v>
      </c>
      <c r="D67" s="122" t="s">
        <v>6032</v>
      </c>
      <c r="E67" s="123">
        <v>3</v>
      </c>
      <c r="F67" s="151">
        <v>0.53279074251818181</v>
      </c>
      <c r="G67" s="151"/>
      <c r="H67" s="151"/>
    </row>
    <row r="68" spans="1:10" x14ac:dyDescent="0.2">
      <c r="A68" s="155">
        <v>2</v>
      </c>
      <c r="D68" s="122" t="s">
        <v>6033</v>
      </c>
      <c r="E68" s="123">
        <v>2</v>
      </c>
      <c r="F68" s="151">
        <v>0.22909137683257577</v>
      </c>
      <c r="G68" s="151"/>
      <c r="H68" s="151"/>
      <c r="J68" s="151"/>
    </row>
    <row r="69" spans="1:10" x14ac:dyDescent="0.2">
      <c r="A69" s="155">
        <v>3</v>
      </c>
      <c r="D69" s="122" t="s">
        <v>6034</v>
      </c>
      <c r="E69" s="123">
        <v>9</v>
      </c>
      <c r="F69" s="151">
        <v>1.6865286603414777</v>
      </c>
      <c r="G69" s="151"/>
      <c r="H69" s="151"/>
    </row>
    <row r="70" spans="1:10" x14ac:dyDescent="0.2">
      <c r="A70" s="155">
        <v>4</v>
      </c>
      <c r="D70" s="122" t="s">
        <v>6035</v>
      </c>
      <c r="E70" s="123">
        <v>69</v>
      </c>
      <c r="F70" s="151">
        <v>11.540984120679415</v>
      </c>
      <c r="G70" s="151"/>
      <c r="H70" s="151"/>
    </row>
    <row r="71" spans="1:10" x14ac:dyDescent="0.2">
      <c r="D71" s="121" t="s">
        <v>6036</v>
      </c>
      <c r="E71" s="154">
        <f>SUBTOTAL(9,E67:E70)</f>
        <v>83</v>
      </c>
      <c r="F71" s="156">
        <f>SUBTOTAL(9,F67:F70)</f>
        <v>13.98939490037165</v>
      </c>
      <c r="G71" s="156"/>
      <c r="H71" s="151"/>
    </row>
    <row r="72" spans="1:10" x14ac:dyDescent="0.2">
      <c r="F72" s="151"/>
      <c r="G72" s="151"/>
      <c r="H72" s="151"/>
    </row>
    <row r="73" spans="1:10" x14ac:dyDescent="0.2">
      <c r="F73" s="151"/>
      <c r="G73" s="151"/>
      <c r="H73" s="151"/>
    </row>
    <row r="74" spans="1:10" x14ac:dyDescent="0.2">
      <c r="A74" s="157" t="s">
        <v>6037</v>
      </c>
      <c r="H74" s="151"/>
    </row>
    <row r="75" spans="1:10" x14ac:dyDescent="0.2">
      <c r="A75" s="121" t="s">
        <v>5643</v>
      </c>
      <c r="D75" s="121" t="s">
        <v>6029</v>
      </c>
      <c r="E75" s="154" t="s">
        <v>6030</v>
      </c>
      <c r="F75" s="121" t="s">
        <v>6031</v>
      </c>
      <c r="G75" s="121"/>
    </row>
    <row r="76" spans="1:10" x14ac:dyDescent="0.2">
      <c r="A76" s="155">
        <v>1</v>
      </c>
      <c r="D76" s="122" t="s">
        <v>6032</v>
      </c>
      <c r="E76" s="123">
        <v>3</v>
      </c>
      <c r="F76" s="151">
        <v>0.53279074251818181</v>
      </c>
      <c r="G76" s="151"/>
    </row>
    <row r="77" spans="1:10" x14ac:dyDescent="0.2">
      <c r="A77" s="155">
        <v>2</v>
      </c>
      <c r="D77" s="122" t="s">
        <v>6033</v>
      </c>
      <c r="E77" s="123">
        <v>2</v>
      </c>
      <c r="F77" s="151">
        <v>0.22909137683257577</v>
      </c>
      <c r="G77" s="151"/>
    </row>
    <row r="78" spans="1:10" x14ac:dyDescent="0.2">
      <c r="A78" s="155">
        <v>3</v>
      </c>
      <c r="D78" s="122" t="s">
        <v>6034</v>
      </c>
      <c r="E78" s="123">
        <v>27</v>
      </c>
      <c r="F78" s="151">
        <v>4.0005228311960046</v>
      </c>
      <c r="G78" s="151"/>
    </row>
    <row r="79" spans="1:10" x14ac:dyDescent="0.2">
      <c r="A79" s="155">
        <v>4</v>
      </c>
      <c r="D79" s="122" t="s">
        <v>6035</v>
      </c>
      <c r="E79" s="123">
        <v>51</v>
      </c>
      <c r="F79" s="151">
        <v>9.2269899498248868</v>
      </c>
      <c r="G79" s="151"/>
    </row>
    <row r="80" spans="1:10" x14ac:dyDescent="0.2">
      <c r="D80" s="121" t="s">
        <v>6036</v>
      </c>
      <c r="E80" s="154">
        <f>SUBTOTAL(9,E76:E79)</f>
        <v>83</v>
      </c>
      <c r="F80" s="156">
        <f>SUBTOTAL(9,F76:F79)</f>
        <v>13.98939490037165</v>
      </c>
      <c r="G80" s="156"/>
    </row>
  </sheetData>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5" x14ac:dyDescent="0.25"/>
  <cols>
    <col min="3" max="3" width="16.28515625" bestFit="1" customWidth="1"/>
    <col min="4" max="4" width="14.28515625" bestFit="1" customWidth="1"/>
    <col min="5" max="5" width="11" bestFit="1" customWidth="1"/>
    <col min="6" max="6" width="41.28515625" customWidth="1"/>
    <col min="11" max="11" width="16.28515625" bestFit="1" customWidth="1"/>
    <col min="12" max="12" width="8.42578125" bestFit="1" customWidth="1"/>
    <col min="13" max="13" width="8.42578125" style="59" customWidth="1"/>
    <col min="14" max="14" width="11.5703125" customWidth="1"/>
    <col min="15" max="15" width="39" customWidth="1"/>
    <col min="17" max="17" width="43.42578125" bestFit="1" customWidth="1"/>
    <col min="18" max="18" width="29.85546875" style="59" customWidth="1"/>
    <col min="19" max="19" width="24.7109375" bestFit="1" customWidth="1"/>
    <col min="20" max="20" width="17.42578125" customWidth="1"/>
    <col min="21" max="21" width="9.7109375" bestFit="1" customWidth="1"/>
    <col min="22" max="22" width="8.85546875" bestFit="1" customWidth="1"/>
  </cols>
  <sheetData>
    <row r="2" spans="3:22" ht="15.75" thickBot="1" x14ac:dyDescent="0.3">
      <c r="C2" s="60" t="s">
        <v>5495</v>
      </c>
      <c r="K2" s="60" t="s">
        <v>5323</v>
      </c>
    </row>
    <row r="3" spans="3:22" ht="34.5" customHeight="1" x14ac:dyDescent="0.25">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2" x14ac:dyDescent="0.25">
      <c r="C4" s="62" t="s">
        <v>4878</v>
      </c>
      <c r="D4" s="75">
        <v>64</v>
      </c>
      <c r="E4" s="61">
        <v>363.28</v>
      </c>
      <c r="F4" s="66"/>
      <c r="K4" s="62" t="s">
        <v>5329</v>
      </c>
      <c r="L4" s="75">
        <v>62</v>
      </c>
      <c r="M4" s="72">
        <f>L4/D10</f>
        <v>0.6262626262626263</v>
      </c>
      <c r="N4" s="68">
        <v>178.86</v>
      </c>
      <c r="O4" s="66"/>
      <c r="Q4" t="s">
        <v>5330</v>
      </c>
      <c r="R4" s="73" t="s">
        <v>5337</v>
      </c>
      <c r="S4" s="73" t="s">
        <v>5346</v>
      </c>
      <c r="U4" s="89"/>
    </row>
    <row r="5" spans="3:22" x14ac:dyDescent="0.25">
      <c r="C5" s="62" t="s">
        <v>5320</v>
      </c>
      <c r="D5" s="75">
        <v>4</v>
      </c>
      <c r="E5" s="68">
        <v>4.38</v>
      </c>
      <c r="F5" s="66"/>
      <c r="K5" s="62" t="s">
        <v>5325</v>
      </c>
      <c r="L5" s="75">
        <v>24</v>
      </c>
      <c r="M5" s="72">
        <f>L5/D10</f>
        <v>0.24242424242424243</v>
      </c>
      <c r="N5" s="68">
        <v>36.19</v>
      </c>
      <c r="O5" s="66"/>
      <c r="Q5" t="s">
        <v>5331</v>
      </c>
      <c r="R5" s="73" t="s">
        <v>5337</v>
      </c>
      <c r="S5" s="73" t="s">
        <v>5347</v>
      </c>
    </row>
    <row r="6" spans="3:22" s="59" customFormat="1" x14ac:dyDescent="0.25">
      <c r="C6" s="62" t="s">
        <v>5103</v>
      </c>
      <c r="D6" s="75">
        <v>4</v>
      </c>
      <c r="E6" s="61">
        <v>6.38</v>
      </c>
      <c r="F6" s="66"/>
      <c r="K6" s="62" t="s">
        <v>5326</v>
      </c>
      <c r="L6" s="75">
        <v>31</v>
      </c>
      <c r="M6" s="72">
        <f>L6/D10</f>
        <v>0.31313131313131315</v>
      </c>
      <c r="N6" s="61">
        <v>50.96</v>
      </c>
      <c r="O6" s="66"/>
      <c r="Q6" s="59" t="s">
        <v>5332</v>
      </c>
      <c r="R6" s="73" t="s">
        <v>5340</v>
      </c>
      <c r="S6" s="73" t="s">
        <v>5348</v>
      </c>
    </row>
    <row r="7" spans="3:22" ht="15.75" thickBot="1" x14ac:dyDescent="0.3">
      <c r="C7" s="62" t="s">
        <v>5321</v>
      </c>
      <c r="D7" s="75">
        <v>1</v>
      </c>
      <c r="E7" s="61">
        <v>1.47</v>
      </c>
      <c r="F7" s="66"/>
      <c r="K7" s="63" t="s">
        <v>5327</v>
      </c>
      <c r="L7" s="76">
        <v>27</v>
      </c>
      <c r="M7" s="78">
        <f>L7/D10</f>
        <v>0.27272727272727271</v>
      </c>
      <c r="N7" s="77">
        <v>43.71</v>
      </c>
      <c r="O7" s="67"/>
      <c r="Q7" t="s">
        <v>5342</v>
      </c>
      <c r="R7" s="73" t="s">
        <v>5340</v>
      </c>
      <c r="S7" s="90" t="s">
        <v>5349</v>
      </c>
    </row>
    <row r="8" spans="3:22" s="59" customFormat="1" x14ac:dyDescent="0.25">
      <c r="C8" s="80"/>
      <c r="D8" s="81"/>
      <c r="E8" s="82"/>
      <c r="F8" s="83"/>
      <c r="K8" s="84"/>
      <c r="L8" s="85"/>
      <c r="M8" s="86"/>
      <c r="N8" s="87"/>
      <c r="O8" s="88"/>
      <c r="Q8" s="59" t="s">
        <v>5341</v>
      </c>
      <c r="R8" s="73" t="s">
        <v>5343</v>
      </c>
      <c r="S8" s="73" t="s">
        <v>5350</v>
      </c>
    </row>
    <row r="9" spans="3:22" ht="15.75" thickBot="1" x14ac:dyDescent="0.3">
      <c r="C9" s="63" t="s">
        <v>4941</v>
      </c>
      <c r="D9" s="76">
        <v>26</v>
      </c>
      <c r="E9" s="77">
        <v>40.659999999999997</v>
      </c>
      <c r="F9" s="67"/>
      <c r="K9" s="59"/>
      <c r="L9" s="59"/>
      <c r="N9" s="59"/>
      <c r="O9" s="59"/>
      <c r="Q9" t="s">
        <v>5333</v>
      </c>
      <c r="R9" s="73" t="s">
        <v>5343</v>
      </c>
      <c r="S9" s="73" t="s">
        <v>5351</v>
      </c>
    </row>
    <row r="10" spans="3:22" ht="15.75" thickBot="1" x14ac:dyDescent="0.3">
      <c r="C10" s="63" t="s">
        <v>5318</v>
      </c>
      <c r="D10" s="64">
        <f>SUM(D4:D9)</f>
        <v>99</v>
      </c>
      <c r="E10" s="64">
        <f>SUM(E4:E9)</f>
        <v>416.16999999999996</v>
      </c>
      <c r="F10" s="67"/>
      <c r="Q10" t="s">
        <v>5338</v>
      </c>
      <c r="R10" s="73" t="s">
        <v>5344</v>
      </c>
      <c r="S10" s="73" t="s">
        <v>5352</v>
      </c>
    </row>
    <row r="11" spans="3:22" x14ac:dyDescent="0.25">
      <c r="Q11" t="s">
        <v>5339</v>
      </c>
      <c r="R11" s="73" t="s">
        <v>5345</v>
      </c>
      <c r="S11" s="73" t="s">
        <v>5348</v>
      </c>
    </row>
    <row r="12" spans="3:22" x14ac:dyDescent="0.25">
      <c r="Q12" t="s">
        <v>5353</v>
      </c>
      <c r="R12" s="73" t="s">
        <v>5357</v>
      </c>
      <c r="S12" s="73" t="s">
        <v>5359</v>
      </c>
    </row>
    <row r="13" spans="3:22" x14ac:dyDescent="0.25">
      <c r="Q13" t="s">
        <v>5354</v>
      </c>
      <c r="R13" s="73" t="s">
        <v>5358</v>
      </c>
      <c r="S13" s="73" t="s">
        <v>5360</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f8ef1244-e02c-469e-bce2-db7baeb9d4e4"/>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4CE04D77-06A6-4C86-B94A-D16FEA1CA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Jodoin, Jean-Pierre</dc:creator>
  <cp:lastModifiedBy>Jodoin, Jean-Pierre</cp:lastModifiedBy>
  <dcterms:created xsi:type="dcterms:W3CDTF">2006-09-16T00:00:00Z</dcterms:created>
  <dcterms:modified xsi:type="dcterms:W3CDTF">2021-03-03T20:07:28Z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